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47.xml" ContentType="application/vnd.ms-excel.controlproperties+xml"/>
  <Override PartName="/xl/drawings/drawing8.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ctrlProps/ctrlProp86.xml" ContentType="application/vnd.ms-excel.controlproperties+xml"/>
  <Override PartName="/xl/drawings/drawing1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87.xml" ContentType="application/vnd.ms-excel.controlproperties+xml"/>
  <Override PartName="/xl/charts/chart2.xml" ContentType="application/vnd.openxmlformats-officedocument.drawingml.chart+xml"/>
  <Override PartName="/xl/drawings/drawing1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13.xml" ContentType="application/vnd.openxmlformats-officedocument.drawing+xml"/>
  <Override PartName="/xl/ctrlProps/ctrlProp88.xml" ContentType="application/vnd.ms-excel.controlproperties+xml"/>
  <Override PartName="/xl/drawings/drawing14.xml" ContentType="application/vnd.openxmlformats-officedocument.drawing+xml"/>
  <Override PartName="/xl/ctrlProps/ctrlProp89.xml" ContentType="application/vnd.ms-excel.controlproperties+xml"/>
  <Override PartName="/xl/drawings/drawing15.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4.xml" ContentType="application/vnd.openxmlformats-officedocument.spreadsheetml.comments+xml"/>
  <Override PartName="/xl/drawings/drawing16.xml" ContentType="application/vnd.openxmlformats-officedocument.drawing+xml"/>
  <Override PartName="/xl/ctrlProps/ctrlProp93.xml" ContentType="application/vnd.ms-excel.controlproperties+xml"/>
  <Override PartName="/xl/comments5.xml" ContentType="application/vnd.openxmlformats-officedocument.spreadsheetml.comments+xml"/>
  <Override PartName="/xl/drawings/drawing17.xml" ContentType="application/vnd.openxmlformats-officedocument.drawing+xml"/>
  <Override PartName="/xl/ctrlProps/ctrlProp94.xml" ContentType="application/vnd.ms-excel.controlproperties+xml"/>
  <Override PartName="/xl/drawings/drawing18.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53"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aaron\Documents\MyMobileBooks_800_Reading\MyTSSnippets\ts00241 Choice财务估值\"/>
    </mc:Choice>
  </mc:AlternateContent>
  <xr:revisionPtr revIDLastSave="0" documentId="13_ncr:1_{354CEABA-5585-425F-BC94-50017171F97A}" xr6:coauthVersionLast="36" xr6:coauthVersionMax="36" xr10:uidLastSave="{00000000-0000-0000-0000-000000000000}"/>
  <bookViews>
    <workbookView xWindow="1979" yWindow="0" windowWidth="19778" windowHeight="8387" tabRatio="789" activeTab="4" xr2:uid="{00000000-000D-0000-FFFF-FFFF00000000}"/>
  </bookViews>
  <sheets>
    <sheet name="目录" sheetId="21" r:id="rId1"/>
    <sheet name="SubjectNames" sheetId="28" state="veryHidden" r:id="rId2"/>
    <sheet name="说明" sheetId="23" r:id="rId3"/>
    <sheet name="历史年度（原始）" sheetId="33" r:id="rId4"/>
    <sheet name="历史年度（简化）" sheetId="20" r:id="rId5"/>
    <sheet name="Sheet2" sheetId="31" state="veryHidden" r:id="rId6"/>
    <sheet name="假设" sheetId="2" r:id="rId7"/>
    <sheet name="投资" sheetId="3" r:id="rId8"/>
    <sheet name="筹资" sheetId="4" r:id="rId9"/>
    <sheet name="预测利润表" sheetId="5" r:id="rId10"/>
    <sheet name="预测资产负债表" sheetId="8" r:id="rId11"/>
    <sheet name="预测现金流量表" sheetId="9" r:id="rId12"/>
    <sheet name="财务分析" sheetId="10" r:id="rId13"/>
    <sheet name="图形分析" sheetId="16" r:id="rId14"/>
    <sheet name="情景分析" sheetId="26" r:id="rId15"/>
    <sheet name="绝对估值" sheetId="11" r:id="rId16"/>
    <sheet name="绝对估值敏感性分析" sheetId="12" r:id="rId17"/>
    <sheet name="可比公司估值" sheetId="14" r:id="rId18"/>
    <sheet name="相对估值" sheetId="13" r:id="rId19"/>
    <sheet name="历史数据（单季）" sheetId="15" r:id="rId20"/>
    <sheet name="杜邦分析" sheetId="27" r:id="rId21"/>
    <sheet name="输出报告" sheetId="17" r:id="rId22"/>
    <sheet name="HSheet1" sheetId="29" state="veryHidden" r:id="rId23"/>
    <sheet name="Sheet1" sheetId="30" state="veryHidden" r:id="rId24"/>
  </sheets>
  <functionGroups builtInGroupCount="19"/>
  <externalReferences>
    <externalReference r:id="rId25"/>
    <externalReference r:id="rId26"/>
  </externalReferences>
  <definedNames>
    <definedName name="EndYear">目录!$C$10</definedName>
    <definedName name="EstiDate">目录!$C$8</definedName>
    <definedName name="Estiyears">目录!$C$11</definedName>
    <definedName name="Estyears">目录!$C$11</definedName>
    <definedName name="GeneralDecline">情景分析!#REF!</definedName>
    <definedName name="GeneralIncrease">情景分析!#REF!</definedName>
    <definedName name="GetYearRange">OFFSET(HSheet1!$T$2,0,0,HSheet1!$T$1)</definedName>
    <definedName name="iRepType">目录!$D$15</definedName>
    <definedName name="MyFun1">OFFSET(财务分析!$D$21,0,0,1,目录!$C$10-目录!$C$9+目录!$C$11+1)</definedName>
    <definedName name="MyFun10">OFFSET(财务分析!$D$30,0,0,1,目录!$C$10-目录!$C$9+目录!$C$11+1)</definedName>
    <definedName name="MyFun11">OFFSET(财务分析!$D$34,0,0,1,目录!$C$10-目录!$C$9+目录!$C$11+1)</definedName>
    <definedName name="MyFun12">OFFSET(财务分析!$D$35,0,0,1,目录!$C$10-目录!$C$9+目录!$C$11+1)</definedName>
    <definedName name="MyFun13">OFFSET(财务分析!$D$36,0,0,1,目录!$C$10-目录!$C$9+目录!$C$11+1)</definedName>
    <definedName name="MyFun14">OFFSET(财务分析!$D$37,0,0,1,目录!$C$10-目录!$C$9+目录!$C$11+1)</definedName>
    <definedName name="MyFun15">OFFSET(财务分析!$D$38,0,0,1,目录!$C$10-目录!$C$9+目录!$C$11+1)</definedName>
    <definedName name="MyFun16">OFFSET(财务分析!$D$39,0,0,1,目录!$C$10-目录!$C$9+目录!$C$11+1)</definedName>
    <definedName name="MyFun17">OFFSET(财务分析!$D$40,0,0,1,目录!$C$10-目录!$C$9+目录!$C$11+1)</definedName>
    <definedName name="MyFun18">OFFSET(财务分析!$D$41,0,0,1,目录!$C$10-目录!$C$9+目录!$C$11+1)</definedName>
    <definedName name="MyFun19">OFFSET(财务分析!$D$42,0,0,1,目录!$C$10-目录!$C$9+目录!$C$11+1)</definedName>
    <definedName name="MyFun2">OFFSET(财务分析!$D$22,0,0,1,目录!$C$10-目录!$C$9+目录!$C$11+1)</definedName>
    <definedName name="MyFun20">OFFSET(财务分析!$D$43,0,0,1,目录!$C$10-目录!$C$9+目录!$C$11+1)</definedName>
    <definedName name="MyFun21">OFFSET(财务分析!$D$44,0,0,1,目录!$C$10-目录!$C$9+目录!$C$11+1)</definedName>
    <definedName name="MyFun22">OFFSET(财务分析!$D$45,0,0,1,目录!$C$10-目录!$C$9+目录!$C$11+1)</definedName>
    <definedName name="MyFun23">OFFSET(财务分析!$D$46,0,0,1,目录!$C$10-目录!$C$9+目录!$C$11+1)</definedName>
    <definedName name="MyFun24">OFFSET(财务分析!$D$47,0,0,1,目录!$C$10-目录!$C$9+目录!$C$11+1)</definedName>
    <definedName name="MyFun25">OFFSET(财务分析!$D$48,0,0,1,目录!$C$10-目录!$C$9+目录!$C$11+1)</definedName>
    <definedName name="MyFun26">OFFSET(财务分析!$D$49,0,0,1,目录!$C$10-目录!$C$9+目录!$C$11+1)</definedName>
    <definedName name="MyFun27">OFFSET(财务分析!$D$50,0,0,1,目录!$C$10-目录!$C$9+目录!$C$11+1)</definedName>
    <definedName name="MyFun28">OFFSET(财务分析!$D$54,0,0,1,目录!$C$10-目录!$C$9+目录!$C$11+1)</definedName>
    <definedName name="MyFun29">OFFSET(财务分析!$D$55,0,0,1,目录!$C$10-目录!$C$9+目录!$C$11+1)</definedName>
    <definedName name="MyFun3">OFFSET(财务分析!$D$23,0,0,1,目录!$C$10-目录!$C$9+目录!$C$11+1)</definedName>
    <definedName name="MyFun30">OFFSET(财务分析!$D$56,0,0,1,目录!$C$10-目录!$C$9+目录!$C$11+1)</definedName>
    <definedName name="MyFun31">OFFSET(财务分析!$D$57,0,0,1,目录!$C$10-目录!$C$9+目录!$C$11+1)</definedName>
    <definedName name="MyFun32">OFFSET(财务分析!$D$58,0,0,1,目录!$C$10-目录!$C$9+目录!$C$11+1)</definedName>
    <definedName name="MyFun33">OFFSET(财务分析!$D$59,0,0,1,目录!$C$10-目录!$C$9+目录!$C$11+1)</definedName>
    <definedName name="MyFun34">OFFSET(财务分析!$D$60,0,0,1,目录!$C$10-目录!$C$9+目录!$C$11+1)</definedName>
    <definedName name="MyFun35">OFFSET(财务分析!$D$61,0,0,1,目录!$C$10-目录!$C$9+目录!$C$11+1)</definedName>
    <definedName name="MyFun36">OFFSET(财务分析!$D$62,0,0,1,目录!$C$10-目录!$C$9+目录!$C$11+1)</definedName>
    <definedName name="MyFun37">OFFSET(财务分析!$D$65,0,0,1,目录!$C$10-目录!$C$9+目录!$C$11+1)</definedName>
    <definedName name="MyFun38">OFFSET(财务分析!$D$66,0,0,1,目录!$C$10-目录!$C$9+目录!$C$11+1)</definedName>
    <definedName name="MyFun39">OFFSET(财务分析!$D$67,0,0,1,目录!$C$10-目录!$C$9+目录!$C$11+1)</definedName>
    <definedName name="MyFun4">OFFSET(财务分析!$D$24,0,0,1,目录!$C$10-目录!$C$9+目录!$C$11+1)</definedName>
    <definedName name="MyFun40">OFFSET(财务分析!$D$68,0,0,1,目录!$C$10-目录!$C$9+目录!$C$11+1)</definedName>
    <definedName name="MyFun41">OFFSET(财务分析!$D$69,0,0,1,目录!$C$10-目录!$C$9+目录!$C$11+1)</definedName>
    <definedName name="MyFun42">OFFSET(财务分析!$D$70,0,0,1,目录!$C$10-目录!$C$9+目录!$C$11+1)</definedName>
    <definedName name="MyFun43">OFFSET(财务分析!$D$71,0,0,1,目录!$C$10-目录!$C$9+目录!$C$11+1)</definedName>
    <definedName name="MyFun44">OFFSET(财务分析!$D$72,0,0,1,目录!$C$10-目录!$C$9+目录!$C$11+1)</definedName>
    <definedName name="MyFun45">OFFSET(财务分析!$D$73,0,0,1,目录!$C$10-目录!$C$9+目录!$C$11+1)</definedName>
    <definedName name="MyFun46">OFFSET(财务分析!$D$77,0,0,1,目录!$C$10-目录!$C$9+目录!$C$11+1)</definedName>
    <definedName name="MyFun47">OFFSET(财务分析!$D$78,0,0,1,目录!$C$10-目录!$C$9+目录!$C$11+1)</definedName>
    <definedName name="MyFun48">OFFSET(财务分析!$D$79,0,0,1,目录!$C$10-目录!$C$9+目录!$C$11+1)</definedName>
    <definedName name="MyFun49">OFFSET(财务分析!$D$80,0,0,1,目录!$C$10-目录!$C$9+目录!$C$11+1)</definedName>
    <definedName name="MyFun5">OFFSET(财务分析!$D$25,0,0,1,目录!$C$10-目录!$C$9+目录!$C$11+1)</definedName>
    <definedName name="MyFun50">OFFSET(财务分析!$D$81,0,0,1,目录!$C$10-目录!$C$9+目录!$C$11+1)</definedName>
    <definedName name="MyFun51">OFFSET(财务分析!$D$84,0,0,1,目录!$C$10-目录!$C$9+目录!$C$11+1)</definedName>
    <definedName name="MyFun52">OFFSET(财务分析!$D$87,0,0,1,目录!$C$10-目录!$C$9+目录!$C$11+1)</definedName>
    <definedName name="MyFun53">OFFSET(财务分析!$D$88,0,0,1,目录!$C$10-目录!$C$9+目录!$C$11+1)</definedName>
    <definedName name="MyFun54">OFFSET(财务分析!$D$89,0,0,1,目录!$C$10-目录!$C$9+目录!$C$11+1)</definedName>
    <definedName name="MyFun55">OFFSET(财务分析!$D$90,0,0,1,目录!$C$10-目录!$C$9+目录!$C$11+1)</definedName>
    <definedName name="MyFun56">OFFSET(财务分析!$D$91,0,0,1,目录!$C$10-目录!$C$9+目录!$C$11+1)</definedName>
    <definedName name="MyFun57">OFFSET(财务分析!$D$92,0,0,1,目录!$C$10-目录!$C$9+目录!$C$11+1)</definedName>
    <definedName name="MyFun58">OFFSET(财务分析!$D$93,0,0,1,目录!$C$10-目录!$C$9+目录!$C$11+1)</definedName>
    <definedName name="MyFun59">OFFSET(财务分析!$D$94,0,0,1,目录!$C$10-目录!$C$9+目录!$C$11+1)</definedName>
    <definedName name="MyFun6">OFFSET(财务分析!$D$26,0,0,1,目录!$C$10-目录!$C$9+目录!$C$11+1)</definedName>
    <definedName name="MyFun60">OFFSET(财务分析!$D$95,0,0,1,目录!$C$10-目录!$C$9+目录!$C$11+1)</definedName>
    <definedName name="MyFun61">OFFSET(财务分析!$D$96,0,0,1,目录!$C$10-目录!$C$9+目录!$C$11+1)</definedName>
    <definedName name="MyFun62">OFFSET(财务分析!$D$97,0,0,1,目录!$C$10-目录!$C$9+目录!$C$11+1)</definedName>
    <definedName name="MyFun63">OFFSET(财务分析!$D$98,0,0,1,目录!$C$10-目录!$C$9+目录!$C$11+1)</definedName>
    <definedName name="MyFun64">OFFSET(财务分析!$D$99,0,0,1,目录!$C$10-目录!$C$9+目录!$C$11+1)</definedName>
    <definedName name="MyFun7">OFFSET(财务分析!$D$27,0,0,1,目录!$C$10-目录!$C$9+目录!$C$11+1)</definedName>
    <definedName name="MyFun8">OFFSET(财务分析!$D$28,0,0,1,目录!$C$10-目录!$C$9+目录!$C$11+1)</definedName>
    <definedName name="MyFun9">OFFSET(财务分析!$D$29,0,0,1,目录!$C$10-目录!$C$9+目录!$C$11+1)</definedName>
    <definedName name="MyFunMLV">OFFSET(财务分析!$D$33,0,0,1,目录!$C$10-目录!$C$9+目录!$C$11+1)</definedName>
    <definedName name="Transeyear">绝对估值!$C$4</definedName>
    <definedName name="unit">100000000</definedName>
    <definedName name="单位">目录!$K$13</definedName>
    <definedName name="投资性现金流">OFFSET(预测现金流量表!$D$29,0,0,1,HSheet1!$T$1)</definedName>
    <definedName name="现金净流量">OFFSET(预测现金流量表!$D$52,0,0,1,HSheet1!$T$1)</definedName>
    <definedName name="筹资性现金流">OFFSET(预测现金流量表!$D$39,0,0,1,HSheet1!$T$1)</definedName>
    <definedName name="经营性现金流">OFFSET(预测现金流量表!$D$16,0,0,1,HSheet1!$T$1)</definedName>
    <definedName name="营业成本_营业收入">OFFSET(财务分析!$D$31,0,0,1,目录!$C$10-目录!$C$9+目录!$C$11+1)</definedName>
    <definedName name="财务分析_图表_年份">OFFSET(财务分析!$D$2,0,0,1,目录!$C$10-目录!$C$9+目录!$C$11+1)</definedName>
  </definedNames>
  <calcPr calcId="191029" concurrentManualCount="20"/>
</workbook>
</file>

<file path=xl/calcChain.xml><?xml version="1.0" encoding="utf-8"?>
<calcChain xmlns="http://schemas.openxmlformats.org/spreadsheetml/2006/main">
  <c r="E6" i="14" l="1"/>
  <c r="F6" i="14"/>
  <c r="G6" i="14"/>
  <c r="H6" i="14"/>
  <c r="I6" i="14"/>
  <c r="J6" i="14"/>
  <c r="K6" i="14"/>
  <c r="L6" i="14"/>
  <c r="M6" i="14"/>
  <c r="N6" i="14"/>
  <c r="O6" i="14"/>
  <c r="P6" i="14"/>
  <c r="Q6" i="14"/>
  <c r="R6" i="14"/>
  <c r="S6" i="14"/>
  <c r="T6" i="14"/>
  <c r="C6" i="13" s="1"/>
  <c r="U6" i="14"/>
  <c r="D6" i="13" s="1"/>
  <c r="V6" i="14"/>
  <c r="E6" i="13" s="1"/>
  <c r="W6" i="14"/>
  <c r="F6" i="13" s="1"/>
  <c r="X6" i="14"/>
  <c r="C25" i="13" s="1"/>
  <c r="Y6" i="14"/>
  <c r="Z6" i="14"/>
  <c r="AA6" i="14"/>
  <c r="AB6" i="14"/>
  <c r="AC6" i="14"/>
  <c r="D44" i="13" s="1"/>
  <c r="AD6" i="14"/>
  <c r="E44" i="13" s="1"/>
  <c r="AE6" i="14"/>
  <c r="F44" i="13" s="1"/>
  <c r="AF6" i="14"/>
  <c r="AG6" i="14"/>
  <c r="AH6" i="14"/>
  <c r="AI6" i="14"/>
  <c r="AJ6" i="14"/>
  <c r="E7" i="14"/>
  <c r="F7" i="14"/>
  <c r="G7" i="14"/>
  <c r="H7" i="14"/>
  <c r="I7" i="14"/>
  <c r="J7" i="14"/>
  <c r="K7" i="14"/>
  <c r="L7" i="14"/>
  <c r="M7" i="14"/>
  <c r="N7" i="14"/>
  <c r="O7" i="14"/>
  <c r="P7" i="14"/>
  <c r="Q7" i="14"/>
  <c r="R7" i="14"/>
  <c r="S7" i="14"/>
  <c r="T7" i="14"/>
  <c r="U7" i="14"/>
  <c r="V7" i="14"/>
  <c r="W7" i="14"/>
  <c r="X7" i="14"/>
  <c r="Y7" i="14"/>
  <c r="Z7" i="14"/>
  <c r="AA7" i="14"/>
  <c r="AB7" i="14"/>
  <c r="AC7" i="14"/>
  <c r="AD7" i="14"/>
  <c r="AE7" i="14"/>
  <c r="AF7" i="14"/>
  <c r="AG7" i="14"/>
  <c r="AH7" i="14"/>
  <c r="AI7" i="14"/>
  <c r="AJ7" i="14"/>
  <c r="D7" i="14"/>
  <c r="D6" i="14"/>
  <c r="M30" i="17"/>
  <c r="N30" i="17"/>
  <c r="M31" i="17"/>
  <c r="N31" i="17"/>
  <c r="M32" i="17"/>
  <c r="N32" i="17"/>
  <c r="M33" i="17"/>
  <c r="N33" i="17"/>
  <c r="M34" i="17"/>
  <c r="N34" i="17"/>
  <c r="M36" i="17"/>
  <c r="N36" i="17"/>
  <c r="M37" i="17"/>
  <c r="N37" i="17"/>
  <c r="M38" i="17"/>
  <c r="N38" i="17"/>
  <c r="M40" i="17"/>
  <c r="N40" i="17"/>
  <c r="M41" i="17"/>
  <c r="N41" i="17"/>
  <c r="M42" i="17"/>
  <c r="N42" i="17"/>
  <c r="M43" i="17"/>
  <c r="N43" i="17"/>
  <c r="M44" i="17"/>
  <c r="N44" i="17"/>
  <c r="M45" i="17"/>
  <c r="N45" i="17"/>
  <c r="M46" i="17"/>
  <c r="N46" i="17"/>
  <c r="M48" i="17"/>
  <c r="N48" i="17"/>
  <c r="M49" i="17"/>
  <c r="N49" i="17"/>
  <c r="M50" i="17"/>
  <c r="N50" i="17"/>
  <c r="M51" i="17"/>
  <c r="N51" i="17"/>
  <c r="M52" i="17"/>
  <c r="N52" i="17"/>
  <c r="M53" i="17"/>
  <c r="N53" i="17"/>
  <c r="M54" i="17"/>
  <c r="N54" i="17"/>
  <c r="M56" i="17"/>
  <c r="N56" i="17"/>
  <c r="M57" i="17"/>
  <c r="N57" i="17"/>
  <c r="M58" i="17"/>
  <c r="N58" i="17"/>
  <c r="M59" i="17"/>
  <c r="N59" i="17"/>
  <c r="M7" i="17"/>
  <c r="N7" i="17"/>
  <c r="M8" i="17"/>
  <c r="M17" i="17" s="1"/>
  <c r="M19" i="17" s="1"/>
  <c r="M21" i="17" s="1"/>
  <c r="M23" i="17" s="1"/>
  <c r="N8" i="17"/>
  <c r="N17" i="17" s="1"/>
  <c r="N19" i="17" s="1"/>
  <c r="N21" i="17" s="1"/>
  <c r="N23" i="17" s="1"/>
  <c r="M9" i="17"/>
  <c r="N9" i="17"/>
  <c r="M10" i="17"/>
  <c r="N10" i="17"/>
  <c r="M11" i="17"/>
  <c r="N11" i="17"/>
  <c r="M12" i="17"/>
  <c r="N12" i="17"/>
  <c r="M13" i="17"/>
  <c r="N13" i="17"/>
  <c r="M14" i="17"/>
  <c r="N14" i="17"/>
  <c r="M15" i="17"/>
  <c r="N15" i="17"/>
  <c r="M16" i="17"/>
  <c r="N16" i="17"/>
  <c r="M18" i="17"/>
  <c r="N18" i="17"/>
  <c r="M20" i="17"/>
  <c r="N20" i="17"/>
  <c r="M22" i="17"/>
  <c r="N22" i="17"/>
  <c r="M24" i="17"/>
  <c r="N24" i="17"/>
  <c r="M25" i="17"/>
  <c r="N25" i="17"/>
  <c r="H42" i="17"/>
  <c r="I42" i="17"/>
  <c r="H43" i="17"/>
  <c r="I43" i="17"/>
  <c r="H44" i="17"/>
  <c r="I44" i="17"/>
  <c r="H45" i="17"/>
  <c r="I45" i="17"/>
  <c r="H52" i="17"/>
  <c r="I52" i="17"/>
  <c r="H53" i="17"/>
  <c r="I53" i="17"/>
  <c r="H54" i="17"/>
  <c r="I54" i="17"/>
  <c r="H55" i="17"/>
  <c r="I55" i="17"/>
  <c r="H56" i="17"/>
  <c r="I56" i="17"/>
  <c r="H32" i="17"/>
  <c r="I32" i="17"/>
  <c r="H33" i="17"/>
  <c r="I33" i="17"/>
  <c r="H34" i="17"/>
  <c r="I34" i="17"/>
  <c r="H35" i="17"/>
  <c r="I35" i="17"/>
  <c r="H36" i="17"/>
  <c r="I36" i="17"/>
  <c r="H37" i="17"/>
  <c r="I37" i="17"/>
  <c r="H38" i="17"/>
  <c r="I38" i="17"/>
  <c r="H7" i="17"/>
  <c r="I7" i="17"/>
  <c r="H8" i="17"/>
  <c r="I8" i="17"/>
  <c r="H9" i="17"/>
  <c r="I9" i="17"/>
  <c r="H10" i="17"/>
  <c r="I10" i="17"/>
  <c r="H11" i="17"/>
  <c r="I11" i="17"/>
  <c r="H12" i="17"/>
  <c r="I12" i="17"/>
  <c r="H13" i="17"/>
  <c r="I13" i="17"/>
  <c r="H14" i="17"/>
  <c r="I14" i="17"/>
  <c r="H15" i="17"/>
  <c r="I15" i="17"/>
  <c r="H16" i="17"/>
  <c r="I16" i="17"/>
  <c r="H17" i="17"/>
  <c r="I17" i="17"/>
  <c r="H18" i="17"/>
  <c r="I18" i="17"/>
  <c r="H19" i="17"/>
  <c r="I19" i="17"/>
  <c r="H21" i="17"/>
  <c r="H20" i="17" s="1"/>
  <c r="I21" i="17"/>
  <c r="I20" i="17" s="1"/>
  <c r="H22" i="17"/>
  <c r="I22" i="17"/>
  <c r="H23" i="17"/>
  <c r="I23" i="17"/>
  <c r="H24" i="17"/>
  <c r="I24" i="17"/>
  <c r="H25" i="17"/>
  <c r="H27" i="17" s="1"/>
  <c r="I25" i="17"/>
  <c r="I27" i="17" s="1"/>
  <c r="H26" i="17"/>
  <c r="I26" i="17"/>
  <c r="F21" i="10"/>
  <c r="G21" i="10"/>
  <c r="H21" i="10"/>
  <c r="I21" i="10"/>
  <c r="J21" i="10"/>
  <c r="F22" i="10"/>
  <c r="G22" i="10"/>
  <c r="H22" i="10"/>
  <c r="I22" i="10"/>
  <c r="J22" i="10"/>
  <c r="F23" i="10"/>
  <c r="G23" i="10"/>
  <c r="H23" i="10"/>
  <c r="I23" i="10"/>
  <c r="J23" i="10"/>
  <c r="F24" i="10"/>
  <c r="G24" i="10"/>
  <c r="H24" i="10"/>
  <c r="I24" i="10"/>
  <c r="J24" i="10"/>
  <c r="F25" i="10"/>
  <c r="G25" i="10"/>
  <c r="H25" i="10"/>
  <c r="I25" i="10"/>
  <c r="J25" i="10"/>
  <c r="F26" i="10"/>
  <c r="G26" i="10"/>
  <c r="H26" i="10"/>
  <c r="I26" i="10"/>
  <c r="J26" i="10"/>
  <c r="F27" i="10"/>
  <c r="G27" i="10"/>
  <c r="H27" i="10"/>
  <c r="I27" i="10"/>
  <c r="J27" i="10"/>
  <c r="F28" i="10"/>
  <c r="G28" i="10"/>
  <c r="H28" i="10"/>
  <c r="I28" i="10"/>
  <c r="J28" i="10"/>
  <c r="F29" i="10"/>
  <c r="G29" i="10"/>
  <c r="H29" i="10"/>
  <c r="I29" i="10"/>
  <c r="J29" i="10"/>
  <c r="F30" i="10"/>
  <c r="G30" i="10"/>
  <c r="H30" i="10"/>
  <c r="I30" i="10"/>
  <c r="J30" i="10"/>
  <c r="F31" i="10"/>
  <c r="G31" i="10"/>
  <c r="H31" i="10"/>
  <c r="I31" i="10"/>
  <c r="J31" i="10"/>
  <c r="F33" i="10"/>
  <c r="G33" i="10"/>
  <c r="H33" i="10"/>
  <c r="I33" i="10"/>
  <c r="J33" i="10"/>
  <c r="F34" i="10"/>
  <c r="G34" i="10"/>
  <c r="H34" i="10"/>
  <c r="I34" i="10"/>
  <c r="J34" i="10"/>
  <c r="F35" i="10"/>
  <c r="G35" i="10"/>
  <c r="H35" i="10"/>
  <c r="I35" i="10"/>
  <c r="J35" i="10"/>
  <c r="F36" i="10"/>
  <c r="G36" i="10"/>
  <c r="H36" i="10"/>
  <c r="I36" i="10"/>
  <c r="J36" i="10"/>
  <c r="F37" i="10"/>
  <c r="G37" i="10"/>
  <c r="H37" i="10"/>
  <c r="I37" i="10"/>
  <c r="J37" i="10"/>
  <c r="F38" i="10"/>
  <c r="G38" i="10"/>
  <c r="H38" i="10"/>
  <c r="I38" i="10"/>
  <c r="J38" i="10"/>
  <c r="F39" i="10"/>
  <c r="G39" i="10"/>
  <c r="H39" i="10"/>
  <c r="I39" i="10"/>
  <c r="J39" i="10"/>
  <c r="F40" i="10"/>
  <c r="G40" i="10"/>
  <c r="H40" i="10"/>
  <c r="I40" i="10"/>
  <c r="J40" i="10"/>
  <c r="F41" i="10"/>
  <c r="G41" i="10"/>
  <c r="H41" i="10"/>
  <c r="I41" i="10"/>
  <c r="J41" i="10"/>
  <c r="F42" i="10"/>
  <c r="G42" i="10"/>
  <c r="H42" i="10"/>
  <c r="I42" i="10"/>
  <c r="J42" i="10"/>
  <c r="F43" i="10"/>
  <c r="G43" i="10"/>
  <c r="H43" i="10"/>
  <c r="I43" i="10"/>
  <c r="J43" i="10"/>
  <c r="F44" i="10"/>
  <c r="G44" i="10"/>
  <c r="H44" i="10"/>
  <c r="I44" i="10"/>
  <c r="J44" i="10"/>
  <c r="F45" i="10"/>
  <c r="G45" i="10"/>
  <c r="H45" i="10"/>
  <c r="I45" i="10"/>
  <c r="J45" i="10"/>
  <c r="F46" i="10"/>
  <c r="G46" i="10"/>
  <c r="H46" i="10"/>
  <c r="I46" i="10"/>
  <c r="J46" i="10"/>
  <c r="F47" i="10"/>
  <c r="G47" i="10"/>
  <c r="H47" i="10"/>
  <c r="I47" i="10"/>
  <c r="J47" i="10"/>
  <c r="F48" i="10"/>
  <c r="G48" i="10"/>
  <c r="H48" i="10"/>
  <c r="I48" i="10"/>
  <c r="J48" i="10"/>
  <c r="F49" i="10"/>
  <c r="G49" i="10"/>
  <c r="H49" i="10"/>
  <c r="I49" i="10"/>
  <c r="J49" i="10"/>
  <c r="F50" i="10"/>
  <c r="G50" i="10"/>
  <c r="H50" i="10"/>
  <c r="I50" i="10"/>
  <c r="J50" i="10"/>
  <c r="F54" i="10"/>
  <c r="G54" i="10"/>
  <c r="H54" i="10"/>
  <c r="I54" i="10"/>
  <c r="J54" i="10"/>
  <c r="F55" i="10"/>
  <c r="G55" i="10"/>
  <c r="H55" i="10"/>
  <c r="I55" i="10"/>
  <c r="J55" i="10"/>
  <c r="F56" i="10"/>
  <c r="G56" i="10"/>
  <c r="H56" i="10"/>
  <c r="I56" i="10"/>
  <c r="J56" i="10"/>
  <c r="F57" i="10"/>
  <c r="G57" i="10"/>
  <c r="H57" i="10"/>
  <c r="I57" i="10"/>
  <c r="J57" i="10"/>
  <c r="F58" i="10"/>
  <c r="G58" i="10"/>
  <c r="H58" i="10"/>
  <c r="I58" i="10"/>
  <c r="J58" i="10"/>
  <c r="F59" i="10"/>
  <c r="G59" i="10"/>
  <c r="H59" i="10"/>
  <c r="I59" i="10"/>
  <c r="J59" i="10"/>
  <c r="F60" i="10"/>
  <c r="G60" i="10"/>
  <c r="H60" i="10"/>
  <c r="I60" i="10"/>
  <c r="J60" i="10"/>
  <c r="F61" i="10"/>
  <c r="G61" i="10"/>
  <c r="H61" i="10"/>
  <c r="I61" i="10"/>
  <c r="J61" i="10"/>
  <c r="F62" i="10"/>
  <c r="G62" i="10"/>
  <c r="H62" i="10"/>
  <c r="I62" i="10"/>
  <c r="J62" i="10"/>
  <c r="F65" i="10"/>
  <c r="G65" i="10"/>
  <c r="H65" i="10"/>
  <c r="I65" i="10"/>
  <c r="J65" i="10"/>
  <c r="F66" i="10"/>
  <c r="G66" i="10"/>
  <c r="H66" i="10"/>
  <c r="I66" i="10"/>
  <c r="J66" i="10"/>
  <c r="F67" i="10"/>
  <c r="G67" i="10"/>
  <c r="H67" i="10"/>
  <c r="I67" i="10"/>
  <c r="J67" i="10"/>
  <c r="F68" i="10"/>
  <c r="G68" i="10"/>
  <c r="H68" i="10"/>
  <c r="I68" i="10"/>
  <c r="J68" i="10"/>
  <c r="F69" i="10"/>
  <c r="G69" i="10"/>
  <c r="H69" i="10"/>
  <c r="I69" i="10"/>
  <c r="J69" i="10"/>
  <c r="F70" i="10"/>
  <c r="G70" i="10"/>
  <c r="H70" i="10"/>
  <c r="I70" i="10"/>
  <c r="J70" i="10"/>
  <c r="F71" i="10"/>
  <c r="G71" i="10"/>
  <c r="H71" i="10"/>
  <c r="I71" i="10"/>
  <c r="J71" i="10"/>
  <c r="F72" i="10"/>
  <c r="G72" i="10"/>
  <c r="H72" i="10"/>
  <c r="I72" i="10"/>
  <c r="J72" i="10"/>
  <c r="F73" i="10"/>
  <c r="G73" i="10"/>
  <c r="H73" i="10"/>
  <c r="I73" i="10"/>
  <c r="J73" i="10"/>
  <c r="F84" i="10"/>
  <c r="G84" i="10"/>
  <c r="H84" i="10"/>
  <c r="I84" i="10"/>
  <c r="J84" i="10"/>
  <c r="F92" i="10"/>
  <c r="F93" i="10" s="1"/>
  <c r="G92" i="10"/>
  <c r="G93" i="10" s="1"/>
  <c r="H92" i="10"/>
  <c r="H93" i="10" s="1"/>
  <c r="I92" i="10"/>
  <c r="I93" i="10" s="1"/>
  <c r="J92" i="10"/>
  <c r="J93" i="10" s="1"/>
  <c r="K12" i="11"/>
  <c r="J12" i="11"/>
  <c r="I12" i="11"/>
  <c r="H12" i="11"/>
  <c r="G12" i="11"/>
  <c r="F12" i="11"/>
  <c r="E12" i="11"/>
  <c r="I14" i="11"/>
  <c r="J14" i="11"/>
  <c r="K14" i="11"/>
  <c r="H14" i="11"/>
  <c r="J13" i="11"/>
  <c r="K13" i="11"/>
  <c r="J16" i="11"/>
  <c r="K16" i="11"/>
  <c r="J22" i="11"/>
  <c r="K22" i="11"/>
  <c r="J36" i="11"/>
  <c r="K36" i="11"/>
  <c r="J48" i="11"/>
  <c r="K48" i="11"/>
  <c r="J58" i="11"/>
  <c r="K58" i="11"/>
  <c r="J74" i="11"/>
  <c r="K74" i="11"/>
  <c r="F14" i="11"/>
  <c r="F13" i="11" s="1"/>
  <c r="G14" i="11"/>
  <c r="G13" i="11" s="1"/>
  <c r="F16" i="11"/>
  <c r="G16" i="11"/>
  <c r="F21" i="11"/>
  <c r="G21" i="11"/>
  <c r="F35" i="11"/>
  <c r="G35" i="11"/>
  <c r="F47" i="11"/>
  <c r="G47" i="11"/>
  <c r="F57" i="11"/>
  <c r="G57" i="11"/>
  <c r="F73" i="11"/>
  <c r="G73" i="11"/>
  <c r="M16" i="26"/>
  <c r="M17" i="26"/>
  <c r="M18" i="26"/>
  <c r="M19" i="26"/>
  <c r="M23" i="26"/>
  <c r="M25" i="26"/>
  <c r="M26" i="26"/>
  <c r="M38" i="26"/>
  <c r="I3" i="26"/>
  <c r="M8" i="26" s="1"/>
  <c r="I4" i="26"/>
  <c r="I5" i="26"/>
  <c r="I6" i="26"/>
  <c r="I7" i="26"/>
  <c r="I8" i="26"/>
  <c r="I11" i="26"/>
  <c r="I12" i="26"/>
  <c r="I13" i="26"/>
  <c r="M13" i="26" s="1"/>
  <c r="I14" i="26"/>
  <c r="I15" i="26"/>
  <c r="I16" i="26"/>
  <c r="E16" i="26" s="1"/>
  <c r="I17" i="26"/>
  <c r="E17" i="26" s="1"/>
  <c r="I18" i="26"/>
  <c r="E18" i="26" s="1"/>
  <c r="I19" i="26"/>
  <c r="E19" i="26" s="1"/>
  <c r="I20" i="26"/>
  <c r="I21" i="26"/>
  <c r="I22" i="26"/>
  <c r="I23" i="26"/>
  <c r="E23" i="26" s="1"/>
  <c r="I25" i="26"/>
  <c r="I26" i="26"/>
  <c r="I27" i="26"/>
  <c r="M27" i="26" s="1"/>
  <c r="I28" i="26"/>
  <c r="M28" i="26" s="1"/>
  <c r="I29" i="26"/>
  <c r="M29" i="26" s="1"/>
  <c r="I30" i="26"/>
  <c r="M30" i="26" s="1"/>
  <c r="I31" i="26"/>
  <c r="M31" i="26" s="1"/>
  <c r="I32" i="26"/>
  <c r="M32" i="26" s="1"/>
  <c r="I33" i="26"/>
  <c r="M33" i="26" s="1"/>
  <c r="I34" i="26"/>
  <c r="M34" i="26" s="1"/>
  <c r="I35" i="26"/>
  <c r="M35" i="26" s="1"/>
  <c r="I37" i="26"/>
  <c r="I38" i="26"/>
  <c r="I39" i="26"/>
  <c r="I40" i="26"/>
  <c r="I41" i="26"/>
  <c r="E3" i="26"/>
  <c r="E25" i="26"/>
  <c r="E26" i="26"/>
  <c r="E27" i="26"/>
  <c r="E28" i="26"/>
  <c r="E29" i="26"/>
  <c r="E30" i="26"/>
  <c r="E31" i="26"/>
  <c r="E32" i="26"/>
  <c r="E33" i="26"/>
  <c r="E34" i="26"/>
  <c r="E35" i="26"/>
  <c r="E38" i="26"/>
  <c r="I8" i="8"/>
  <c r="J8" i="8"/>
  <c r="I10" i="8"/>
  <c r="I9" i="8" s="1"/>
  <c r="J10" i="8"/>
  <c r="J9" i="8" s="1"/>
  <c r="I12" i="8"/>
  <c r="I11" i="8" s="1"/>
  <c r="J12" i="8"/>
  <c r="J11" i="8" s="1"/>
  <c r="I14" i="8"/>
  <c r="I13" i="8" s="1"/>
  <c r="J14" i="8"/>
  <c r="J13" i="8" s="1"/>
  <c r="I16" i="8"/>
  <c r="I15" i="8" s="1"/>
  <c r="J16" i="8"/>
  <c r="J15" i="8" s="1"/>
  <c r="I17" i="8"/>
  <c r="J17" i="8" s="1"/>
  <c r="I18" i="8"/>
  <c r="J18" i="8"/>
  <c r="I20" i="8"/>
  <c r="J20" i="8"/>
  <c r="I21" i="8"/>
  <c r="J21" i="8"/>
  <c r="I22" i="8"/>
  <c r="I31" i="8" s="1"/>
  <c r="I23" i="8"/>
  <c r="J23" i="8"/>
  <c r="I24" i="8"/>
  <c r="J24" i="8"/>
  <c r="I25" i="8"/>
  <c r="J25" i="8"/>
  <c r="I26" i="8"/>
  <c r="J26" i="8"/>
  <c r="I27" i="8"/>
  <c r="J27" i="8"/>
  <c r="I28" i="8"/>
  <c r="J28" i="8"/>
  <c r="I29" i="8"/>
  <c r="J29" i="8"/>
  <c r="I30" i="8"/>
  <c r="J30" i="8"/>
  <c r="I35" i="8"/>
  <c r="I82" i="8" s="1"/>
  <c r="J35" i="8"/>
  <c r="J93" i="8" s="1"/>
  <c r="I37" i="8"/>
  <c r="I36" i="8" s="1"/>
  <c r="J37" i="8"/>
  <c r="J36" i="8" s="1"/>
  <c r="I39" i="8"/>
  <c r="I38" i="8" s="1"/>
  <c r="J39" i="8"/>
  <c r="J38" i="8" s="1"/>
  <c r="I40" i="8"/>
  <c r="J40" i="8"/>
  <c r="I41" i="8"/>
  <c r="J41" i="8"/>
  <c r="I42" i="8"/>
  <c r="J42" i="8"/>
  <c r="I45" i="8"/>
  <c r="J45" i="8"/>
  <c r="I46" i="8"/>
  <c r="J46" i="8"/>
  <c r="I47" i="8"/>
  <c r="J47" i="8"/>
  <c r="I48" i="8"/>
  <c r="J48" i="8" s="1"/>
  <c r="I54" i="8"/>
  <c r="I58" i="8"/>
  <c r="I57" i="8" s="1"/>
  <c r="J58" i="8" s="1"/>
  <c r="I59" i="8"/>
  <c r="I61" i="8"/>
  <c r="I77" i="8"/>
  <c r="J77" i="8"/>
  <c r="I90" i="8"/>
  <c r="F7" i="8"/>
  <c r="G7" i="8"/>
  <c r="F8" i="8"/>
  <c r="G8" i="8"/>
  <c r="F9" i="8"/>
  <c r="G9" i="8"/>
  <c r="F10" i="8"/>
  <c r="G10" i="8"/>
  <c r="F11" i="8"/>
  <c r="G11" i="8"/>
  <c r="F12" i="8"/>
  <c r="G12" i="8"/>
  <c r="F13" i="8"/>
  <c r="G13" i="8"/>
  <c r="F14" i="8"/>
  <c r="G14" i="8"/>
  <c r="F15" i="8"/>
  <c r="G15" i="8"/>
  <c r="F16" i="8"/>
  <c r="G16" i="8"/>
  <c r="F17" i="8"/>
  <c r="G17" i="8"/>
  <c r="F18" i="8"/>
  <c r="G18" i="8"/>
  <c r="F19" i="8"/>
  <c r="G19" i="8"/>
  <c r="F20" i="8"/>
  <c r="G20" i="8"/>
  <c r="F21" i="8"/>
  <c r="G21" i="8"/>
  <c r="F22" i="8"/>
  <c r="G22" i="8"/>
  <c r="F23" i="8"/>
  <c r="G23" i="8"/>
  <c r="F24" i="8"/>
  <c r="G24" i="8"/>
  <c r="F25" i="8"/>
  <c r="G25" i="8"/>
  <c r="F26" i="8"/>
  <c r="G26" i="8"/>
  <c r="F27" i="8"/>
  <c r="G27" i="8"/>
  <c r="F28" i="8"/>
  <c r="G28" i="8"/>
  <c r="F29" i="8"/>
  <c r="G29" i="8"/>
  <c r="F30" i="8"/>
  <c r="G30" i="8"/>
  <c r="F31" i="8"/>
  <c r="G31" i="8"/>
  <c r="F32" i="8"/>
  <c r="G32" i="8"/>
  <c r="F34" i="8"/>
  <c r="G34" i="8"/>
  <c r="F35" i="8"/>
  <c r="F93" i="8" s="1"/>
  <c r="G35" i="8"/>
  <c r="G93" i="8" s="1"/>
  <c r="F36" i="8"/>
  <c r="G36" i="8"/>
  <c r="F37" i="8"/>
  <c r="G37" i="8"/>
  <c r="F38" i="8"/>
  <c r="G38" i="8"/>
  <c r="F39" i="8"/>
  <c r="G39" i="8"/>
  <c r="F40" i="8"/>
  <c r="G40" i="8"/>
  <c r="F41" i="8"/>
  <c r="G41" i="8"/>
  <c r="F42" i="8"/>
  <c r="G42" i="8"/>
  <c r="F43" i="8"/>
  <c r="G43" i="8"/>
  <c r="F44" i="8"/>
  <c r="G44" i="8"/>
  <c r="F45" i="8"/>
  <c r="G45" i="8"/>
  <c r="F46" i="8"/>
  <c r="G46" i="8"/>
  <c r="F47" i="8"/>
  <c r="G47" i="8"/>
  <c r="F48" i="8"/>
  <c r="G48" i="8"/>
  <c r="F49" i="8"/>
  <c r="G49" i="8"/>
  <c r="F50" i="8"/>
  <c r="G50" i="8"/>
  <c r="F52" i="8"/>
  <c r="G52" i="8"/>
  <c r="F53" i="8"/>
  <c r="G53" i="8"/>
  <c r="F54" i="8"/>
  <c r="G54" i="8"/>
  <c r="F57" i="8"/>
  <c r="G57" i="8"/>
  <c r="F58" i="8"/>
  <c r="G58" i="8"/>
  <c r="F59" i="8"/>
  <c r="G59" i="8"/>
  <c r="F60" i="8"/>
  <c r="F62" i="8" s="1"/>
  <c r="F63" i="8" s="1"/>
  <c r="G60" i="8"/>
  <c r="G62" i="8" s="1"/>
  <c r="F61" i="8"/>
  <c r="G61" i="8"/>
  <c r="F68" i="8"/>
  <c r="G68" i="8"/>
  <c r="F69" i="8"/>
  <c r="G69" i="8"/>
  <c r="F70" i="8"/>
  <c r="F91" i="8" s="1"/>
  <c r="G70" i="8"/>
  <c r="G91" i="8" s="1"/>
  <c r="F72" i="8"/>
  <c r="G72" i="8"/>
  <c r="F75" i="8"/>
  <c r="F78" i="8" s="1"/>
  <c r="F85" i="8" s="1"/>
  <c r="F86" i="8" s="1"/>
  <c r="F51" i="9" s="1"/>
  <c r="G75" i="8"/>
  <c r="G78" i="8" s="1"/>
  <c r="G85" i="8" s="1"/>
  <c r="G86" i="8" s="1"/>
  <c r="G51" i="9" s="1"/>
  <c r="F76" i="8"/>
  <c r="G76" i="8"/>
  <c r="F77" i="8"/>
  <c r="G77" i="8"/>
  <c r="F80" i="8"/>
  <c r="G80" i="8"/>
  <c r="F81" i="8"/>
  <c r="G81" i="8"/>
  <c r="F82" i="8"/>
  <c r="G82" i="8"/>
  <c r="F83" i="8"/>
  <c r="G83" i="8"/>
  <c r="F89" i="8"/>
  <c r="G89" i="8"/>
  <c r="F90" i="8"/>
  <c r="G90" i="8"/>
  <c r="F92" i="8"/>
  <c r="G92" i="8"/>
  <c r="I8" i="9"/>
  <c r="J8" i="9"/>
  <c r="I9" i="9"/>
  <c r="J9" i="9"/>
  <c r="I21" i="9"/>
  <c r="J21" i="9"/>
  <c r="I22" i="9"/>
  <c r="J22" i="9"/>
  <c r="I23" i="9"/>
  <c r="J23" i="9"/>
  <c r="I24" i="9"/>
  <c r="J24" i="9"/>
  <c r="I25" i="9"/>
  <c r="J25" i="9"/>
  <c r="I26" i="9"/>
  <c r="J26" i="9"/>
  <c r="I27" i="9"/>
  <c r="J27" i="9"/>
  <c r="I47" i="9"/>
  <c r="I48" i="9"/>
  <c r="J48" i="9"/>
  <c r="I49" i="9"/>
  <c r="I60" i="9"/>
  <c r="F7" i="9"/>
  <c r="G7" i="9"/>
  <c r="F8" i="9"/>
  <c r="G8" i="9"/>
  <c r="F9" i="9"/>
  <c r="G9" i="9"/>
  <c r="F10" i="9"/>
  <c r="G10" i="9"/>
  <c r="F12" i="9"/>
  <c r="G12" i="9"/>
  <c r="F13" i="9"/>
  <c r="G13" i="9"/>
  <c r="F14" i="9"/>
  <c r="G14" i="9"/>
  <c r="F15" i="9"/>
  <c r="G15" i="9"/>
  <c r="F16" i="9"/>
  <c r="G16" i="9"/>
  <c r="F19" i="9"/>
  <c r="G19" i="9"/>
  <c r="F20" i="9"/>
  <c r="G20" i="9"/>
  <c r="F21" i="9"/>
  <c r="G21" i="9"/>
  <c r="F22" i="9"/>
  <c r="G22" i="9"/>
  <c r="F23" i="9"/>
  <c r="G23" i="9"/>
  <c r="F26" i="9"/>
  <c r="G26" i="9"/>
  <c r="F28" i="9"/>
  <c r="G28" i="9"/>
  <c r="F29" i="9"/>
  <c r="G29" i="9"/>
  <c r="F32" i="9"/>
  <c r="F37" i="9" s="1"/>
  <c r="G32" i="9"/>
  <c r="G37" i="9" s="1"/>
  <c r="F33" i="9"/>
  <c r="F61" i="9" s="1"/>
  <c r="G33" i="9"/>
  <c r="G61" i="9" s="1"/>
  <c r="F34" i="9"/>
  <c r="G34" i="9"/>
  <c r="F36" i="9"/>
  <c r="G36" i="9"/>
  <c r="F39" i="9"/>
  <c r="G39" i="9"/>
  <c r="F42" i="9"/>
  <c r="G42" i="9"/>
  <c r="F43" i="9"/>
  <c r="G43" i="9"/>
  <c r="F44" i="9"/>
  <c r="G44" i="9"/>
  <c r="F47" i="9"/>
  <c r="G47" i="9"/>
  <c r="F48" i="9"/>
  <c r="G48" i="9"/>
  <c r="F49" i="9"/>
  <c r="G49" i="9"/>
  <c r="F54" i="9"/>
  <c r="G54" i="9"/>
  <c r="F60" i="9"/>
  <c r="G60" i="9"/>
  <c r="F62" i="9"/>
  <c r="G62" i="9"/>
  <c r="E54" i="9"/>
  <c r="I8" i="5"/>
  <c r="I7" i="5" s="1"/>
  <c r="J8" i="5"/>
  <c r="I10" i="5"/>
  <c r="J10" i="5"/>
  <c r="I12" i="5"/>
  <c r="J12" i="5"/>
  <c r="I14" i="5"/>
  <c r="J14" i="5"/>
  <c r="I16" i="5"/>
  <c r="J16" i="5"/>
  <c r="I18" i="5"/>
  <c r="J18" i="5"/>
  <c r="I20" i="5"/>
  <c r="J20" i="5"/>
  <c r="I21" i="5"/>
  <c r="J21" i="5"/>
  <c r="I25" i="5"/>
  <c r="J25" i="5"/>
  <c r="I29" i="5"/>
  <c r="I59" i="5" s="1"/>
  <c r="I65" i="5" s="1"/>
  <c r="J29" i="5"/>
  <c r="I30" i="5"/>
  <c r="J30" i="5"/>
  <c r="I33" i="5"/>
  <c r="J33" i="5"/>
  <c r="I34" i="5"/>
  <c r="J34" i="5"/>
  <c r="I35" i="5"/>
  <c r="J35" i="5"/>
  <c r="I38" i="5"/>
  <c r="J38" i="5"/>
  <c r="I44" i="5"/>
  <c r="J44" i="5" s="1"/>
  <c r="I47" i="5"/>
  <c r="J47" i="5"/>
  <c r="I55" i="5"/>
  <c r="J55" i="5"/>
  <c r="I60" i="5"/>
  <c r="J60" i="5"/>
  <c r="I61" i="5"/>
  <c r="J61" i="5"/>
  <c r="I62" i="5"/>
  <c r="J62" i="5"/>
  <c r="I63" i="5"/>
  <c r="J63" i="5"/>
  <c r="I64" i="5"/>
  <c r="J64" i="5"/>
  <c r="I87" i="5"/>
  <c r="J87" i="5"/>
  <c r="I94" i="5"/>
  <c r="J94" i="5"/>
  <c r="F7" i="5"/>
  <c r="G7" i="5"/>
  <c r="F8" i="5"/>
  <c r="G8" i="5"/>
  <c r="F9" i="5"/>
  <c r="G9" i="5"/>
  <c r="F10" i="5"/>
  <c r="G10" i="5"/>
  <c r="F11" i="5"/>
  <c r="G11" i="5"/>
  <c r="F12" i="5"/>
  <c r="G12" i="5"/>
  <c r="F13" i="5"/>
  <c r="G13" i="5"/>
  <c r="F14" i="5"/>
  <c r="G14" i="5"/>
  <c r="F15" i="5"/>
  <c r="G15" i="5"/>
  <c r="F16" i="5"/>
  <c r="G16" i="5"/>
  <c r="F17" i="5"/>
  <c r="G17" i="5"/>
  <c r="F18" i="5"/>
  <c r="G18" i="5"/>
  <c r="F19" i="5"/>
  <c r="G19" i="5"/>
  <c r="F20" i="5"/>
  <c r="G20" i="5"/>
  <c r="F21" i="5"/>
  <c r="G21" i="5"/>
  <c r="F23" i="5"/>
  <c r="G23" i="5"/>
  <c r="F24" i="5"/>
  <c r="G24" i="5"/>
  <c r="F25" i="5"/>
  <c r="F75" i="5" s="1"/>
  <c r="G25" i="5"/>
  <c r="G75" i="5" s="1"/>
  <c r="F26" i="5"/>
  <c r="G26" i="5"/>
  <c r="F29" i="5"/>
  <c r="G29" i="5"/>
  <c r="F30" i="5"/>
  <c r="G30" i="5"/>
  <c r="F32" i="5"/>
  <c r="G32" i="5"/>
  <c r="F34" i="5"/>
  <c r="G34" i="5"/>
  <c r="F35" i="5"/>
  <c r="G35" i="5"/>
  <c r="F36" i="5"/>
  <c r="G36" i="5"/>
  <c r="F37" i="5"/>
  <c r="G37" i="5"/>
  <c r="F38" i="5"/>
  <c r="G38" i="5"/>
  <c r="F39" i="5"/>
  <c r="G39" i="5"/>
  <c r="F42" i="5"/>
  <c r="F73" i="5" s="1"/>
  <c r="F77" i="5" s="1"/>
  <c r="G42" i="5"/>
  <c r="G93" i="5" s="1"/>
  <c r="F43" i="5"/>
  <c r="F44" i="5" s="1"/>
  <c r="G43" i="5"/>
  <c r="G44" i="5" s="1"/>
  <c r="F45" i="5"/>
  <c r="G45" i="5"/>
  <c r="F46" i="5"/>
  <c r="G46" i="5"/>
  <c r="F47" i="5"/>
  <c r="G47" i="5"/>
  <c r="F48" i="5"/>
  <c r="G48" i="5"/>
  <c r="F51" i="5"/>
  <c r="G51" i="5"/>
  <c r="F52" i="5"/>
  <c r="G52" i="5"/>
  <c r="F53" i="5"/>
  <c r="G53" i="5"/>
  <c r="F54" i="5"/>
  <c r="F56" i="5" s="1"/>
  <c r="G54" i="5"/>
  <c r="G56" i="5" s="1"/>
  <c r="F55" i="5"/>
  <c r="G55" i="5"/>
  <c r="F59" i="5"/>
  <c r="G59" i="5"/>
  <c r="F60" i="5"/>
  <c r="G60" i="5"/>
  <c r="F61" i="5"/>
  <c r="G61" i="5"/>
  <c r="F63" i="5"/>
  <c r="G63" i="5"/>
  <c r="F64" i="5"/>
  <c r="G64" i="5"/>
  <c r="F65" i="5"/>
  <c r="G65" i="5"/>
  <c r="F66" i="5"/>
  <c r="F67" i="5"/>
  <c r="F74" i="5" s="1"/>
  <c r="F69" i="5"/>
  <c r="F79" i="5"/>
  <c r="F81" i="5"/>
  <c r="F86" i="5"/>
  <c r="F88" i="5" s="1"/>
  <c r="F87" i="5"/>
  <c r="G87" i="5"/>
  <c r="F94" i="5"/>
  <c r="G94" i="5"/>
  <c r="E79" i="5"/>
  <c r="D69" i="4"/>
  <c r="D67" i="4"/>
  <c r="D64" i="4"/>
  <c r="D62" i="4"/>
  <c r="D59" i="4"/>
  <c r="D57" i="4"/>
  <c r="D55" i="4"/>
  <c r="G42" i="4"/>
  <c r="G43" i="4"/>
  <c r="B6" i="15"/>
  <c r="C6" i="15"/>
  <c r="D6" i="15"/>
  <c r="E6" i="15"/>
  <c r="F6" i="15"/>
  <c r="G6" i="15"/>
  <c r="H6" i="15"/>
  <c r="I6" i="15"/>
  <c r="J6" i="15"/>
  <c r="K6" i="15"/>
  <c r="L6" i="15"/>
  <c r="M6" i="15"/>
  <c r="N6" i="15"/>
  <c r="O6" i="15"/>
  <c r="P6" i="15"/>
  <c r="Q6" i="15"/>
  <c r="R6" i="15"/>
  <c r="S6" i="15"/>
  <c r="T6" i="15"/>
  <c r="B7" i="15"/>
  <c r="C7" i="15"/>
  <c r="D7" i="15"/>
  <c r="E7" i="15"/>
  <c r="F7" i="15"/>
  <c r="G7" i="15"/>
  <c r="H7" i="15"/>
  <c r="I7" i="15"/>
  <c r="J7" i="15"/>
  <c r="K7" i="15"/>
  <c r="L7" i="15"/>
  <c r="M7" i="15"/>
  <c r="N7" i="15"/>
  <c r="O7" i="15"/>
  <c r="P7" i="15"/>
  <c r="Q7" i="15"/>
  <c r="Q260" i="15" s="1"/>
  <c r="R7" i="15"/>
  <c r="S7" i="15"/>
  <c r="T7" i="15"/>
  <c r="B8" i="15"/>
  <c r="C8" i="15"/>
  <c r="D8" i="15"/>
  <c r="E8" i="15"/>
  <c r="F8" i="15"/>
  <c r="G8" i="15"/>
  <c r="H8" i="15"/>
  <c r="I8" i="15"/>
  <c r="J8" i="15"/>
  <c r="K8" i="15"/>
  <c r="L8" i="15"/>
  <c r="M8" i="15"/>
  <c r="N8" i="15"/>
  <c r="O8" i="15"/>
  <c r="P8" i="15"/>
  <c r="Q8" i="15"/>
  <c r="R8" i="15"/>
  <c r="S8" i="15"/>
  <c r="T8" i="15"/>
  <c r="B9" i="15"/>
  <c r="C9" i="15"/>
  <c r="D9" i="15"/>
  <c r="E9" i="15"/>
  <c r="F9" i="15"/>
  <c r="G9" i="15"/>
  <c r="H9" i="15"/>
  <c r="I9" i="15"/>
  <c r="J9" i="15"/>
  <c r="K9" i="15"/>
  <c r="L9" i="15"/>
  <c r="M9" i="15"/>
  <c r="N9" i="15"/>
  <c r="O9" i="15"/>
  <c r="P9" i="15"/>
  <c r="Q9" i="15"/>
  <c r="R9" i="15"/>
  <c r="S9" i="15"/>
  <c r="T9" i="15"/>
  <c r="B10" i="15"/>
  <c r="C10" i="15"/>
  <c r="D10" i="15"/>
  <c r="E10" i="15"/>
  <c r="F10" i="15"/>
  <c r="G10" i="15"/>
  <c r="H10" i="15"/>
  <c r="I10" i="15"/>
  <c r="J10" i="15"/>
  <c r="K10" i="15"/>
  <c r="L10" i="15"/>
  <c r="M10" i="15"/>
  <c r="N10" i="15"/>
  <c r="O10" i="15"/>
  <c r="P10" i="15"/>
  <c r="Q10" i="15"/>
  <c r="R10" i="15"/>
  <c r="S10" i="15"/>
  <c r="T10" i="15"/>
  <c r="B11" i="15"/>
  <c r="C11" i="15"/>
  <c r="D11" i="15"/>
  <c r="E11" i="15"/>
  <c r="F11" i="15"/>
  <c r="G11" i="15"/>
  <c r="H11" i="15"/>
  <c r="I11" i="15"/>
  <c r="J11" i="15"/>
  <c r="K11" i="15"/>
  <c r="L11" i="15"/>
  <c r="M11" i="15"/>
  <c r="N11" i="15"/>
  <c r="O11" i="15"/>
  <c r="P11" i="15"/>
  <c r="Q11" i="15"/>
  <c r="R11" i="15"/>
  <c r="S11" i="15"/>
  <c r="T11" i="15"/>
  <c r="B12" i="15"/>
  <c r="C12" i="15"/>
  <c r="D12" i="15"/>
  <c r="E12" i="15"/>
  <c r="F12" i="15"/>
  <c r="G12" i="15"/>
  <c r="H12" i="15"/>
  <c r="I12" i="15"/>
  <c r="J12" i="15"/>
  <c r="K12" i="15"/>
  <c r="L12" i="15"/>
  <c r="M12" i="15"/>
  <c r="N12" i="15"/>
  <c r="O12" i="15"/>
  <c r="P12" i="15"/>
  <c r="Q12" i="15"/>
  <c r="R12" i="15"/>
  <c r="S12" i="15"/>
  <c r="T12" i="15"/>
  <c r="B13" i="15"/>
  <c r="C13" i="15"/>
  <c r="D13" i="15"/>
  <c r="E13" i="15"/>
  <c r="F13" i="15"/>
  <c r="G13" i="15"/>
  <c r="H13" i="15"/>
  <c r="I13" i="15"/>
  <c r="J13" i="15"/>
  <c r="K13" i="15"/>
  <c r="L13" i="15"/>
  <c r="M13" i="15"/>
  <c r="N13" i="15"/>
  <c r="O13" i="15"/>
  <c r="P13" i="15"/>
  <c r="Q13" i="15"/>
  <c r="R13" i="15"/>
  <c r="S13" i="15"/>
  <c r="T13" i="15"/>
  <c r="B14" i="15"/>
  <c r="C14" i="15"/>
  <c r="C265" i="15" s="1"/>
  <c r="D14" i="15"/>
  <c r="D265" i="15" s="1"/>
  <c r="E14" i="15"/>
  <c r="F14" i="15"/>
  <c r="G14" i="15"/>
  <c r="H14" i="15"/>
  <c r="I14" i="15"/>
  <c r="J14" i="15"/>
  <c r="K14" i="15"/>
  <c r="L14" i="15"/>
  <c r="M14" i="15"/>
  <c r="N14" i="15"/>
  <c r="O14" i="15"/>
  <c r="P14" i="15"/>
  <c r="Q14" i="15"/>
  <c r="R14" i="15"/>
  <c r="S14" i="15"/>
  <c r="T14" i="15"/>
  <c r="T261" i="15" s="1"/>
  <c r="B15" i="15"/>
  <c r="C15" i="15"/>
  <c r="D15" i="15"/>
  <c r="E15" i="15"/>
  <c r="F15" i="15"/>
  <c r="G15" i="15"/>
  <c r="H15" i="15"/>
  <c r="I15" i="15"/>
  <c r="J15" i="15"/>
  <c r="K15" i="15"/>
  <c r="L15" i="15"/>
  <c r="M15" i="15"/>
  <c r="N15" i="15"/>
  <c r="O15" i="15"/>
  <c r="P15" i="15"/>
  <c r="Q15" i="15"/>
  <c r="R15" i="15"/>
  <c r="S15" i="15"/>
  <c r="T15" i="15"/>
  <c r="B16" i="15"/>
  <c r="C16" i="15"/>
  <c r="D16" i="15"/>
  <c r="E16" i="15"/>
  <c r="F16" i="15"/>
  <c r="G16" i="15"/>
  <c r="H16" i="15"/>
  <c r="I16" i="15"/>
  <c r="J16" i="15"/>
  <c r="K16" i="15"/>
  <c r="L16" i="15"/>
  <c r="M16" i="15"/>
  <c r="N16" i="15"/>
  <c r="O16" i="15"/>
  <c r="P16" i="15"/>
  <c r="Q16" i="15"/>
  <c r="R16" i="15"/>
  <c r="S16" i="15"/>
  <c r="T16" i="15"/>
  <c r="B17" i="15"/>
  <c r="C17" i="15"/>
  <c r="D17" i="15"/>
  <c r="E17" i="15"/>
  <c r="F17" i="15"/>
  <c r="G17" i="15"/>
  <c r="H17" i="15"/>
  <c r="I17" i="15"/>
  <c r="J17" i="15"/>
  <c r="K17" i="15"/>
  <c r="L17" i="15"/>
  <c r="M17" i="15"/>
  <c r="N17" i="15"/>
  <c r="O17" i="15"/>
  <c r="P17" i="15"/>
  <c r="Q17" i="15"/>
  <c r="R17" i="15"/>
  <c r="S17" i="15"/>
  <c r="T17" i="15"/>
  <c r="B18" i="15"/>
  <c r="C18" i="15"/>
  <c r="D18" i="15"/>
  <c r="E18" i="15"/>
  <c r="F18" i="15"/>
  <c r="G18" i="15"/>
  <c r="H18" i="15"/>
  <c r="I18" i="15"/>
  <c r="J18" i="15"/>
  <c r="K18" i="15"/>
  <c r="L18" i="15"/>
  <c r="M18" i="15"/>
  <c r="N18" i="15"/>
  <c r="O18" i="15"/>
  <c r="P18" i="15"/>
  <c r="Q18" i="15"/>
  <c r="R18" i="15"/>
  <c r="S18" i="15"/>
  <c r="T18" i="15"/>
  <c r="B19" i="15"/>
  <c r="C19" i="15"/>
  <c r="D19" i="15"/>
  <c r="E19" i="15"/>
  <c r="F19" i="15"/>
  <c r="G19" i="15"/>
  <c r="H19" i="15"/>
  <c r="I19" i="15"/>
  <c r="J19" i="15"/>
  <c r="K19" i="15"/>
  <c r="L19" i="15"/>
  <c r="M19" i="15"/>
  <c r="N19" i="15"/>
  <c r="O19" i="15"/>
  <c r="P19" i="15"/>
  <c r="Q19" i="15"/>
  <c r="R19" i="15"/>
  <c r="S19" i="15"/>
  <c r="T19" i="15"/>
  <c r="B20" i="15"/>
  <c r="C20" i="15"/>
  <c r="D20" i="15"/>
  <c r="E20" i="15"/>
  <c r="F20" i="15"/>
  <c r="G20" i="15"/>
  <c r="H20" i="15"/>
  <c r="I20" i="15"/>
  <c r="J20" i="15"/>
  <c r="K20" i="15"/>
  <c r="L20" i="15"/>
  <c r="M20" i="15"/>
  <c r="N20" i="15"/>
  <c r="O20" i="15"/>
  <c r="P20" i="15"/>
  <c r="Q20" i="15"/>
  <c r="R20" i="15"/>
  <c r="S20" i="15"/>
  <c r="T20" i="15"/>
  <c r="B21" i="15"/>
  <c r="C21" i="15"/>
  <c r="D21" i="15"/>
  <c r="E21" i="15"/>
  <c r="F21" i="15"/>
  <c r="G21" i="15"/>
  <c r="H21" i="15"/>
  <c r="I21" i="15"/>
  <c r="J21" i="15"/>
  <c r="K21" i="15"/>
  <c r="L21" i="15"/>
  <c r="M21" i="15"/>
  <c r="N21" i="15"/>
  <c r="O21" i="15"/>
  <c r="P21" i="15"/>
  <c r="Q21" i="15"/>
  <c r="R21" i="15"/>
  <c r="S21" i="15"/>
  <c r="T21" i="15"/>
  <c r="B22" i="15"/>
  <c r="C22" i="15"/>
  <c r="D22" i="15"/>
  <c r="E22" i="15"/>
  <c r="F22" i="15"/>
  <c r="G22" i="15"/>
  <c r="H22" i="15"/>
  <c r="I22" i="15"/>
  <c r="J22" i="15"/>
  <c r="K22" i="15"/>
  <c r="L22" i="15"/>
  <c r="M22" i="15"/>
  <c r="N22" i="15"/>
  <c r="O22" i="15"/>
  <c r="P22" i="15"/>
  <c r="Q22" i="15"/>
  <c r="R22" i="15"/>
  <c r="S22" i="15"/>
  <c r="T22" i="15"/>
  <c r="B23" i="15"/>
  <c r="C23" i="15"/>
  <c r="D23" i="15"/>
  <c r="E23" i="15"/>
  <c r="F23" i="15"/>
  <c r="G23" i="15"/>
  <c r="H23" i="15"/>
  <c r="I23" i="15"/>
  <c r="J23" i="15"/>
  <c r="K23" i="15"/>
  <c r="L23" i="15"/>
  <c r="M23" i="15"/>
  <c r="N23" i="15"/>
  <c r="O23" i="15"/>
  <c r="P23" i="15"/>
  <c r="Q23" i="15"/>
  <c r="R23" i="15"/>
  <c r="S23" i="15"/>
  <c r="T23" i="15"/>
  <c r="B24" i="15"/>
  <c r="C24" i="15"/>
  <c r="D24" i="15"/>
  <c r="E24" i="15"/>
  <c r="F24" i="15"/>
  <c r="G24" i="15"/>
  <c r="H24" i="15"/>
  <c r="I24" i="15"/>
  <c r="J24" i="15"/>
  <c r="K24" i="15"/>
  <c r="L24" i="15"/>
  <c r="M24" i="15"/>
  <c r="N24" i="15"/>
  <c r="O24" i="15"/>
  <c r="P24" i="15"/>
  <c r="Q24" i="15"/>
  <c r="R24" i="15"/>
  <c r="S24" i="15"/>
  <c r="T24" i="15"/>
  <c r="B25" i="15"/>
  <c r="C25" i="15"/>
  <c r="D25" i="15"/>
  <c r="D266" i="15" s="1"/>
  <c r="E25" i="15"/>
  <c r="E266" i="15" s="1"/>
  <c r="F25" i="15"/>
  <c r="F266" i="15" s="1"/>
  <c r="G25" i="15"/>
  <c r="G266" i="15" s="1"/>
  <c r="H25" i="15"/>
  <c r="H269" i="15" s="1"/>
  <c r="I25" i="15"/>
  <c r="I266" i="15" s="1"/>
  <c r="J25" i="15"/>
  <c r="J269" i="15" s="1"/>
  <c r="K25" i="15"/>
  <c r="K269" i="15" s="1"/>
  <c r="L25" i="15"/>
  <c r="L269" i="15" s="1"/>
  <c r="M25" i="15"/>
  <c r="M266" i="15" s="1"/>
  <c r="N25" i="15"/>
  <c r="N269" i="15" s="1"/>
  <c r="O25" i="15"/>
  <c r="O266" i="15" s="1"/>
  <c r="P25" i="15"/>
  <c r="Q25" i="15"/>
  <c r="Q269" i="15" s="1"/>
  <c r="R25" i="15"/>
  <c r="R269" i="15" s="1"/>
  <c r="S25" i="15"/>
  <c r="S269" i="15" s="1"/>
  <c r="T25" i="15"/>
  <c r="T269" i="15" s="1"/>
  <c r="B26" i="15"/>
  <c r="C26" i="15"/>
  <c r="D26" i="15"/>
  <c r="E26" i="15"/>
  <c r="E267" i="15" s="1"/>
  <c r="F26" i="15"/>
  <c r="F267" i="15" s="1"/>
  <c r="G26" i="15"/>
  <c r="G267" i="15" s="1"/>
  <c r="H26" i="15"/>
  <c r="H267" i="15" s="1"/>
  <c r="I26" i="15"/>
  <c r="I267" i="15" s="1"/>
  <c r="J26" i="15"/>
  <c r="J267" i="15" s="1"/>
  <c r="K26" i="15"/>
  <c r="K267" i="15" s="1"/>
  <c r="L26" i="15"/>
  <c r="L267" i="15" s="1"/>
  <c r="M26" i="15"/>
  <c r="M267" i="15" s="1"/>
  <c r="N26" i="15"/>
  <c r="N267" i="15" s="1"/>
  <c r="O26" i="15"/>
  <c r="O267" i="15" s="1"/>
  <c r="P26" i="15"/>
  <c r="P267" i="15" s="1"/>
  <c r="Q26" i="15"/>
  <c r="Q267" i="15" s="1"/>
  <c r="R26" i="15"/>
  <c r="R267" i="15" s="1"/>
  <c r="S26" i="15"/>
  <c r="S267" i="15" s="1"/>
  <c r="T26" i="15"/>
  <c r="T267" i="15" s="1"/>
  <c r="B27" i="15"/>
  <c r="C27" i="15"/>
  <c r="D27" i="15"/>
  <c r="E27" i="15"/>
  <c r="F27" i="15"/>
  <c r="F268" i="15" s="1"/>
  <c r="G27" i="15"/>
  <c r="G268" i="15" s="1"/>
  <c r="H27" i="15"/>
  <c r="H268" i="15" s="1"/>
  <c r="I27" i="15"/>
  <c r="I268" i="15" s="1"/>
  <c r="J27" i="15"/>
  <c r="J268" i="15" s="1"/>
  <c r="K27" i="15"/>
  <c r="K268" i="15" s="1"/>
  <c r="L27" i="15"/>
  <c r="L268" i="15" s="1"/>
  <c r="M27" i="15"/>
  <c r="M268" i="15" s="1"/>
  <c r="N27" i="15"/>
  <c r="N268" i="15" s="1"/>
  <c r="O27" i="15"/>
  <c r="O268" i="15" s="1"/>
  <c r="P27" i="15"/>
  <c r="P268" i="15" s="1"/>
  <c r="Q27" i="15"/>
  <c r="Q268" i="15" s="1"/>
  <c r="R27" i="15"/>
  <c r="R268" i="15" s="1"/>
  <c r="S27" i="15"/>
  <c r="S268" i="15" s="1"/>
  <c r="T27" i="15"/>
  <c r="T268" i="15" s="1"/>
  <c r="B28" i="15"/>
  <c r="C28" i="15"/>
  <c r="D28" i="15"/>
  <c r="E28" i="15"/>
  <c r="F28" i="15"/>
  <c r="G28" i="15"/>
  <c r="H28" i="15"/>
  <c r="I28" i="15"/>
  <c r="J28" i="15"/>
  <c r="K28" i="15"/>
  <c r="L28" i="15"/>
  <c r="M28" i="15"/>
  <c r="N28" i="15"/>
  <c r="O28" i="15"/>
  <c r="P28" i="15"/>
  <c r="Q28" i="15"/>
  <c r="R28" i="15"/>
  <c r="S28" i="15"/>
  <c r="T28" i="15"/>
  <c r="B29" i="15"/>
  <c r="C29" i="15"/>
  <c r="D29" i="15"/>
  <c r="E29" i="15"/>
  <c r="F29" i="15"/>
  <c r="G29" i="15"/>
  <c r="H29" i="15"/>
  <c r="I29" i="15"/>
  <c r="J29" i="15"/>
  <c r="K29" i="15"/>
  <c r="L29" i="15"/>
  <c r="M29" i="15"/>
  <c r="N29" i="15"/>
  <c r="O29" i="15"/>
  <c r="P29" i="15"/>
  <c r="Q29" i="15"/>
  <c r="R29" i="15"/>
  <c r="S29" i="15"/>
  <c r="T29" i="15"/>
  <c r="B30" i="15"/>
  <c r="C30" i="15"/>
  <c r="D30" i="15"/>
  <c r="E30" i="15"/>
  <c r="F30" i="15"/>
  <c r="G30" i="15"/>
  <c r="H30" i="15"/>
  <c r="I30" i="15"/>
  <c r="J30" i="15"/>
  <c r="K30" i="15"/>
  <c r="L30" i="15"/>
  <c r="M30" i="15"/>
  <c r="N30" i="15"/>
  <c r="O30" i="15"/>
  <c r="P30" i="15"/>
  <c r="Q30" i="15"/>
  <c r="R30" i="15"/>
  <c r="S30" i="15"/>
  <c r="T30" i="15"/>
  <c r="B31" i="15"/>
  <c r="C31" i="15"/>
  <c r="D31" i="15"/>
  <c r="E31" i="15"/>
  <c r="F31" i="15"/>
  <c r="G31" i="15"/>
  <c r="H31" i="15"/>
  <c r="I31" i="15"/>
  <c r="J31" i="15"/>
  <c r="K31" i="15"/>
  <c r="L31" i="15"/>
  <c r="M31" i="15"/>
  <c r="N31" i="15"/>
  <c r="O31" i="15"/>
  <c r="P31" i="15"/>
  <c r="Q31" i="15"/>
  <c r="R31" i="15"/>
  <c r="S31" i="15"/>
  <c r="T31" i="15"/>
  <c r="B32" i="15"/>
  <c r="C32" i="15"/>
  <c r="D32" i="15"/>
  <c r="E32" i="15"/>
  <c r="F32" i="15"/>
  <c r="G32" i="15"/>
  <c r="H32" i="15"/>
  <c r="I32" i="15"/>
  <c r="J32" i="15"/>
  <c r="K32" i="15"/>
  <c r="L32" i="15"/>
  <c r="M32" i="15"/>
  <c r="N32" i="15"/>
  <c r="O32" i="15"/>
  <c r="P32" i="15"/>
  <c r="Q32" i="15"/>
  <c r="R32" i="15"/>
  <c r="S32" i="15"/>
  <c r="T32" i="15"/>
  <c r="B34" i="15"/>
  <c r="C34" i="15"/>
  <c r="D34" i="15"/>
  <c r="E34" i="15"/>
  <c r="F34" i="15"/>
  <c r="G34" i="15"/>
  <c r="H34" i="15"/>
  <c r="I34" i="15"/>
  <c r="J34" i="15"/>
  <c r="K34" i="15"/>
  <c r="L34" i="15"/>
  <c r="M34" i="15"/>
  <c r="N34" i="15"/>
  <c r="O34" i="15"/>
  <c r="P34" i="15"/>
  <c r="Q34" i="15"/>
  <c r="R34" i="15"/>
  <c r="S34" i="15"/>
  <c r="T34" i="15"/>
  <c r="B35" i="15"/>
  <c r="C35" i="15"/>
  <c r="D35" i="15"/>
  <c r="E35" i="15"/>
  <c r="F35" i="15"/>
  <c r="G35" i="15"/>
  <c r="H35" i="15"/>
  <c r="I35" i="15"/>
  <c r="J35" i="15"/>
  <c r="K35" i="15"/>
  <c r="L35" i="15"/>
  <c r="M35" i="15"/>
  <c r="N35" i="15"/>
  <c r="O35" i="15"/>
  <c r="P35" i="15"/>
  <c r="Q35" i="15"/>
  <c r="R35" i="15"/>
  <c r="S35" i="15"/>
  <c r="T35" i="15"/>
  <c r="B36" i="15"/>
  <c r="C36" i="15"/>
  <c r="D36" i="15"/>
  <c r="E36" i="15"/>
  <c r="F36" i="15"/>
  <c r="G36" i="15"/>
  <c r="H36" i="15"/>
  <c r="I36" i="15"/>
  <c r="J36" i="15"/>
  <c r="K36" i="15"/>
  <c r="L36" i="15"/>
  <c r="M36" i="15"/>
  <c r="N36" i="15"/>
  <c r="O36" i="15"/>
  <c r="P36" i="15"/>
  <c r="Q36" i="15"/>
  <c r="R36" i="15"/>
  <c r="S36" i="15"/>
  <c r="T36" i="15"/>
  <c r="B37" i="15"/>
  <c r="C37" i="15"/>
  <c r="D37" i="15"/>
  <c r="E37" i="15"/>
  <c r="F37" i="15"/>
  <c r="G37" i="15"/>
  <c r="H37" i="15"/>
  <c r="I37" i="15"/>
  <c r="J37" i="15"/>
  <c r="K37" i="15"/>
  <c r="L37" i="15"/>
  <c r="M37" i="15"/>
  <c r="N37" i="15"/>
  <c r="O37" i="15"/>
  <c r="P37" i="15"/>
  <c r="Q37" i="15"/>
  <c r="R37" i="15"/>
  <c r="S37" i="15"/>
  <c r="T37" i="15"/>
  <c r="B38" i="15"/>
  <c r="C38" i="15"/>
  <c r="D38" i="15"/>
  <c r="E38" i="15"/>
  <c r="F38" i="15"/>
  <c r="G38" i="15"/>
  <c r="H38" i="15"/>
  <c r="I38" i="15"/>
  <c r="J38" i="15"/>
  <c r="K38" i="15"/>
  <c r="L38" i="15"/>
  <c r="M38" i="15"/>
  <c r="N38" i="15"/>
  <c r="O38" i="15"/>
  <c r="P38" i="15"/>
  <c r="Q38" i="15"/>
  <c r="R38" i="15"/>
  <c r="S38" i="15"/>
  <c r="T38" i="15"/>
  <c r="B39" i="15"/>
  <c r="C39" i="15"/>
  <c r="D39" i="15"/>
  <c r="E39" i="15"/>
  <c r="F39" i="15"/>
  <c r="G39" i="15"/>
  <c r="H39" i="15"/>
  <c r="I39" i="15"/>
  <c r="J39" i="15"/>
  <c r="K39" i="15"/>
  <c r="L39" i="15"/>
  <c r="M39" i="15"/>
  <c r="N39" i="15"/>
  <c r="O39" i="15"/>
  <c r="P39" i="15"/>
  <c r="Q39" i="15"/>
  <c r="R39" i="15"/>
  <c r="S39" i="15"/>
  <c r="T39" i="15"/>
  <c r="B40" i="15"/>
  <c r="C40" i="15"/>
  <c r="D40" i="15"/>
  <c r="E40" i="15"/>
  <c r="F40" i="15"/>
  <c r="G40" i="15"/>
  <c r="H40" i="15"/>
  <c r="I40" i="15"/>
  <c r="J40" i="15"/>
  <c r="K40" i="15"/>
  <c r="L40" i="15"/>
  <c r="M40" i="15"/>
  <c r="N40" i="15"/>
  <c r="O40" i="15"/>
  <c r="P40" i="15"/>
  <c r="Q40" i="15"/>
  <c r="R40" i="15"/>
  <c r="S40" i="15"/>
  <c r="T40" i="15"/>
  <c r="B41" i="15"/>
  <c r="C41" i="15"/>
  <c r="D41" i="15"/>
  <c r="E41" i="15"/>
  <c r="F41" i="15"/>
  <c r="G41" i="15"/>
  <c r="H41" i="15"/>
  <c r="I41" i="15"/>
  <c r="J41" i="15"/>
  <c r="K41" i="15"/>
  <c r="L41" i="15"/>
  <c r="M41" i="15"/>
  <c r="N41" i="15"/>
  <c r="O41" i="15"/>
  <c r="P41" i="15"/>
  <c r="Q41" i="15"/>
  <c r="R41" i="15"/>
  <c r="S41" i="15"/>
  <c r="T41" i="15"/>
  <c r="B42" i="15"/>
  <c r="C42" i="15"/>
  <c r="D42" i="15"/>
  <c r="E42" i="15"/>
  <c r="F42" i="15"/>
  <c r="G42" i="15"/>
  <c r="H42" i="15"/>
  <c r="I42" i="15"/>
  <c r="J42" i="15"/>
  <c r="K42" i="15"/>
  <c r="L42" i="15"/>
  <c r="M42" i="15"/>
  <c r="N42" i="15"/>
  <c r="O42" i="15"/>
  <c r="P42" i="15"/>
  <c r="Q42" i="15"/>
  <c r="R42" i="15"/>
  <c r="S42" i="15"/>
  <c r="T42" i="15"/>
  <c r="B43" i="15"/>
  <c r="C43" i="15"/>
  <c r="D43" i="15"/>
  <c r="D262" i="15" s="1"/>
  <c r="E43" i="15"/>
  <c r="E262" i="15" s="1"/>
  <c r="F43" i="15"/>
  <c r="F262" i="15" s="1"/>
  <c r="G43" i="15"/>
  <c r="G262" i="15" s="1"/>
  <c r="H43" i="15"/>
  <c r="H278" i="15" s="1"/>
  <c r="I43" i="15"/>
  <c r="I278" i="15" s="1"/>
  <c r="J43" i="15"/>
  <c r="J270" i="15" s="1"/>
  <c r="K43" i="15"/>
  <c r="K262" i="15" s="1"/>
  <c r="L43" i="15"/>
  <c r="L278" i="15" s="1"/>
  <c r="M43" i="15"/>
  <c r="N43" i="15"/>
  <c r="O43" i="15"/>
  <c r="P43" i="15"/>
  <c r="Q43" i="15"/>
  <c r="R43" i="15"/>
  <c r="S43" i="15"/>
  <c r="T43" i="15"/>
  <c r="B44" i="15"/>
  <c r="C44" i="15"/>
  <c r="D44" i="15"/>
  <c r="E44" i="15"/>
  <c r="F44" i="15"/>
  <c r="G44" i="15"/>
  <c r="H44" i="15"/>
  <c r="I44" i="15"/>
  <c r="J44" i="15"/>
  <c r="K44" i="15"/>
  <c r="L44" i="15"/>
  <c r="M44" i="15"/>
  <c r="N44" i="15"/>
  <c r="O44" i="15"/>
  <c r="P44" i="15"/>
  <c r="Q44" i="15"/>
  <c r="R44" i="15"/>
  <c r="S44" i="15"/>
  <c r="T44" i="15"/>
  <c r="B45" i="15"/>
  <c r="C45" i="15"/>
  <c r="D45" i="15"/>
  <c r="E45" i="15"/>
  <c r="F45" i="15"/>
  <c r="G45" i="15"/>
  <c r="H45" i="15"/>
  <c r="I45" i="15"/>
  <c r="J45" i="15"/>
  <c r="K45" i="15"/>
  <c r="L45" i="15"/>
  <c r="M45" i="15"/>
  <c r="N45" i="15"/>
  <c r="O45" i="15"/>
  <c r="P45" i="15"/>
  <c r="Q45" i="15"/>
  <c r="R45" i="15"/>
  <c r="S45" i="15"/>
  <c r="T45" i="15"/>
  <c r="B46" i="15"/>
  <c r="C46" i="15"/>
  <c r="D46" i="15"/>
  <c r="E46" i="15"/>
  <c r="F46" i="15"/>
  <c r="G46" i="15"/>
  <c r="H46" i="15"/>
  <c r="I46" i="15"/>
  <c r="J46" i="15"/>
  <c r="K46" i="15"/>
  <c r="L46" i="15"/>
  <c r="M46" i="15"/>
  <c r="N46" i="15"/>
  <c r="O46" i="15"/>
  <c r="P46" i="15"/>
  <c r="Q46" i="15"/>
  <c r="R46" i="15"/>
  <c r="S46" i="15"/>
  <c r="T46" i="15"/>
  <c r="B47" i="15"/>
  <c r="C47" i="15"/>
  <c r="D47" i="15"/>
  <c r="E47" i="15"/>
  <c r="F47" i="15"/>
  <c r="G47" i="15"/>
  <c r="H47" i="15"/>
  <c r="I47" i="15"/>
  <c r="J47" i="15"/>
  <c r="K47" i="15"/>
  <c r="L47" i="15"/>
  <c r="M47" i="15"/>
  <c r="N47" i="15"/>
  <c r="O47" i="15"/>
  <c r="P47" i="15"/>
  <c r="Q47" i="15"/>
  <c r="R47" i="15"/>
  <c r="S47" i="15"/>
  <c r="T47" i="15"/>
  <c r="B48" i="15"/>
  <c r="C48" i="15"/>
  <c r="D48" i="15"/>
  <c r="E48" i="15"/>
  <c r="F48" i="15"/>
  <c r="G48" i="15"/>
  <c r="H48" i="15"/>
  <c r="I48" i="15"/>
  <c r="J48" i="15"/>
  <c r="K48" i="15"/>
  <c r="L48" i="15"/>
  <c r="M48" i="15"/>
  <c r="N48" i="15"/>
  <c r="O48" i="15"/>
  <c r="P48" i="15"/>
  <c r="Q48" i="15"/>
  <c r="R48" i="15"/>
  <c r="S48" i="15"/>
  <c r="T48" i="15"/>
  <c r="B49" i="15"/>
  <c r="C49" i="15"/>
  <c r="C271" i="15" s="1"/>
  <c r="D49" i="15"/>
  <c r="E49" i="15"/>
  <c r="F49" i="15"/>
  <c r="G49" i="15"/>
  <c r="G263" i="15" s="1"/>
  <c r="H49" i="15"/>
  <c r="H263" i="15" s="1"/>
  <c r="I49" i="15"/>
  <c r="I263" i="15" s="1"/>
  <c r="J49" i="15"/>
  <c r="J263" i="15" s="1"/>
  <c r="K49" i="15"/>
  <c r="K263" i="15" s="1"/>
  <c r="L49" i="15"/>
  <c r="L271" i="15" s="1"/>
  <c r="M49" i="15"/>
  <c r="M263" i="15" s="1"/>
  <c r="N49" i="15"/>
  <c r="N263" i="15" s="1"/>
  <c r="O49" i="15"/>
  <c r="O263" i="15" s="1"/>
  <c r="P49" i="15"/>
  <c r="P271" i="15" s="1"/>
  <c r="Q49" i="15"/>
  <c r="Q263" i="15" s="1"/>
  <c r="R49" i="15"/>
  <c r="S49" i="15"/>
  <c r="T49" i="15"/>
  <c r="T263" i="15" s="1"/>
  <c r="B50" i="15"/>
  <c r="C50" i="15"/>
  <c r="D50" i="15"/>
  <c r="E50" i="15"/>
  <c r="F50" i="15"/>
  <c r="G50" i="15"/>
  <c r="H50" i="15"/>
  <c r="I50" i="15"/>
  <c r="J50" i="15"/>
  <c r="K50" i="15"/>
  <c r="L50" i="15"/>
  <c r="M50" i="15"/>
  <c r="N50" i="15"/>
  <c r="O50" i="15"/>
  <c r="P50" i="15"/>
  <c r="Q50" i="15"/>
  <c r="R50" i="15"/>
  <c r="S50" i="15"/>
  <c r="T50" i="15"/>
  <c r="B51" i="15"/>
  <c r="C51" i="15"/>
  <c r="D51" i="15"/>
  <c r="E51" i="15"/>
  <c r="F51" i="15"/>
  <c r="G51" i="15"/>
  <c r="H51" i="15"/>
  <c r="I51" i="15"/>
  <c r="J51" i="15"/>
  <c r="K51" i="15"/>
  <c r="L51" i="15"/>
  <c r="M51" i="15"/>
  <c r="N51" i="15"/>
  <c r="O51" i="15"/>
  <c r="P51" i="15"/>
  <c r="Q51" i="15"/>
  <c r="R51" i="15"/>
  <c r="S51" i="15"/>
  <c r="T51" i="15"/>
  <c r="B52" i="15"/>
  <c r="C52" i="15"/>
  <c r="D52" i="15"/>
  <c r="E52" i="15"/>
  <c r="F52" i="15"/>
  <c r="G52" i="15"/>
  <c r="H52" i="15"/>
  <c r="I52" i="15"/>
  <c r="J52" i="15"/>
  <c r="K52" i="15"/>
  <c r="L52" i="15"/>
  <c r="M52" i="15"/>
  <c r="N52" i="15"/>
  <c r="O52" i="15"/>
  <c r="P52" i="15"/>
  <c r="Q52" i="15"/>
  <c r="R52" i="15"/>
  <c r="S52" i="15"/>
  <c r="T52" i="15"/>
  <c r="B53" i="15"/>
  <c r="C53" i="15"/>
  <c r="D53" i="15"/>
  <c r="E53" i="15"/>
  <c r="F53" i="15"/>
  <c r="G53" i="15"/>
  <c r="H53" i="15"/>
  <c r="I53" i="15"/>
  <c r="J53" i="15"/>
  <c r="K53" i="15"/>
  <c r="L53" i="15"/>
  <c r="M53" i="15"/>
  <c r="N53" i="15"/>
  <c r="O53" i="15"/>
  <c r="P53" i="15"/>
  <c r="Q53" i="15"/>
  <c r="R53" i="15"/>
  <c r="S53" i="15"/>
  <c r="T53" i="15"/>
  <c r="B54" i="15"/>
  <c r="C54" i="15"/>
  <c r="C272" i="15" s="1"/>
  <c r="D54" i="15"/>
  <c r="D272" i="15" s="1"/>
  <c r="E54" i="15"/>
  <c r="E272" i="15" s="1"/>
  <c r="F54" i="15"/>
  <c r="G54" i="15"/>
  <c r="H54" i="15"/>
  <c r="I54" i="15"/>
  <c r="J54" i="15"/>
  <c r="K54" i="15"/>
  <c r="L54" i="15"/>
  <c r="M279" i="15" s="1"/>
  <c r="M280" i="15" s="1"/>
  <c r="M54" i="15"/>
  <c r="N54" i="15"/>
  <c r="N272" i="15" s="1"/>
  <c r="O54" i="15"/>
  <c r="O272" i="15" s="1"/>
  <c r="P54" i="15"/>
  <c r="P272" i="15" s="1"/>
  <c r="Q54" i="15"/>
  <c r="Q272" i="15" s="1"/>
  <c r="R54" i="15"/>
  <c r="R281" i="15" s="1"/>
  <c r="S54" i="15"/>
  <c r="S281" i="15" s="1"/>
  <c r="T54" i="15"/>
  <c r="T281" i="15" s="1"/>
  <c r="B55" i="15"/>
  <c r="C55" i="15"/>
  <c r="D55" i="15"/>
  <c r="E55" i="15"/>
  <c r="F55" i="15"/>
  <c r="G55" i="15"/>
  <c r="H55" i="15"/>
  <c r="I55" i="15"/>
  <c r="J55" i="15"/>
  <c r="K55" i="15"/>
  <c r="L55" i="15"/>
  <c r="M55" i="15"/>
  <c r="N55" i="15"/>
  <c r="O55" i="15"/>
  <c r="P55" i="15"/>
  <c r="Q55" i="15"/>
  <c r="R55" i="15"/>
  <c r="S55" i="15"/>
  <c r="T55" i="15"/>
  <c r="B56" i="15"/>
  <c r="C56" i="15"/>
  <c r="D56" i="15"/>
  <c r="E56" i="15"/>
  <c r="F56" i="15"/>
  <c r="G56" i="15"/>
  <c r="H56" i="15"/>
  <c r="I56" i="15"/>
  <c r="J56" i="15"/>
  <c r="K56" i="15"/>
  <c r="L56" i="15"/>
  <c r="M56" i="15"/>
  <c r="N56" i="15"/>
  <c r="O56" i="15"/>
  <c r="P56" i="15"/>
  <c r="Q56" i="15"/>
  <c r="R56" i="15"/>
  <c r="S56" i="15"/>
  <c r="T56" i="15"/>
  <c r="B58" i="15"/>
  <c r="C58" i="15"/>
  <c r="D58" i="15"/>
  <c r="E58" i="15"/>
  <c r="F58" i="15"/>
  <c r="G58" i="15"/>
  <c r="H58" i="15"/>
  <c r="I58" i="15"/>
  <c r="J58" i="15"/>
  <c r="K58" i="15"/>
  <c r="L58" i="15"/>
  <c r="M58" i="15"/>
  <c r="N58" i="15"/>
  <c r="O58" i="15"/>
  <c r="P58" i="15"/>
  <c r="Q58" i="15"/>
  <c r="R58" i="15"/>
  <c r="S58" i="15"/>
  <c r="T58" i="15"/>
  <c r="B59" i="15"/>
  <c r="C59" i="15"/>
  <c r="D59" i="15"/>
  <c r="E59" i="15"/>
  <c r="F59" i="15"/>
  <c r="G59" i="15"/>
  <c r="H59" i="15"/>
  <c r="I59" i="15"/>
  <c r="J59" i="15"/>
  <c r="K59" i="15"/>
  <c r="L59" i="15"/>
  <c r="M59" i="15"/>
  <c r="N59" i="15"/>
  <c r="O59" i="15"/>
  <c r="P59" i="15"/>
  <c r="Q59" i="15"/>
  <c r="R59" i="15"/>
  <c r="S59" i="15"/>
  <c r="T59" i="15"/>
  <c r="B174" i="15"/>
  <c r="C174" i="15"/>
  <c r="D174" i="15"/>
  <c r="E174" i="15"/>
  <c r="F174" i="15"/>
  <c r="G174" i="15"/>
  <c r="H174" i="15"/>
  <c r="I174" i="15"/>
  <c r="J174" i="15"/>
  <c r="K174" i="15"/>
  <c r="L174" i="15"/>
  <c r="M174" i="15"/>
  <c r="N174" i="15"/>
  <c r="O174" i="15"/>
  <c r="P174" i="15"/>
  <c r="Q174" i="15"/>
  <c r="R174" i="15"/>
  <c r="S174" i="15"/>
  <c r="T174" i="15"/>
  <c r="B175" i="15"/>
  <c r="C175" i="15"/>
  <c r="D175" i="15"/>
  <c r="E175" i="15"/>
  <c r="F175" i="15"/>
  <c r="G175" i="15"/>
  <c r="H175" i="15"/>
  <c r="I175" i="15"/>
  <c r="J175" i="15"/>
  <c r="K175" i="15"/>
  <c r="L175" i="15"/>
  <c r="M175" i="15"/>
  <c r="N175" i="15"/>
  <c r="O175" i="15"/>
  <c r="P175" i="15"/>
  <c r="Q175" i="15"/>
  <c r="R175" i="15"/>
  <c r="S175" i="15"/>
  <c r="T175" i="15"/>
  <c r="B176" i="15"/>
  <c r="C176" i="15"/>
  <c r="D176" i="15"/>
  <c r="E176" i="15"/>
  <c r="F176" i="15"/>
  <c r="G176" i="15"/>
  <c r="H176" i="15"/>
  <c r="I176" i="15"/>
  <c r="J176" i="15"/>
  <c r="K176" i="15"/>
  <c r="L176" i="15"/>
  <c r="M176" i="15"/>
  <c r="N176" i="15"/>
  <c r="O176" i="15"/>
  <c r="P176" i="15"/>
  <c r="Q176" i="15"/>
  <c r="R176" i="15"/>
  <c r="S176" i="15"/>
  <c r="T176" i="15"/>
  <c r="B177" i="15"/>
  <c r="C177" i="15"/>
  <c r="D177" i="15"/>
  <c r="E177" i="15"/>
  <c r="F177" i="15"/>
  <c r="G177" i="15"/>
  <c r="H177" i="15"/>
  <c r="I177" i="15"/>
  <c r="J177" i="15"/>
  <c r="K177" i="15"/>
  <c r="L177" i="15"/>
  <c r="M177" i="15"/>
  <c r="N177" i="15"/>
  <c r="O177" i="15"/>
  <c r="P177" i="15"/>
  <c r="Q177" i="15"/>
  <c r="R177" i="15"/>
  <c r="S177" i="15"/>
  <c r="T177" i="15"/>
  <c r="B178" i="15"/>
  <c r="C178" i="15"/>
  <c r="D178" i="15"/>
  <c r="E178" i="15"/>
  <c r="F178" i="15"/>
  <c r="G178" i="15"/>
  <c r="H178" i="15"/>
  <c r="I178" i="15"/>
  <c r="J178" i="15"/>
  <c r="K178" i="15"/>
  <c r="L178" i="15"/>
  <c r="M178" i="15"/>
  <c r="N178" i="15"/>
  <c r="O178" i="15"/>
  <c r="P178" i="15"/>
  <c r="Q178" i="15"/>
  <c r="R178" i="15"/>
  <c r="S178" i="15"/>
  <c r="T178" i="15"/>
  <c r="B179" i="15"/>
  <c r="C179" i="15"/>
  <c r="D179" i="15"/>
  <c r="E179" i="15"/>
  <c r="F179" i="15"/>
  <c r="G179" i="15"/>
  <c r="H179" i="15"/>
  <c r="I179" i="15"/>
  <c r="J179" i="15"/>
  <c r="K179" i="15"/>
  <c r="L179" i="15"/>
  <c r="M179" i="15"/>
  <c r="N179" i="15"/>
  <c r="O179" i="15"/>
  <c r="P179" i="15"/>
  <c r="Q179" i="15"/>
  <c r="R179" i="15"/>
  <c r="S179" i="15"/>
  <c r="T179" i="15"/>
  <c r="B180" i="15"/>
  <c r="C180" i="15"/>
  <c r="D180" i="15"/>
  <c r="E180" i="15"/>
  <c r="F180" i="15"/>
  <c r="G180" i="15"/>
  <c r="H180" i="15"/>
  <c r="I180" i="15"/>
  <c r="J180" i="15"/>
  <c r="K180" i="15"/>
  <c r="L180" i="15"/>
  <c r="M180" i="15"/>
  <c r="N180" i="15"/>
  <c r="O180" i="15"/>
  <c r="P180" i="15"/>
  <c r="Q180" i="15"/>
  <c r="R180" i="15"/>
  <c r="S180" i="15"/>
  <c r="T180" i="15"/>
  <c r="B181" i="15"/>
  <c r="C181" i="15"/>
  <c r="D181" i="15"/>
  <c r="E181" i="15"/>
  <c r="F181" i="15"/>
  <c r="G181" i="15"/>
  <c r="H181" i="15"/>
  <c r="I181" i="15"/>
  <c r="J181" i="15"/>
  <c r="K181" i="15"/>
  <c r="L181" i="15"/>
  <c r="M181" i="15"/>
  <c r="N181" i="15"/>
  <c r="O181" i="15"/>
  <c r="P181" i="15"/>
  <c r="Q181" i="15"/>
  <c r="R181" i="15"/>
  <c r="S181" i="15"/>
  <c r="T181" i="15"/>
  <c r="B182" i="15"/>
  <c r="C182" i="15"/>
  <c r="D182" i="15"/>
  <c r="E182" i="15"/>
  <c r="F182" i="15"/>
  <c r="G182" i="15"/>
  <c r="H182" i="15"/>
  <c r="I182" i="15"/>
  <c r="J182" i="15"/>
  <c r="K182" i="15"/>
  <c r="L182" i="15"/>
  <c r="M182" i="15"/>
  <c r="N182" i="15"/>
  <c r="O182" i="15"/>
  <c r="P182" i="15"/>
  <c r="Q182" i="15"/>
  <c r="R182" i="15"/>
  <c r="S182" i="15"/>
  <c r="T182" i="15"/>
  <c r="B183" i="15"/>
  <c r="C183" i="15"/>
  <c r="D183" i="15"/>
  <c r="E183" i="15"/>
  <c r="F183" i="15"/>
  <c r="G183" i="15"/>
  <c r="H183" i="15"/>
  <c r="I183" i="15"/>
  <c r="J183" i="15"/>
  <c r="K183" i="15"/>
  <c r="L183" i="15"/>
  <c r="M183" i="15"/>
  <c r="N183" i="15"/>
  <c r="O183" i="15"/>
  <c r="P183" i="15"/>
  <c r="Q183" i="15"/>
  <c r="R183" i="15"/>
  <c r="S183" i="15"/>
  <c r="T183" i="15"/>
  <c r="B184" i="15"/>
  <c r="C184" i="15"/>
  <c r="D184" i="15"/>
  <c r="E184" i="15"/>
  <c r="F184" i="15"/>
  <c r="G184" i="15"/>
  <c r="H184" i="15"/>
  <c r="I184" i="15"/>
  <c r="J184" i="15"/>
  <c r="K184" i="15"/>
  <c r="L184" i="15"/>
  <c r="M184" i="15"/>
  <c r="N184" i="15"/>
  <c r="O184" i="15"/>
  <c r="P184" i="15"/>
  <c r="Q184" i="15"/>
  <c r="R184" i="15"/>
  <c r="S184" i="15"/>
  <c r="T184" i="15"/>
  <c r="B185" i="15"/>
  <c r="C185" i="15"/>
  <c r="D185" i="15"/>
  <c r="E185" i="15"/>
  <c r="F185" i="15"/>
  <c r="G185" i="15"/>
  <c r="H185" i="15"/>
  <c r="I185" i="15"/>
  <c r="J185" i="15"/>
  <c r="K185" i="15"/>
  <c r="L185" i="15"/>
  <c r="M185" i="15"/>
  <c r="N185" i="15"/>
  <c r="O185" i="15"/>
  <c r="P185" i="15"/>
  <c r="Q185" i="15"/>
  <c r="R185" i="15"/>
  <c r="S185" i="15"/>
  <c r="T185" i="15"/>
  <c r="B186" i="15"/>
  <c r="C186" i="15"/>
  <c r="D186" i="15"/>
  <c r="E186" i="15"/>
  <c r="F186" i="15"/>
  <c r="G186" i="15"/>
  <c r="H186" i="15"/>
  <c r="I186" i="15"/>
  <c r="J186" i="15"/>
  <c r="K186" i="15"/>
  <c r="L186" i="15"/>
  <c r="M186" i="15"/>
  <c r="N186" i="15"/>
  <c r="O186" i="15"/>
  <c r="P186" i="15"/>
  <c r="Q186" i="15"/>
  <c r="R186" i="15"/>
  <c r="S186" i="15"/>
  <c r="T186" i="15"/>
  <c r="B187" i="15"/>
  <c r="C187" i="15"/>
  <c r="D187" i="15"/>
  <c r="E187" i="15"/>
  <c r="F187" i="15"/>
  <c r="G187" i="15"/>
  <c r="H187" i="15"/>
  <c r="I187" i="15"/>
  <c r="J187" i="15"/>
  <c r="K187" i="15"/>
  <c r="L187" i="15"/>
  <c r="M187" i="15"/>
  <c r="N187" i="15"/>
  <c r="O187" i="15"/>
  <c r="P187" i="15"/>
  <c r="Q187" i="15"/>
  <c r="R187" i="15"/>
  <c r="S187" i="15"/>
  <c r="T187" i="15"/>
  <c r="B188" i="15"/>
  <c r="C188" i="15"/>
  <c r="D188" i="15"/>
  <c r="E188" i="15"/>
  <c r="F188" i="15"/>
  <c r="G188" i="15"/>
  <c r="H188" i="15"/>
  <c r="I188" i="15"/>
  <c r="J188" i="15"/>
  <c r="K188" i="15"/>
  <c r="L188" i="15"/>
  <c r="M188" i="15"/>
  <c r="N188" i="15"/>
  <c r="O188" i="15"/>
  <c r="P188" i="15"/>
  <c r="Q188" i="15"/>
  <c r="R188" i="15"/>
  <c r="S188" i="15"/>
  <c r="T188" i="15"/>
  <c r="B189" i="15"/>
  <c r="C189" i="15"/>
  <c r="D189" i="15"/>
  <c r="E189" i="15"/>
  <c r="F189" i="15"/>
  <c r="G189" i="15"/>
  <c r="H189" i="15"/>
  <c r="I189" i="15"/>
  <c r="J189" i="15"/>
  <c r="K189" i="15"/>
  <c r="L189" i="15"/>
  <c r="M189" i="15"/>
  <c r="N189" i="15"/>
  <c r="O189" i="15"/>
  <c r="P189" i="15"/>
  <c r="Q189" i="15"/>
  <c r="R189" i="15"/>
  <c r="S189" i="15"/>
  <c r="T189" i="15"/>
  <c r="B190" i="15"/>
  <c r="C190" i="15"/>
  <c r="D190" i="15"/>
  <c r="E190" i="15"/>
  <c r="F190" i="15"/>
  <c r="G190" i="15"/>
  <c r="H190" i="15"/>
  <c r="I190" i="15"/>
  <c r="J190" i="15"/>
  <c r="K190" i="15"/>
  <c r="L190" i="15"/>
  <c r="M190" i="15"/>
  <c r="N190" i="15"/>
  <c r="O190" i="15"/>
  <c r="P190" i="15"/>
  <c r="Q190" i="15"/>
  <c r="R190" i="15"/>
  <c r="S190" i="15"/>
  <c r="T190" i="15"/>
  <c r="B191" i="15"/>
  <c r="C191" i="15"/>
  <c r="D191" i="15"/>
  <c r="E191" i="15"/>
  <c r="F191" i="15"/>
  <c r="G191" i="15"/>
  <c r="H191" i="15"/>
  <c r="I191" i="15"/>
  <c r="J191" i="15"/>
  <c r="K191" i="15"/>
  <c r="L191" i="15"/>
  <c r="M191" i="15"/>
  <c r="N191" i="15"/>
  <c r="O191" i="15"/>
  <c r="P191" i="15"/>
  <c r="Q191" i="15"/>
  <c r="R191" i="15"/>
  <c r="S191" i="15"/>
  <c r="T191" i="15"/>
  <c r="B192" i="15"/>
  <c r="C192" i="15"/>
  <c r="D192" i="15"/>
  <c r="E192" i="15"/>
  <c r="F192" i="15"/>
  <c r="G192" i="15"/>
  <c r="H192" i="15"/>
  <c r="I192" i="15"/>
  <c r="J192" i="15"/>
  <c r="K192" i="15"/>
  <c r="L192" i="15"/>
  <c r="M192" i="15"/>
  <c r="N192" i="15"/>
  <c r="O192" i="15"/>
  <c r="P192" i="15"/>
  <c r="Q192" i="15"/>
  <c r="R192" i="15"/>
  <c r="S192" i="15"/>
  <c r="T192" i="15"/>
  <c r="B193" i="15"/>
  <c r="C193" i="15"/>
  <c r="D193" i="15"/>
  <c r="E193" i="15"/>
  <c r="F193" i="15"/>
  <c r="G193" i="15"/>
  <c r="H193" i="15"/>
  <c r="I193" i="15"/>
  <c r="J193" i="15"/>
  <c r="K193" i="15"/>
  <c r="L193" i="15"/>
  <c r="M193" i="15"/>
  <c r="N193" i="15"/>
  <c r="O193" i="15"/>
  <c r="P193" i="15"/>
  <c r="Q193" i="15"/>
  <c r="R193" i="15"/>
  <c r="S193" i="15"/>
  <c r="T193" i="15"/>
  <c r="B194" i="15"/>
  <c r="C194" i="15"/>
  <c r="D194" i="15"/>
  <c r="E194" i="15"/>
  <c r="F194" i="15"/>
  <c r="G194" i="15"/>
  <c r="H194" i="15"/>
  <c r="I194" i="15"/>
  <c r="J194" i="15"/>
  <c r="K194" i="15"/>
  <c r="L194" i="15"/>
  <c r="M194" i="15"/>
  <c r="N194" i="15"/>
  <c r="O194" i="15"/>
  <c r="P194" i="15"/>
  <c r="Q194" i="15"/>
  <c r="R194" i="15"/>
  <c r="S194" i="15"/>
  <c r="T194" i="15"/>
  <c r="B195" i="15"/>
  <c r="C195" i="15"/>
  <c r="D195" i="15"/>
  <c r="E195" i="15"/>
  <c r="F195" i="15"/>
  <c r="G195" i="15"/>
  <c r="H195" i="15"/>
  <c r="I195" i="15"/>
  <c r="J195" i="15"/>
  <c r="K195" i="15"/>
  <c r="L195" i="15"/>
  <c r="M195" i="15"/>
  <c r="N195" i="15"/>
  <c r="O195" i="15"/>
  <c r="P195" i="15"/>
  <c r="Q195" i="15"/>
  <c r="R195" i="15"/>
  <c r="S195" i="15"/>
  <c r="T195" i="15"/>
  <c r="B196" i="15"/>
  <c r="C196" i="15"/>
  <c r="D196" i="15"/>
  <c r="E196" i="15"/>
  <c r="F196" i="15"/>
  <c r="G196" i="15"/>
  <c r="H196" i="15"/>
  <c r="I196" i="15"/>
  <c r="J196" i="15"/>
  <c r="K196" i="15"/>
  <c r="L196" i="15"/>
  <c r="M196" i="15"/>
  <c r="N196" i="15"/>
  <c r="O196" i="15"/>
  <c r="P196" i="15"/>
  <c r="Q196" i="15"/>
  <c r="R196" i="15"/>
  <c r="S196" i="15"/>
  <c r="T196" i="15"/>
  <c r="B197" i="15"/>
  <c r="C197" i="15"/>
  <c r="D197" i="15"/>
  <c r="E197" i="15"/>
  <c r="F197" i="15"/>
  <c r="G197" i="15"/>
  <c r="H197" i="15"/>
  <c r="I197" i="15"/>
  <c r="J197" i="15"/>
  <c r="K197" i="15"/>
  <c r="L197" i="15"/>
  <c r="M197" i="15"/>
  <c r="N197" i="15"/>
  <c r="O197" i="15"/>
  <c r="P197" i="15"/>
  <c r="Q197" i="15"/>
  <c r="R197" i="15"/>
  <c r="S197" i="15"/>
  <c r="T197" i="15"/>
  <c r="B198" i="15"/>
  <c r="C198" i="15"/>
  <c r="D198" i="15"/>
  <c r="E198" i="15"/>
  <c r="F198" i="15"/>
  <c r="G198" i="15"/>
  <c r="H198" i="15"/>
  <c r="I198" i="15"/>
  <c r="J198" i="15"/>
  <c r="K198" i="15"/>
  <c r="L198" i="15"/>
  <c r="M198" i="15"/>
  <c r="N198" i="15"/>
  <c r="O198" i="15"/>
  <c r="P198" i="15"/>
  <c r="Q198" i="15"/>
  <c r="R198" i="15"/>
  <c r="S198" i="15"/>
  <c r="T198" i="15"/>
  <c r="B199" i="15"/>
  <c r="C199" i="15"/>
  <c r="D199" i="15"/>
  <c r="E199" i="15"/>
  <c r="F199" i="15"/>
  <c r="G199" i="15"/>
  <c r="H199" i="15"/>
  <c r="I199" i="15"/>
  <c r="J199" i="15"/>
  <c r="K199" i="15"/>
  <c r="L199" i="15"/>
  <c r="M199" i="15"/>
  <c r="N199" i="15"/>
  <c r="O199" i="15"/>
  <c r="P199" i="15"/>
  <c r="Q199" i="15"/>
  <c r="R199" i="15"/>
  <c r="S199" i="15"/>
  <c r="T199" i="15"/>
  <c r="B200" i="15"/>
  <c r="C200" i="15"/>
  <c r="D200" i="15"/>
  <c r="E200" i="15"/>
  <c r="F200" i="15"/>
  <c r="G200" i="15"/>
  <c r="H200" i="15"/>
  <c r="I200" i="15"/>
  <c r="J200" i="15"/>
  <c r="K200" i="15"/>
  <c r="L200" i="15"/>
  <c r="M200" i="15"/>
  <c r="N200" i="15"/>
  <c r="O200" i="15"/>
  <c r="P200" i="15"/>
  <c r="Q200" i="15"/>
  <c r="R200" i="15"/>
  <c r="S200" i="15"/>
  <c r="T200" i="15"/>
  <c r="B201" i="15"/>
  <c r="C201" i="15"/>
  <c r="D201" i="15"/>
  <c r="E201" i="15"/>
  <c r="F201" i="15"/>
  <c r="G201" i="15"/>
  <c r="H201" i="15"/>
  <c r="I201" i="15"/>
  <c r="J201" i="15"/>
  <c r="K201" i="15"/>
  <c r="L201" i="15"/>
  <c r="M201" i="15"/>
  <c r="N201" i="15"/>
  <c r="O201" i="15"/>
  <c r="P201" i="15"/>
  <c r="Q201" i="15"/>
  <c r="R201" i="15"/>
  <c r="S201" i="15"/>
  <c r="T201" i="15"/>
  <c r="B202" i="15"/>
  <c r="C202" i="15"/>
  <c r="D202" i="15"/>
  <c r="E202" i="15"/>
  <c r="F202" i="15"/>
  <c r="G202" i="15"/>
  <c r="H202" i="15"/>
  <c r="I202" i="15"/>
  <c r="J202" i="15"/>
  <c r="K202" i="15"/>
  <c r="L202" i="15"/>
  <c r="M202" i="15"/>
  <c r="N202" i="15"/>
  <c r="O202" i="15"/>
  <c r="P202" i="15"/>
  <c r="Q202" i="15"/>
  <c r="R202" i="15"/>
  <c r="S202" i="15"/>
  <c r="T202" i="15"/>
  <c r="B203" i="15"/>
  <c r="C203" i="15"/>
  <c r="D203" i="15"/>
  <c r="E203" i="15"/>
  <c r="F203" i="15"/>
  <c r="G203" i="15"/>
  <c r="H203" i="15"/>
  <c r="I203" i="15"/>
  <c r="J203" i="15"/>
  <c r="K203" i="15"/>
  <c r="L203" i="15"/>
  <c r="M203" i="15"/>
  <c r="N203" i="15"/>
  <c r="O203" i="15"/>
  <c r="P203" i="15"/>
  <c r="Q203" i="15"/>
  <c r="R203" i="15"/>
  <c r="S203" i="15"/>
  <c r="T203" i="15"/>
  <c r="B204" i="15"/>
  <c r="C204" i="15"/>
  <c r="D204" i="15"/>
  <c r="E204" i="15"/>
  <c r="F204" i="15"/>
  <c r="G204" i="15"/>
  <c r="H204" i="15"/>
  <c r="I204" i="15"/>
  <c r="J204" i="15"/>
  <c r="K204" i="15"/>
  <c r="L204" i="15"/>
  <c r="M204" i="15"/>
  <c r="N204" i="15"/>
  <c r="O204" i="15"/>
  <c r="P204" i="15"/>
  <c r="Q204" i="15"/>
  <c r="R204" i="15"/>
  <c r="S204" i="15"/>
  <c r="T204" i="15"/>
  <c r="B205" i="15"/>
  <c r="C205" i="15"/>
  <c r="D205" i="15"/>
  <c r="E205" i="15"/>
  <c r="F205" i="15"/>
  <c r="G205" i="15"/>
  <c r="H205" i="15"/>
  <c r="I205" i="15"/>
  <c r="J205" i="15"/>
  <c r="K205" i="15"/>
  <c r="L205" i="15"/>
  <c r="M205" i="15"/>
  <c r="N205" i="15"/>
  <c r="O205" i="15"/>
  <c r="P205" i="15"/>
  <c r="Q205" i="15"/>
  <c r="R205" i="15"/>
  <c r="S205" i="15"/>
  <c r="T205" i="15"/>
  <c r="B207" i="15"/>
  <c r="C207" i="15"/>
  <c r="D207" i="15"/>
  <c r="E207" i="15"/>
  <c r="F207" i="15"/>
  <c r="G207" i="15"/>
  <c r="H207" i="15"/>
  <c r="I207" i="15"/>
  <c r="J207" i="15"/>
  <c r="K207" i="15"/>
  <c r="L207" i="15"/>
  <c r="M207" i="15"/>
  <c r="N207" i="15"/>
  <c r="O207" i="15"/>
  <c r="P207" i="15"/>
  <c r="Q207" i="15"/>
  <c r="R207" i="15"/>
  <c r="S207" i="15"/>
  <c r="T207" i="15"/>
  <c r="B208" i="15"/>
  <c r="C208" i="15"/>
  <c r="D208" i="15"/>
  <c r="E208" i="15"/>
  <c r="F208" i="15"/>
  <c r="G208" i="15"/>
  <c r="H208" i="15"/>
  <c r="I208" i="15"/>
  <c r="J208" i="15"/>
  <c r="K208" i="15"/>
  <c r="L208" i="15"/>
  <c r="M208" i="15"/>
  <c r="N208" i="15"/>
  <c r="O208" i="15"/>
  <c r="P208" i="15"/>
  <c r="Q208" i="15"/>
  <c r="R208" i="15"/>
  <c r="S208" i="15"/>
  <c r="T208" i="15"/>
  <c r="B209" i="15"/>
  <c r="C209" i="15"/>
  <c r="D209" i="15"/>
  <c r="E209" i="15"/>
  <c r="F209" i="15"/>
  <c r="G209" i="15"/>
  <c r="H209" i="15"/>
  <c r="I209" i="15"/>
  <c r="J209" i="15"/>
  <c r="K209" i="15"/>
  <c r="L209" i="15"/>
  <c r="M209" i="15"/>
  <c r="N209" i="15"/>
  <c r="O209" i="15"/>
  <c r="P209" i="15"/>
  <c r="Q209" i="15"/>
  <c r="R209" i="15"/>
  <c r="S209" i="15"/>
  <c r="T209" i="15"/>
  <c r="B210" i="15"/>
  <c r="C210" i="15"/>
  <c r="D210" i="15"/>
  <c r="E210" i="15"/>
  <c r="F210" i="15"/>
  <c r="G210" i="15"/>
  <c r="H210" i="15"/>
  <c r="I210" i="15"/>
  <c r="J210" i="15"/>
  <c r="K210" i="15"/>
  <c r="L210" i="15"/>
  <c r="M210" i="15"/>
  <c r="N210" i="15"/>
  <c r="O210" i="15"/>
  <c r="P210" i="15"/>
  <c r="Q210" i="15"/>
  <c r="R210" i="15"/>
  <c r="S210" i="15"/>
  <c r="T210" i="15"/>
  <c r="B211" i="15"/>
  <c r="C211" i="15"/>
  <c r="D211" i="15"/>
  <c r="E211" i="15"/>
  <c r="F211" i="15"/>
  <c r="G211" i="15"/>
  <c r="H211" i="15"/>
  <c r="I211" i="15"/>
  <c r="J211" i="15"/>
  <c r="K211" i="15"/>
  <c r="L211" i="15"/>
  <c r="M211" i="15"/>
  <c r="N211" i="15"/>
  <c r="O211" i="15"/>
  <c r="P211" i="15"/>
  <c r="Q211" i="15"/>
  <c r="R211" i="15"/>
  <c r="S211" i="15"/>
  <c r="T211" i="15"/>
  <c r="B212" i="15"/>
  <c r="C212" i="15"/>
  <c r="D212" i="15"/>
  <c r="E212" i="15"/>
  <c r="F212" i="15"/>
  <c r="G212" i="15"/>
  <c r="H212" i="15"/>
  <c r="I212" i="15"/>
  <c r="J212" i="15"/>
  <c r="K212" i="15"/>
  <c r="L212" i="15"/>
  <c r="M212" i="15"/>
  <c r="N212" i="15"/>
  <c r="O212" i="15"/>
  <c r="P212" i="15"/>
  <c r="Q212" i="15"/>
  <c r="R212" i="15"/>
  <c r="S212" i="15"/>
  <c r="T212" i="15"/>
  <c r="B213" i="15"/>
  <c r="C213" i="15"/>
  <c r="D213" i="15"/>
  <c r="E213" i="15"/>
  <c r="F213" i="15"/>
  <c r="G213" i="15"/>
  <c r="H213" i="15"/>
  <c r="I213" i="15"/>
  <c r="J213" i="15"/>
  <c r="K213" i="15"/>
  <c r="L213" i="15"/>
  <c r="M213" i="15"/>
  <c r="N213" i="15"/>
  <c r="O213" i="15"/>
  <c r="P213" i="15"/>
  <c r="Q213" i="15"/>
  <c r="R213" i="15"/>
  <c r="S213" i="15"/>
  <c r="T213" i="15"/>
  <c r="B214" i="15"/>
  <c r="C214" i="15"/>
  <c r="D214" i="15"/>
  <c r="E214" i="15"/>
  <c r="F214" i="15"/>
  <c r="G214" i="15"/>
  <c r="H214" i="15"/>
  <c r="I214" i="15"/>
  <c r="J214" i="15"/>
  <c r="K214" i="15"/>
  <c r="L214" i="15"/>
  <c r="M214" i="15"/>
  <c r="N214" i="15"/>
  <c r="O214" i="15"/>
  <c r="P214" i="15"/>
  <c r="Q214" i="15"/>
  <c r="R214" i="15"/>
  <c r="S214" i="15"/>
  <c r="T214" i="15"/>
  <c r="B215" i="15"/>
  <c r="C215" i="15"/>
  <c r="D215" i="15"/>
  <c r="E215" i="15"/>
  <c r="F215" i="15"/>
  <c r="G215" i="15"/>
  <c r="H215" i="15"/>
  <c r="I215" i="15"/>
  <c r="J215" i="15"/>
  <c r="K215" i="15"/>
  <c r="L215" i="15"/>
  <c r="M215" i="15"/>
  <c r="N215" i="15"/>
  <c r="O215" i="15"/>
  <c r="P215" i="15"/>
  <c r="Q215" i="15"/>
  <c r="R215" i="15"/>
  <c r="S215" i="15"/>
  <c r="T215" i="15"/>
  <c r="B216" i="15"/>
  <c r="C216" i="15"/>
  <c r="D216" i="15"/>
  <c r="E216" i="15"/>
  <c r="F216" i="15"/>
  <c r="G216" i="15"/>
  <c r="H216" i="15"/>
  <c r="I216" i="15"/>
  <c r="J216" i="15"/>
  <c r="K216" i="15"/>
  <c r="L216" i="15"/>
  <c r="M216" i="15"/>
  <c r="N216" i="15"/>
  <c r="O216" i="15"/>
  <c r="P216" i="15"/>
  <c r="Q216" i="15"/>
  <c r="R216" i="15"/>
  <c r="S216" i="15"/>
  <c r="T216" i="15"/>
  <c r="B217" i="15"/>
  <c r="C217" i="15"/>
  <c r="D217" i="15"/>
  <c r="E217" i="15"/>
  <c r="F217" i="15"/>
  <c r="G217" i="15"/>
  <c r="H217" i="15"/>
  <c r="I217" i="15"/>
  <c r="J217" i="15"/>
  <c r="K217" i="15"/>
  <c r="L217" i="15"/>
  <c r="M217" i="15"/>
  <c r="N217" i="15"/>
  <c r="O217" i="15"/>
  <c r="P217" i="15"/>
  <c r="Q217" i="15"/>
  <c r="R217" i="15"/>
  <c r="S217" i="15"/>
  <c r="T217" i="15"/>
  <c r="B218" i="15"/>
  <c r="C218" i="15"/>
  <c r="D218" i="15"/>
  <c r="E218" i="15"/>
  <c r="F218" i="15"/>
  <c r="G218" i="15"/>
  <c r="H218" i="15"/>
  <c r="I218" i="15"/>
  <c r="J218" i="15"/>
  <c r="K218" i="15"/>
  <c r="L218" i="15"/>
  <c r="M218" i="15"/>
  <c r="N218" i="15"/>
  <c r="O218" i="15"/>
  <c r="P218" i="15"/>
  <c r="Q218" i="15"/>
  <c r="R218" i="15"/>
  <c r="S218" i="15"/>
  <c r="T218" i="15"/>
  <c r="B219" i="15"/>
  <c r="C219" i="15"/>
  <c r="D219" i="15"/>
  <c r="E219" i="15"/>
  <c r="F219" i="15"/>
  <c r="G219" i="15"/>
  <c r="H219" i="15"/>
  <c r="I219" i="15"/>
  <c r="J219" i="15"/>
  <c r="K219" i="15"/>
  <c r="L219" i="15"/>
  <c r="M219" i="15"/>
  <c r="N219" i="15"/>
  <c r="O219" i="15"/>
  <c r="P219" i="15"/>
  <c r="Q219" i="15"/>
  <c r="R219" i="15"/>
  <c r="S219" i="15"/>
  <c r="T219" i="15"/>
  <c r="B220" i="15"/>
  <c r="C220" i="15"/>
  <c r="D220" i="15"/>
  <c r="E220" i="15"/>
  <c r="F220" i="15"/>
  <c r="G220" i="15"/>
  <c r="H220" i="15"/>
  <c r="I220" i="15"/>
  <c r="J220" i="15"/>
  <c r="K220" i="15"/>
  <c r="L220" i="15"/>
  <c r="M220" i="15"/>
  <c r="N220" i="15"/>
  <c r="O220" i="15"/>
  <c r="P220" i="15"/>
  <c r="Q220" i="15"/>
  <c r="R220" i="15"/>
  <c r="S220" i="15"/>
  <c r="T220" i="15"/>
  <c r="B221" i="15"/>
  <c r="C221" i="15"/>
  <c r="D221" i="15"/>
  <c r="E221" i="15"/>
  <c r="F221" i="15"/>
  <c r="G221" i="15"/>
  <c r="H221" i="15"/>
  <c r="I221" i="15"/>
  <c r="J221" i="15"/>
  <c r="K221" i="15"/>
  <c r="L221" i="15"/>
  <c r="M221" i="15"/>
  <c r="N221" i="15"/>
  <c r="O221" i="15"/>
  <c r="P221" i="15"/>
  <c r="Q221" i="15"/>
  <c r="R221" i="15"/>
  <c r="S221" i="15"/>
  <c r="T221" i="15"/>
  <c r="B222" i="15"/>
  <c r="C222" i="15"/>
  <c r="D222" i="15"/>
  <c r="E222" i="15"/>
  <c r="F222" i="15"/>
  <c r="G222" i="15"/>
  <c r="H222" i="15"/>
  <c r="I222" i="15"/>
  <c r="J222" i="15"/>
  <c r="K222" i="15"/>
  <c r="L222" i="15"/>
  <c r="M222" i="15"/>
  <c r="N222" i="15"/>
  <c r="O222" i="15"/>
  <c r="P222" i="15"/>
  <c r="Q222" i="15"/>
  <c r="R222" i="15"/>
  <c r="S222" i="15"/>
  <c r="T222" i="15"/>
  <c r="B223" i="15"/>
  <c r="C223" i="15"/>
  <c r="D223" i="15"/>
  <c r="E223" i="15"/>
  <c r="F223" i="15"/>
  <c r="G223" i="15"/>
  <c r="H223" i="15"/>
  <c r="I223" i="15"/>
  <c r="J223" i="15"/>
  <c r="K223" i="15"/>
  <c r="L223" i="15"/>
  <c r="M223" i="15"/>
  <c r="N223" i="15"/>
  <c r="O223" i="15"/>
  <c r="P223" i="15"/>
  <c r="Q223" i="15"/>
  <c r="R223" i="15"/>
  <c r="S223" i="15"/>
  <c r="T223" i="15"/>
  <c r="B224" i="15"/>
  <c r="C224" i="15"/>
  <c r="D224" i="15"/>
  <c r="E224" i="15"/>
  <c r="F224" i="15"/>
  <c r="G224" i="15"/>
  <c r="H224" i="15"/>
  <c r="I224" i="15"/>
  <c r="J224" i="15"/>
  <c r="K224" i="15"/>
  <c r="L224" i="15"/>
  <c r="M224" i="15"/>
  <c r="N224" i="15"/>
  <c r="O224" i="15"/>
  <c r="P224" i="15"/>
  <c r="Q224" i="15"/>
  <c r="R224" i="15"/>
  <c r="S224" i="15"/>
  <c r="T224" i="15"/>
  <c r="B225" i="15"/>
  <c r="C225" i="15"/>
  <c r="D225" i="15"/>
  <c r="E225" i="15"/>
  <c r="F225" i="15"/>
  <c r="G225" i="15"/>
  <c r="H225" i="15"/>
  <c r="I225" i="15"/>
  <c r="J225" i="15"/>
  <c r="K225" i="15"/>
  <c r="L225" i="15"/>
  <c r="M225" i="15"/>
  <c r="N225" i="15"/>
  <c r="O225" i="15"/>
  <c r="P225" i="15"/>
  <c r="Q225" i="15"/>
  <c r="R225" i="15"/>
  <c r="S225" i="15"/>
  <c r="T225" i="15"/>
  <c r="B226" i="15"/>
  <c r="C226" i="15"/>
  <c r="D226" i="15"/>
  <c r="E226" i="15"/>
  <c r="F226" i="15"/>
  <c r="G226" i="15"/>
  <c r="H226" i="15"/>
  <c r="I226" i="15"/>
  <c r="J226" i="15"/>
  <c r="K226" i="15"/>
  <c r="L226" i="15"/>
  <c r="M226" i="15"/>
  <c r="N226" i="15"/>
  <c r="O226" i="15"/>
  <c r="P226" i="15"/>
  <c r="Q226" i="15"/>
  <c r="R226" i="15"/>
  <c r="S226" i="15"/>
  <c r="T226" i="15"/>
  <c r="B227" i="15"/>
  <c r="C227" i="15"/>
  <c r="D227" i="15"/>
  <c r="E227" i="15"/>
  <c r="F227" i="15"/>
  <c r="G227" i="15"/>
  <c r="H227" i="15"/>
  <c r="I227" i="15"/>
  <c r="J227" i="15"/>
  <c r="K227" i="15"/>
  <c r="L227" i="15"/>
  <c r="M227" i="15"/>
  <c r="N227" i="15"/>
  <c r="O227" i="15"/>
  <c r="P227" i="15"/>
  <c r="Q227" i="15"/>
  <c r="R227" i="15"/>
  <c r="S227" i="15"/>
  <c r="T227" i="15"/>
  <c r="B229" i="15"/>
  <c r="C229" i="15"/>
  <c r="D229" i="15"/>
  <c r="E229" i="15"/>
  <c r="F229" i="15"/>
  <c r="G229" i="15"/>
  <c r="H229" i="15"/>
  <c r="I229" i="15"/>
  <c r="J229" i="15"/>
  <c r="K229" i="15"/>
  <c r="L229" i="15"/>
  <c r="M229" i="15"/>
  <c r="N229" i="15"/>
  <c r="O229" i="15"/>
  <c r="P229" i="15"/>
  <c r="Q229" i="15"/>
  <c r="R229" i="15"/>
  <c r="S229" i="15"/>
  <c r="T229" i="15"/>
  <c r="B230" i="15"/>
  <c r="C230" i="15"/>
  <c r="D230" i="15"/>
  <c r="E230" i="15"/>
  <c r="F230" i="15"/>
  <c r="G230" i="15"/>
  <c r="H230" i="15"/>
  <c r="I230" i="15"/>
  <c r="J230" i="15"/>
  <c r="K230" i="15"/>
  <c r="L230" i="15"/>
  <c r="M230" i="15"/>
  <c r="N230" i="15"/>
  <c r="O230" i="15"/>
  <c r="P230" i="15"/>
  <c r="Q230" i="15"/>
  <c r="R230" i="15"/>
  <c r="S230" i="15"/>
  <c r="T230" i="15"/>
  <c r="B231" i="15"/>
  <c r="C231" i="15"/>
  <c r="D231" i="15"/>
  <c r="E231" i="15"/>
  <c r="F231" i="15"/>
  <c r="G231" i="15"/>
  <c r="H231" i="15"/>
  <c r="I231" i="15"/>
  <c r="J231" i="15"/>
  <c r="K231" i="15"/>
  <c r="L231" i="15"/>
  <c r="M231" i="15"/>
  <c r="N231" i="15"/>
  <c r="O231" i="15"/>
  <c r="P231" i="15"/>
  <c r="Q231" i="15"/>
  <c r="R231" i="15"/>
  <c r="S231" i="15"/>
  <c r="T231" i="15"/>
  <c r="B232" i="15"/>
  <c r="C232" i="15"/>
  <c r="D232" i="15"/>
  <c r="E232" i="15"/>
  <c r="F232" i="15"/>
  <c r="G232" i="15"/>
  <c r="H232" i="15"/>
  <c r="I232" i="15"/>
  <c r="J232" i="15"/>
  <c r="K232" i="15"/>
  <c r="L232" i="15"/>
  <c r="M232" i="15"/>
  <c r="N232" i="15"/>
  <c r="O232" i="15"/>
  <c r="P232" i="15"/>
  <c r="Q232" i="15"/>
  <c r="R232" i="15"/>
  <c r="S232" i="15"/>
  <c r="T232" i="15"/>
  <c r="B233" i="15"/>
  <c r="C233" i="15"/>
  <c r="D233" i="15"/>
  <c r="E233" i="15"/>
  <c r="F233" i="15"/>
  <c r="G233" i="15"/>
  <c r="H233" i="15"/>
  <c r="I233" i="15"/>
  <c r="J233" i="15"/>
  <c r="K233" i="15"/>
  <c r="L233" i="15"/>
  <c r="M233" i="15"/>
  <c r="N233" i="15"/>
  <c r="O233" i="15"/>
  <c r="P233" i="15"/>
  <c r="Q233" i="15"/>
  <c r="R233" i="15"/>
  <c r="S233" i="15"/>
  <c r="T233" i="15"/>
  <c r="B234" i="15"/>
  <c r="C234" i="15"/>
  <c r="D234" i="15"/>
  <c r="E234" i="15"/>
  <c r="F234" i="15"/>
  <c r="G234" i="15"/>
  <c r="H234" i="15"/>
  <c r="I234" i="15"/>
  <c r="J234" i="15"/>
  <c r="K234" i="15"/>
  <c r="L234" i="15"/>
  <c r="M234" i="15"/>
  <c r="N234" i="15"/>
  <c r="O234" i="15"/>
  <c r="P234" i="15"/>
  <c r="Q234" i="15"/>
  <c r="R234" i="15"/>
  <c r="S234" i="15"/>
  <c r="T234" i="15"/>
  <c r="B235" i="15"/>
  <c r="C235" i="15"/>
  <c r="D235" i="15"/>
  <c r="E235" i="15"/>
  <c r="F235" i="15"/>
  <c r="G235" i="15"/>
  <c r="H235" i="15"/>
  <c r="I235" i="15"/>
  <c r="J235" i="15"/>
  <c r="K235" i="15"/>
  <c r="L235" i="15"/>
  <c r="M235" i="15"/>
  <c r="N235" i="15"/>
  <c r="O235" i="15"/>
  <c r="P235" i="15"/>
  <c r="Q235" i="15"/>
  <c r="R235" i="15"/>
  <c r="S235" i="15"/>
  <c r="T235" i="15"/>
  <c r="B236" i="15"/>
  <c r="C236" i="15"/>
  <c r="D236" i="15"/>
  <c r="E236" i="15"/>
  <c r="F236" i="15"/>
  <c r="G236" i="15"/>
  <c r="H236" i="15"/>
  <c r="I236" i="15"/>
  <c r="J236" i="15"/>
  <c r="K236" i="15"/>
  <c r="L236" i="15"/>
  <c r="M236" i="15"/>
  <c r="N236" i="15"/>
  <c r="O236" i="15"/>
  <c r="P236" i="15"/>
  <c r="Q236" i="15"/>
  <c r="R236" i="15"/>
  <c r="S236" i="15"/>
  <c r="T236" i="15"/>
  <c r="B237" i="15"/>
  <c r="C237" i="15"/>
  <c r="D237" i="15"/>
  <c r="E237" i="15"/>
  <c r="F237" i="15"/>
  <c r="G237" i="15"/>
  <c r="H237" i="15"/>
  <c r="I237" i="15"/>
  <c r="J237" i="15"/>
  <c r="K237" i="15"/>
  <c r="L237" i="15"/>
  <c r="M237" i="15"/>
  <c r="N237" i="15"/>
  <c r="O237" i="15"/>
  <c r="P237" i="15"/>
  <c r="Q237" i="15"/>
  <c r="R237" i="15"/>
  <c r="S237" i="15"/>
  <c r="T237" i="15"/>
  <c r="B238" i="15"/>
  <c r="C238" i="15"/>
  <c r="D238" i="15"/>
  <c r="E238" i="15"/>
  <c r="F238" i="15"/>
  <c r="G238" i="15"/>
  <c r="H238" i="15"/>
  <c r="I238" i="15"/>
  <c r="J238" i="15"/>
  <c r="K238" i="15"/>
  <c r="L238" i="15"/>
  <c r="M238" i="15"/>
  <c r="N238" i="15"/>
  <c r="O238" i="15"/>
  <c r="P238" i="15"/>
  <c r="Q238" i="15"/>
  <c r="R238" i="15"/>
  <c r="S238" i="15"/>
  <c r="T238" i="15"/>
  <c r="B239" i="15"/>
  <c r="C239" i="15"/>
  <c r="D239" i="15"/>
  <c r="E239" i="15"/>
  <c r="F239" i="15"/>
  <c r="G239" i="15"/>
  <c r="H239" i="15"/>
  <c r="I239" i="15"/>
  <c r="J239" i="15"/>
  <c r="K239" i="15"/>
  <c r="L239" i="15"/>
  <c r="M239" i="15"/>
  <c r="N239" i="15"/>
  <c r="O239" i="15"/>
  <c r="P239" i="15"/>
  <c r="Q239" i="15"/>
  <c r="R239" i="15"/>
  <c r="S239" i="15"/>
  <c r="T239" i="15"/>
  <c r="B240" i="15"/>
  <c r="C240" i="15"/>
  <c r="D240" i="15"/>
  <c r="E240" i="15"/>
  <c r="F240" i="15"/>
  <c r="G240" i="15"/>
  <c r="H240" i="15"/>
  <c r="I240" i="15"/>
  <c r="J240" i="15"/>
  <c r="K240" i="15"/>
  <c r="L240" i="15"/>
  <c r="M240" i="15"/>
  <c r="N240" i="15"/>
  <c r="O240" i="15"/>
  <c r="P240" i="15"/>
  <c r="Q240" i="15"/>
  <c r="R240" i="15"/>
  <c r="S240" i="15"/>
  <c r="T240" i="15"/>
  <c r="B241" i="15"/>
  <c r="C241" i="15"/>
  <c r="D241" i="15"/>
  <c r="E241" i="15"/>
  <c r="F241" i="15"/>
  <c r="G241" i="15"/>
  <c r="H241" i="15"/>
  <c r="I241" i="15"/>
  <c r="J241" i="15"/>
  <c r="K241" i="15"/>
  <c r="L241" i="15"/>
  <c r="M241" i="15"/>
  <c r="N241" i="15"/>
  <c r="O241" i="15"/>
  <c r="P241" i="15"/>
  <c r="Q241" i="15"/>
  <c r="R241" i="15"/>
  <c r="S241" i="15"/>
  <c r="T241" i="15"/>
  <c r="B242" i="15"/>
  <c r="C242" i="15"/>
  <c r="D242" i="15"/>
  <c r="E242" i="15"/>
  <c r="F242" i="15"/>
  <c r="G242" i="15"/>
  <c r="H242" i="15"/>
  <c r="I242" i="15"/>
  <c r="J242" i="15"/>
  <c r="K242" i="15"/>
  <c r="L242" i="15"/>
  <c r="M242" i="15"/>
  <c r="N242" i="15"/>
  <c r="O242" i="15"/>
  <c r="P242" i="15"/>
  <c r="Q242" i="15"/>
  <c r="R242" i="15"/>
  <c r="S242" i="15"/>
  <c r="T242" i="15"/>
  <c r="B243" i="15"/>
  <c r="C243" i="15"/>
  <c r="D243" i="15"/>
  <c r="E243" i="15"/>
  <c r="F243" i="15"/>
  <c r="G243" i="15"/>
  <c r="H243" i="15"/>
  <c r="I243" i="15"/>
  <c r="J243" i="15"/>
  <c r="K243" i="15"/>
  <c r="L243" i="15"/>
  <c r="M243" i="15"/>
  <c r="N243" i="15"/>
  <c r="O243" i="15"/>
  <c r="P243" i="15"/>
  <c r="Q243" i="15"/>
  <c r="R243" i="15"/>
  <c r="S243" i="15"/>
  <c r="T243" i="15"/>
  <c r="B244" i="15"/>
  <c r="C244" i="15"/>
  <c r="D244" i="15"/>
  <c r="E244" i="15"/>
  <c r="F244" i="15"/>
  <c r="G244" i="15"/>
  <c r="H244" i="15"/>
  <c r="I244" i="15"/>
  <c r="J244" i="15"/>
  <c r="K244" i="15"/>
  <c r="L244" i="15"/>
  <c r="M244" i="15"/>
  <c r="N244" i="15"/>
  <c r="O244" i="15"/>
  <c r="P244" i="15"/>
  <c r="Q244" i="15"/>
  <c r="R244" i="15"/>
  <c r="S244" i="15"/>
  <c r="T244" i="15"/>
  <c r="B245" i="15"/>
  <c r="C245" i="15"/>
  <c r="D245" i="15"/>
  <c r="E245" i="15"/>
  <c r="F245" i="15"/>
  <c r="G245" i="15"/>
  <c r="H245" i="15"/>
  <c r="I245" i="15"/>
  <c r="J245" i="15"/>
  <c r="K245" i="15"/>
  <c r="L245" i="15"/>
  <c r="M245" i="15"/>
  <c r="N245" i="15"/>
  <c r="O245" i="15"/>
  <c r="P245" i="15"/>
  <c r="Q245" i="15"/>
  <c r="R245" i="15"/>
  <c r="S245" i="15"/>
  <c r="T245" i="15"/>
  <c r="B246" i="15"/>
  <c r="C246" i="15"/>
  <c r="D246" i="15"/>
  <c r="E246" i="15"/>
  <c r="F246" i="15"/>
  <c r="G246" i="15"/>
  <c r="H246" i="15"/>
  <c r="I246" i="15"/>
  <c r="J246" i="15"/>
  <c r="K246" i="15"/>
  <c r="L246" i="15"/>
  <c r="M246" i="15"/>
  <c r="N246" i="15"/>
  <c r="O246" i="15"/>
  <c r="P246" i="15"/>
  <c r="Q246" i="15"/>
  <c r="R246" i="15"/>
  <c r="S246" i="15"/>
  <c r="T246" i="15"/>
  <c r="B247" i="15"/>
  <c r="C247" i="15"/>
  <c r="D247" i="15"/>
  <c r="E247" i="15"/>
  <c r="F247" i="15"/>
  <c r="G247" i="15"/>
  <c r="H247" i="15"/>
  <c r="I247" i="15"/>
  <c r="J247" i="15"/>
  <c r="K247" i="15"/>
  <c r="L247" i="15"/>
  <c r="M247" i="15"/>
  <c r="N247" i="15"/>
  <c r="O247" i="15"/>
  <c r="P247" i="15"/>
  <c r="Q247" i="15"/>
  <c r="R247" i="15"/>
  <c r="S247" i="15"/>
  <c r="T247" i="15"/>
  <c r="B248" i="15"/>
  <c r="C248" i="15"/>
  <c r="D248" i="15"/>
  <c r="E248" i="15"/>
  <c r="F248" i="15"/>
  <c r="G248" i="15"/>
  <c r="H248" i="15"/>
  <c r="I248" i="15"/>
  <c r="J248" i="15"/>
  <c r="K248" i="15"/>
  <c r="L248" i="15"/>
  <c r="M248" i="15"/>
  <c r="N248" i="15"/>
  <c r="O248" i="15"/>
  <c r="P248" i="15"/>
  <c r="Q248" i="15"/>
  <c r="R248" i="15"/>
  <c r="S248" i="15"/>
  <c r="T248" i="15"/>
  <c r="B250" i="15"/>
  <c r="C250" i="15"/>
  <c r="D250" i="15"/>
  <c r="E250" i="15"/>
  <c r="F250" i="15"/>
  <c r="G250" i="15"/>
  <c r="H250" i="15"/>
  <c r="I250" i="15"/>
  <c r="J250" i="15"/>
  <c r="K250" i="15"/>
  <c r="L250" i="15"/>
  <c r="M250" i="15"/>
  <c r="N250" i="15"/>
  <c r="O250" i="15"/>
  <c r="P250" i="15"/>
  <c r="Q250" i="15"/>
  <c r="R250" i="15"/>
  <c r="S250" i="15"/>
  <c r="T250" i="15"/>
  <c r="B251" i="15"/>
  <c r="C251" i="15"/>
  <c r="D251" i="15"/>
  <c r="E251" i="15"/>
  <c r="F251" i="15"/>
  <c r="G251" i="15"/>
  <c r="H251" i="15"/>
  <c r="I251" i="15"/>
  <c r="J251" i="15"/>
  <c r="K251" i="15"/>
  <c r="L251" i="15"/>
  <c r="M251" i="15"/>
  <c r="N251" i="15"/>
  <c r="O251" i="15"/>
  <c r="P251" i="15"/>
  <c r="Q251" i="15"/>
  <c r="R251" i="15"/>
  <c r="S251" i="15"/>
  <c r="T251" i="15"/>
  <c r="B252" i="15"/>
  <c r="C252" i="15"/>
  <c r="D252" i="15"/>
  <c r="E252" i="15"/>
  <c r="F252" i="15"/>
  <c r="G252" i="15"/>
  <c r="H252" i="15"/>
  <c r="I252" i="15"/>
  <c r="J252" i="15"/>
  <c r="K252" i="15"/>
  <c r="L252" i="15"/>
  <c r="M252" i="15"/>
  <c r="N252" i="15"/>
  <c r="O252" i="15"/>
  <c r="P252" i="15"/>
  <c r="Q252" i="15"/>
  <c r="R252" i="15"/>
  <c r="S252" i="15"/>
  <c r="T252" i="15"/>
  <c r="B253" i="15"/>
  <c r="C253" i="15"/>
  <c r="D253" i="15"/>
  <c r="E253" i="15"/>
  <c r="F253" i="15"/>
  <c r="G253" i="15"/>
  <c r="H253" i="15"/>
  <c r="I253" i="15"/>
  <c r="J253" i="15"/>
  <c r="K253" i="15"/>
  <c r="L253" i="15"/>
  <c r="M253" i="15"/>
  <c r="N253" i="15"/>
  <c r="O253" i="15"/>
  <c r="P253" i="15"/>
  <c r="Q253" i="15"/>
  <c r="R253" i="15"/>
  <c r="S253" i="15"/>
  <c r="T253" i="15"/>
  <c r="B254" i="15"/>
  <c r="C254" i="15"/>
  <c r="D254" i="15"/>
  <c r="E254" i="15"/>
  <c r="F254" i="15"/>
  <c r="G254" i="15"/>
  <c r="H254" i="15"/>
  <c r="I254" i="15"/>
  <c r="J254" i="15"/>
  <c r="K254" i="15"/>
  <c r="L254" i="15"/>
  <c r="M254" i="15"/>
  <c r="N254" i="15"/>
  <c r="O254" i="15"/>
  <c r="P254" i="15"/>
  <c r="Q254" i="15"/>
  <c r="R254" i="15"/>
  <c r="S254" i="15"/>
  <c r="T254" i="15"/>
  <c r="B255" i="15"/>
  <c r="C255" i="15"/>
  <c r="D255" i="15"/>
  <c r="E255" i="15"/>
  <c r="F255" i="15"/>
  <c r="G255" i="15"/>
  <c r="H255" i="15"/>
  <c r="I255" i="15"/>
  <c r="J255" i="15"/>
  <c r="K255" i="15"/>
  <c r="L255" i="15"/>
  <c r="M255" i="15"/>
  <c r="N255" i="15"/>
  <c r="O255" i="15"/>
  <c r="P255" i="15"/>
  <c r="Q255" i="15"/>
  <c r="R255" i="15"/>
  <c r="S255" i="15"/>
  <c r="T255" i="15"/>
  <c r="B256" i="15"/>
  <c r="C256" i="15"/>
  <c r="D256" i="15"/>
  <c r="E256" i="15"/>
  <c r="F256" i="15"/>
  <c r="G256" i="15"/>
  <c r="H256" i="15"/>
  <c r="I256" i="15"/>
  <c r="J256" i="15"/>
  <c r="K256" i="15"/>
  <c r="L256" i="15"/>
  <c r="M256" i="15"/>
  <c r="N256" i="15"/>
  <c r="O256" i="15"/>
  <c r="P256" i="15"/>
  <c r="Q256" i="15"/>
  <c r="R256" i="15"/>
  <c r="S256" i="15"/>
  <c r="T256" i="15"/>
  <c r="F273" i="15"/>
  <c r="F274" i="15" s="1"/>
  <c r="G273" i="15"/>
  <c r="G274" i="15" s="1"/>
  <c r="H273" i="15"/>
  <c r="H274" i="15" s="1"/>
  <c r="I273" i="15"/>
  <c r="I274" i="15" s="1"/>
  <c r="J273" i="15"/>
  <c r="J274" i="15" s="1"/>
  <c r="K273" i="15"/>
  <c r="K274" i="15" s="1"/>
  <c r="L273" i="15"/>
  <c r="L274" i="15" s="1"/>
  <c r="M273" i="15"/>
  <c r="M274" i="15" s="1"/>
  <c r="N273" i="15"/>
  <c r="N274" i="15" s="1"/>
  <c r="O273" i="15"/>
  <c r="O274" i="15" s="1"/>
  <c r="P273" i="15"/>
  <c r="P274" i="15" s="1"/>
  <c r="Q273" i="15"/>
  <c r="Q274" i="15" s="1"/>
  <c r="F275" i="15"/>
  <c r="G275" i="15"/>
  <c r="H275" i="15"/>
  <c r="I275" i="15"/>
  <c r="J275" i="15"/>
  <c r="K275" i="15"/>
  <c r="L275" i="15"/>
  <c r="M275" i="15"/>
  <c r="N275" i="15"/>
  <c r="O275" i="15"/>
  <c r="P275" i="15"/>
  <c r="Q275" i="15"/>
  <c r="R276" i="15"/>
  <c r="S276" i="15"/>
  <c r="T276" i="15"/>
  <c r="F278" i="15"/>
  <c r="G278" i="15"/>
  <c r="J279" i="15"/>
  <c r="J280" i="15" s="1"/>
  <c r="K279" i="15"/>
  <c r="K280" i="15" s="1"/>
  <c r="L279" i="15"/>
  <c r="L280" i="15" s="1"/>
  <c r="J281" i="15"/>
  <c r="K281" i="15"/>
  <c r="L281" i="15"/>
  <c r="M281" i="15"/>
  <c r="N281" i="15"/>
  <c r="O281" i="15"/>
  <c r="P281" i="15"/>
  <c r="Q281" i="15"/>
  <c r="J265" i="15"/>
  <c r="K265" i="15"/>
  <c r="L265" i="15"/>
  <c r="M265" i="15"/>
  <c r="N265" i="15"/>
  <c r="O265" i="15"/>
  <c r="P265" i="15"/>
  <c r="Q265" i="15"/>
  <c r="R265" i="15"/>
  <c r="S265" i="15"/>
  <c r="C266" i="15"/>
  <c r="C267" i="15"/>
  <c r="D267" i="15"/>
  <c r="C268" i="15"/>
  <c r="D268" i="15"/>
  <c r="E268" i="15"/>
  <c r="C269" i="15"/>
  <c r="D269" i="15"/>
  <c r="E269" i="15"/>
  <c r="F269" i="15"/>
  <c r="G269" i="15"/>
  <c r="C270" i="15"/>
  <c r="D270" i="15"/>
  <c r="E270" i="15"/>
  <c r="F270" i="15"/>
  <c r="G270" i="15"/>
  <c r="H270" i="15"/>
  <c r="I270" i="15"/>
  <c r="D271" i="15"/>
  <c r="E271" i="15"/>
  <c r="F271" i="15"/>
  <c r="G271" i="15"/>
  <c r="H271" i="15"/>
  <c r="I271" i="15"/>
  <c r="J271" i="15"/>
  <c r="K271" i="15"/>
  <c r="I272" i="15"/>
  <c r="J272" i="15"/>
  <c r="K272" i="15"/>
  <c r="L272" i="15"/>
  <c r="M272" i="15"/>
  <c r="D260" i="15"/>
  <c r="E260" i="15"/>
  <c r="F260" i="15"/>
  <c r="G260" i="15"/>
  <c r="H260" i="15"/>
  <c r="I260" i="15"/>
  <c r="J260" i="15"/>
  <c r="K260" i="15"/>
  <c r="L260" i="15"/>
  <c r="M260" i="15"/>
  <c r="N260" i="15"/>
  <c r="O260" i="15"/>
  <c r="P260" i="15"/>
  <c r="K261" i="15"/>
  <c r="L261" i="15"/>
  <c r="M261" i="15"/>
  <c r="N261" i="15"/>
  <c r="O261" i="15"/>
  <c r="P261" i="15"/>
  <c r="Q261" i="15"/>
  <c r="R261" i="15"/>
  <c r="S261" i="15"/>
  <c r="S262" i="15"/>
  <c r="T262" i="15"/>
  <c r="E263" i="15"/>
  <c r="F263" i="15"/>
  <c r="J264" i="15"/>
  <c r="K264" i="15"/>
  <c r="L264" i="15"/>
  <c r="M264" i="15"/>
  <c r="N264" i="15"/>
  <c r="O264" i="15"/>
  <c r="P264" i="15"/>
  <c r="Q264" i="15"/>
  <c r="R264" i="15"/>
  <c r="S264" i="15"/>
  <c r="T264" i="15"/>
  <c r="D120" i="20"/>
  <c r="E120" i="20"/>
  <c r="F120" i="20"/>
  <c r="D124" i="20"/>
  <c r="D130" i="20" s="1"/>
  <c r="D131" i="20" s="1"/>
  <c r="E124" i="20"/>
  <c r="E130" i="20" s="1"/>
  <c r="E131" i="20" s="1"/>
  <c r="F124" i="20"/>
  <c r="F130" i="20" s="1"/>
  <c r="F131" i="20" s="1"/>
  <c r="D125" i="20"/>
  <c r="E125" i="20"/>
  <c r="F125" i="20"/>
  <c r="D126" i="20"/>
  <c r="E126" i="20"/>
  <c r="F126" i="20"/>
  <c r="D127" i="20"/>
  <c r="E127" i="20"/>
  <c r="F127" i="20"/>
  <c r="D128" i="20"/>
  <c r="E128" i="20"/>
  <c r="F128" i="20"/>
  <c r="D129" i="20"/>
  <c r="E129" i="20"/>
  <c r="F129" i="20"/>
  <c r="D132" i="20"/>
  <c r="E132" i="20"/>
  <c r="F132" i="20"/>
  <c r="D134" i="20"/>
  <c r="E134" i="20"/>
  <c r="F134" i="20"/>
  <c r="D135" i="20"/>
  <c r="E135" i="20"/>
  <c r="F135" i="20"/>
  <c r="D18" i="20"/>
  <c r="E18" i="20"/>
  <c r="F18" i="20"/>
  <c r="D19" i="20"/>
  <c r="E19" i="20"/>
  <c r="F19" i="20"/>
  <c r="D20" i="20"/>
  <c r="E20" i="20"/>
  <c r="F20" i="20"/>
  <c r="D21" i="20"/>
  <c r="E21" i="20"/>
  <c r="F21" i="20"/>
  <c r="D22" i="20"/>
  <c r="E22" i="20"/>
  <c r="F22" i="20"/>
  <c r="D23" i="20"/>
  <c r="E23" i="20"/>
  <c r="F23" i="20"/>
  <c r="F24" i="20" s="1"/>
  <c r="D24" i="20"/>
  <c r="E24" i="20"/>
  <c r="D30" i="20"/>
  <c r="E30" i="20"/>
  <c r="F30" i="20"/>
  <c r="D33" i="20"/>
  <c r="E33" i="20"/>
  <c r="F33" i="20"/>
  <c r="D40" i="20"/>
  <c r="E40" i="20"/>
  <c r="F40" i="20"/>
  <c r="D41" i="20"/>
  <c r="E41" i="20"/>
  <c r="F41" i="20"/>
  <c r="D42" i="20"/>
  <c r="D48" i="20" s="1"/>
  <c r="D61" i="20" s="1"/>
  <c r="D95" i="20" s="1"/>
  <c r="E42" i="20"/>
  <c r="E48" i="20" s="1"/>
  <c r="E61" i="20" s="1"/>
  <c r="F42" i="20"/>
  <c r="F48" i="20" s="1"/>
  <c r="F61" i="20" s="1"/>
  <c r="D43" i="20"/>
  <c r="E43" i="20"/>
  <c r="F43" i="20"/>
  <c r="D44" i="20"/>
  <c r="E44" i="20"/>
  <c r="F44" i="20"/>
  <c r="D45" i="20"/>
  <c r="E45" i="20"/>
  <c r="F45" i="20"/>
  <c r="D46" i="20"/>
  <c r="E46" i="20"/>
  <c r="F46" i="20"/>
  <c r="D47" i="20"/>
  <c r="E47" i="20"/>
  <c r="F47" i="20"/>
  <c r="D49" i="20"/>
  <c r="D60" i="20" s="1"/>
  <c r="E49" i="20"/>
  <c r="E60" i="20" s="1"/>
  <c r="F49" i="20"/>
  <c r="F60" i="20" s="1"/>
  <c r="D50" i="20"/>
  <c r="E50" i="20"/>
  <c r="F50" i="20"/>
  <c r="D51" i="20"/>
  <c r="E51" i="20"/>
  <c r="F51" i="20"/>
  <c r="D52" i="20"/>
  <c r="E52" i="20"/>
  <c r="F52" i="20"/>
  <c r="D53" i="20"/>
  <c r="E53" i="20"/>
  <c r="F53" i="20"/>
  <c r="D54" i="20"/>
  <c r="E54" i="20"/>
  <c r="F54" i="20"/>
  <c r="D55" i="20"/>
  <c r="E55" i="20"/>
  <c r="F55" i="20"/>
  <c r="D56" i="20"/>
  <c r="E56" i="20"/>
  <c r="F56" i="20"/>
  <c r="D57" i="20"/>
  <c r="E57" i="20"/>
  <c r="F57" i="20"/>
  <c r="D58" i="20"/>
  <c r="E58" i="20"/>
  <c r="F58" i="20"/>
  <c r="D59" i="20"/>
  <c r="E59" i="20"/>
  <c r="F59" i="20"/>
  <c r="D64" i="20"/>
  <c r="E64" i="20"/>
  <c r="F64" i="20"/>
  <c r="D65" i="20"/>
  <c r="D71" i="20" s="1"/>
  <c r="D80" i="20" s="1"/>
  <c r="D94" i="20" s="1"/>
  <c r="E65" i="20"/>
  <c r="F65" i="20"/>
  <c r="D66" i="20"/>
  <c r="E66" i="20"/>
  <c r="F66" i="20"/>
  <c r="D67" i="20"/>
  <c r="E67" i="20"/>
  <c r="F67" i="20"/>
  <c r="D68" i="20"/>
  <c r="E68" i="20"/>
  <c r="F68" i="20"/>
  <c r="D69" i="20"/>
  <c r="E69" i="20"/>
  <c r="F69" i="20"/>
  <c r="D70" i="20"/>
  <c r="E70" i="20"/>
  <c r="F70" i="20"/>
  <c r="D72" i="20"/>
  <c r="D78" i="20" s="1"/>
  <c r="E72" i="20"/>
  <c r="E78" i="20" s="1"/>
  <c r="F72" i="20"/>
  <c r="D73" i="20"/>
  <c r="E73" i="20"/>
  <c r="F73" i="20"/>
  <c r="D74" i="20"/>
  <c r="E74" i="20"/>
  <c r="F74" i="20"/>
  <c r="D75" i="20"/>
  <c r="E75" i="20"/>
  <c r="F75" i="20"/>
  <c r="D76" i="20"/>
  <c r="E76" i="20"/>
  <c r="F76" i="20"/>
  <c r="D77" i="20"/>
  <c r="E77" i="20"/>
  <c r="F77" i="20"/>
  <c r="F78" i="20"/>
  <c r="D85" i="20"/>
  <c r="E85" i="20"/>
  <c r="F85" i="20"/>
  <c r="D86" i="20"/>
  <c r="E86" i="20"/>
  <c r="F86" i="20"/>
  <c r="D90" i="20"/>
  <c r="D87" i="20" s="1"/>
  <c r="E90" i="20"/>
  <c r="E87" i="20" s="1"/>
  <c r="F90" i="20"/>
  <c r="F87" i="20" s="1"/>
  <c r="D91" i="20"/>
  <c r="E91" i="20"/>
  <c r="F91" i="20"/>
  <c r="D92" i="20"/>
  <c r="E92" i="20"/>
  <c r="F92" i="20"/>
  <c r="D99" i="20"/>
  <c r="E99" i="20"/>
  <c r="F99" i="20"/>
  <c r="D100" i="20"/>
  <c r="E100" i="20"/>
  <c r="F100" i="20"/>
  <c r="D101" i="20"/>
  <c r="E101" i="20"/>
  <c r="F101" i="20"/>
  <c r="D104" i="20"/>
  <c r="E104" i="20"/>
  <c r="F104" i="20"/>
  <c r="D105" i="20"/>
  <c r="E105" i="20"/>
  <c r="F105" i="20"/>
  <c r="D106" i="20"/>
  <c r="E106" i="20"/>
  <c r="F106" i="20"/>
  <c r="D107" i="20"/>
  <c r="E107" i="20"/>
  <c r="F107" i="20"/>
  <c r="D112" i="20"/>
  <c r="E112" i="20"/>
  <c r="F112" i="20"/>
  <c r="D113" i="20"/>
  <c r="E113" i="20"/>
  <c r="F113" i="20"/>
  <c r="D114" i="20"/>
  <c r="E114" i="20"/>
  <c r="F114" i="20"/>
  <c r="D115" i="20"/>
  <c r="E115" i="20"/>
  <c r="F115" i="20"/>
  <c r="D116" i="20"/>
  <c r="E116" i="20"/>
  <c r="F116" i="20"/>
  <c r="D5" i="20"/>
  <c r="E5" i="20"/>
  <c r="F5" i="20"/>
  <c r="D6" i="20"/>
  <c r="D12" i="20" s="1"/>
  <c r="E6" i="20"/>
  <c r="F6" i="20"/>
  <c r="F12" i="20" s="1"/>
  <c r="D7" i="20"/>
  <c r="E7" i="20"/>
  <c r="F7" i="20"/>
  <c r="D8" i="20"/>
  <c r="E8" i="20"/>
  <c r="F8" i="20"/>
  <c r="D9" i="20"/>
  <c r="E9" i="20"/>
  <c r="F9" i="20"/>
  <c r="D11" i="20"/>
  <c r="E11" i="20"/>
  <c r="F11" i="20"/>
  <c r="B6" i="33"/>
  <c r="C6" i="33"/>
  <c r="D6" i="33"/>
  <c r="E6" i="33"/>
  <c r="B7" i="33"/>
  <c r="C7" i="33"/>
  <c r="D7" i="33"/>
  <c r="E7" i="33"/>
  <c r="B8" i="33"/>
  <c r="C8" i="33"/>
  <c r="D8" i="33"/>
  <c r="E8" i="33"/>
  <c r="B9" i="33"/>
  <c r="C9" i="33"/>
  <c r="D9" i="33"/>
  <c r="E9" i="33"/>
  <c r="B10" i="33"/>
  <c r="C10" i="33"/>
  <c r="D10" i="33"/>
  <c r="E10" i="33"/>
  <c r="B11" i="33"/>
  <c r="C11" i="33"/>
  <c r="D11" i="33"/>
  <c r="E11" i="33"/>
  <c r="B12" i="33"/>
  <c r="C12" i="33"/>
  <c r="D12" i="33"/>
  <c r="E12" i="33"/>
  <c r="B13" i="33"/>
  <c r="C13" i="33"/>
  <c r="D13" i="33"/>
  <c r="E13" i="33"/>
  <c r="B14" i="33"/>
  <c r="C14" i="33"/>
  <c r="D14" i="33"/>
  <c r="E14" i="33"/>
  <c r="B15" i="33"/>
  <c r="C15" i="33"/>
  <c r="D15" i="33"/>
  <c r="E15" i="33"/>
  <c r="B16" i="33"/>
  <c r="C16" i="33"/>
  <c r="D16" i="33"/>
  <c r="E16" i="33"/>
  <c r="B17" i="33"/>
  <c r="C17" i="33"/>
  <c r="D17" i="33"/>
  <c r="E17" i="33"/>
  <c r="B18" i="33"/>
  <c r="C18" i="33"/>
  <c r="D18" i="33"/>
  <c r="E18" i="33"/>
  <c r="B19" i="33"/>
  <c r="C19" i="33"/>
  <c r="D19" i="33"/>
  <c r="E19" i="33"/>
  <c r="B20" i="33"/>
  <c r="C20" i="33"/>
  <c r="D20" i="33"/>
  <c r="E20" i="33"/>
  <c r="B21" i="33"/>
  <c r="C21" i="33"/>
  <c r="D21" i="33"/>
  <c r="E21" i="33"/>
  <c r="B22" i="33"/>
  <c r="C22" i="33"/>
  <c r="D22" i="33"/>
  <c r="E22" i="33"/>
  <c r="B23" i="33"/>
  <c r="C23" i="33"/>
  <c r="D23" i="33"/>
  <c r="E23" i="33"/>
  <c r="B24" i="33"/>
  <c r="C24" i="33"/>
  <c r="D24" i="33"/>
  <c r="E24" i="33"/>
  <c r="B25" i="33"/>
  <c r="C25" i="33"/>
  <c r="D25" i="33"/>
  <c r="E25" i="33"/>
  <c r="B26" i="33"/>
  <c r="C26" i="33"/>
  <c r="D26" i="33"/>
  <c r="E26" i="33"/>
  <c r="B27" i="33"/>
  <c r="C27" i="33"/>
  <c r="D27" i="33"/>
  <c r="E27" i="33"/>
  <c r="B28" i="33"/>
  <c r="C28" i="33"/>
  <c r="D28" i="33"/>
  <c r="E28" i="33"/>
  <c r="B29" i="33"/>
  <c r="C29" i="33"/>
  <c r="D29" i="33"/>
  <c r="E29" i="33"/>
  <c r="B30" i="33"/>
  <c r="C30" i="33"/>
  <c r="D30" i="33"/>
  <c r="E30" i="33"/>
  <c r="B31" i="33"/>
  <c r="C31" i="33"/>
  <c r="D31" i="33"/>
  <c r="E31" i="33"/>
  <c r="B32" i="33"/>
  <c r="C32" i="33"/>
  <c r="D32" i="33"/>
  <c r="E32" i="33"/>
  <c r="B34" i="33"/>
  <c r="C34" i="33"/>
  <c r="D34" i="33"/>
  <c r="E34" i="33"/>
  <c r="B35" i="33"/>
  <c r="C35" i="33"/>
  <c r="D35" i="33"/>
  <c r="E35" i="33"/>
  <c r="B36" i="33"/>
  <c r="C36" i="33"/>
  <c r="D36" i="33"/>
  <c r="E36" i="33"/>
  <c r="B37" i="33"/>
  <c r="C37" i="33"/>
  <c r="D37" i="33"/>
  <c r="E37" i="33"/>
  <c r="B38" i="33"/>
  <c r="C38" i="33"/>
  <c r="D38" i="33"/>
  <c r="E38" i="33"/>
  <c r="B39" i="33"/>
  <c r="C39" i="33"/>
  <c r="D39" i="33"/>
  <c r="E39" i="33"/>
  <c r="B40" i="33"/>
  <c r="C40" i="33"/>
  <c r="D40" i="33"/>
  <c r="E40" i="33"/>
  <c r="B41" i="33"/>
  <c r="C41" i="33"/>
  <c r="D41" i="33"/>
  <c r="E41" i="33"/>
  <c r="B42" i="33"/>
  <c r="C42" i="33"/>
  <c r="D42" i="33"/>
  <c r="E42" i="33"/>
  <c r="B43" i="33"/>
  <c r="C43" i="33"/>
  <c r="D43" i="33"/>
  <c r="E43" i="33"/>
  <c r="B44" i="33"/>
  <c r="C44" i="33"/>
  <c r="D44" i="33"/>
  <c r="E44" i="33"/>
  <c r="B45" i="33"/>
  <c r="C45" i="33"/>
  <c r="D45" i="33"/>
  <c r="E45" i="33"/>
  <c r="B46" i="33"/>
  <c r="C46" i="33"/>
  <c r="D46" i="33"/>
  <c r="E46" i="33"/>
  <c r="B47" i="33"/>
  <c r="C47" i="33"/>
  <c r="D47" i="33"/>
  <c r="E47" i="33"/>
  <c r="B48" i="33"/>
  <c r="C48" i="33"/>
  <c r="D48" i="33"/>
  <c r="E48" i="33"/>
  <c r="B49" i="33"/>
  <c r="C49" i="33"/>
  <c r="D49" i="33"/>
  <c r="E49" i="33"/>
  <c r="B50" i="33"/>
  <c r="C50" i="33"/>
  <c r="D50" i="33"/>
  <c r="E50" i="33"/>
  <c r="B51" i="33"/>
  <c r="C51" i="33"/>
  <c r="D51" i="33"/>
  <c r="E51" i="33"/>
  <c r="B52" i="33"/>
  <c r="C52" i="33"/>
  <c r="D52" i="33"/>
  <c r="E52" i="33"/>
  <c r="B53" i="33"/>
  <c r="C53" i="33"/>
  <c r="D53" i="33"/>
  <c r="E53" i="33"/>
  <c r="B54" i="33"/>
  <c r="C54" i="33"/>
  <c r="D54" i="33"/>
  <c r="E54" i="33"/>
  <c r="B55" i="33"/>
  <c r="C55" i="33"/>
  <c r="D55" i="33"/>
  <c r="E55" i="33"/>
  <c r="B56" i="33"/>
  <c r="C56" i="33"/>
  <c r="D56" i="33"/>
  <c r="E56" i="33"/>
  <c r="B57" i="33"/>
  <c r="C57" i="33"/>
  <c r="D57" i="33"/>
  <c r="E57" i="33"/>
  <c r="B59" i="33"/>
  <c r="C59" i="33"/>
  <c r="D59" i="33"/>
  <c r="E59" i="33"/>
  <c r="B60" i="33"/>
  <c r="C60" i="33"/>
  <c r="D60" i="33"/>
  <c r="E60" i="33"/>
  <c r="B64" i="33"/>
  <c r="C64" i="33"/>
  <c r="D64" i="33"/>
  <c r="E64" i="33"/>
  <c r="B65" i="33"/>
  <c r="C65" i="33"/>
  <c r="D65" i="33"/>
  <c r="E65" i="33"/>
  <c r="B66" i="33"/>
  <c r="C66" i="33"/>
  <c r="D66" i="33"/>
  <c r="E66" i="33"/>
  <c r="B67" i="33"/>
  <c r="C67" i="33"/>
  <c r="D67" i="33"/>
  <c r="E67" i="33"/>
  <c r="B68" i="33"/>
  <c r="C68" i="33"/>
  <c r="D68" i="33"/>
  <c r="E68" i="33"/>
  <c r="B69" i="33"/>
  <c r="C69" i="33"/>
  <c r="D69" i="33"/>
  <c r="E69" i="33"/>
  <c r="B70" i="33"/>
  <c r="C70" i="33"/>
  <c r="D70" i="33"/>
  <c r="E70" i="33"/>
  <c r="B71" i="33"/>
  <c r="C71" i="33"/>
  <c r="D71" i="33"/>
  <c r="E71" i="33"/>
  <c r="B72" i="33"/>
  <c r="C72" i="33"/>
  <c r="D72" i="33"/>
  <c r="E72" i="33"/>
  <c r="B73" i="33"/>
  <c r="C73" i="33"/>
  <c r="D73" i="33"/>
  <c r="E73" i="33"/>
  <c r="B74" i="33"/>
  <c r="C74" i="33"/>
  <c r="D74" i="33"/>
  <c r="E74" i="33"/>
  <c r="B75" i="33"/>
  <c r="C75" i="33"/>
  <c r="D75" i="33"/>
  <c r="E75" i="33"/>
  <c r="B76" i="33"/>
  <c r="C76" i="33"/>
  <c r="D76" i="33"/>
  <c r="E76" i="33"/>
  <c r="B77" i="33"/>
  <c r="C77" i="33"/>
  <c r="D77" i="33"/>
  <c r="E77" i="33"/>
  <c r="B78" i="33"/>
  <c r="C78" i="33"/>
  <c r="D78" i="33"/>
  <c r="E78" i="33"/>
  <c r="B79" i="33"/>
  <c r="C79" i="33"/>
  <c r="D79" i="33"/>
  <c r="E79" i="33"/>
  <c r="B80" i="33"/>
  <c r="C80" i="33"/>
  <c r="D80" i="33"/>
  <c r="E80" i="33"/>
  <c r="B81" i="33"/>
  <c r="C81" i="33"/>
  <c r="D81" i="33"/>
  <c r="E81" i="33"/>
  <c r="B82" i="33"/>
  <c r="C82" i="33"/>
  <c r="D82" i="33"/>
  <c r="E82" i="33"/>
  <c r="B83" i="33"/>
  <c r="C83" i="33"/>
  <c r="D83" i="33"/>
  <c r="E83" i="33"/>
  <c r="B84" i="33"/>
  <c r="C84" i="33"/>
  <c r="D84" i="33"/>
  <c r="E84" i="33"/>
  <c r="B85" i="33"/>
  <c r="C85" i="33"/>
  <c r="D85" i="33"/>
  <c r="E85" i="33"/>
  <c r="B86" i="33"/>
  <c r="C86" i="33"/>
  <c r="D86" i="33"/>
  <c r="E86" i="33"/>
  <c r="B87" i="33"/>
  <c r="C87" i="33"/>
  <c r="D87" i="33"/>
  <c r="E87" i="33"/>
  <c r="B88" i="33"/>
  <c r="C88" i="33"/>
  <c r="D88" i="33"/>
  <c r="E88" i="33"/>
  <c r="B89" i="33"/>
  <c r="C89" i="33"/>
  <c r="D89" i="33"/>
  <c r="E89" i="33"/>
  <c r="B90" i="33"/>
  <c r="C90" i="33"/>
  <c r="D90" i="33"/>
  <c r="E90" i="33"/>
  <c r="B91" i="33"/>
  <c r="C91" i="33"/>
  <c r="D91" i="33"/>
  <c r="E91" i="33"/>
  <c r="B92" i="33"/>
  <c r="C92" i="33"/>
  <c r="D92" i="33"/>
  <c r="E92" i="33"/>
  <c r="B93" i="33"/>
  <c r="C93" i="33"/>
  <c r="D93" i="33"/>
  <c r="E93" i="33"/>
  <c r="B94" i="33"/>
  <c r="C94" i="33"/>
  <c r="D94" i="33"/>
  <c r="E94" i="33"/>
  <c r="B95" i="33"/>
  <c r="C95" i="33"/>
  <c r="D95" i="33"/>
  <c r="E95" i="33"/>
  <c r="B96" i="33"/>
  <c r="C96" i="33"/>
  <c r="D96" i="33"/>
  <c r="E96" i="33"/>
  <c r="B98" i="33"/>
  <c r="C98" i="33"/>
  <c r="D98" i="33"/>
  <c r="E98" i="33"/>
  <c r="B99" i="33"/>
  <c r="C99" i="33"/>
  <c r="D99" i="33"/>
  <c r="E99" i="33"/>
  <c r="B100" i="33"/>
  <c r="C100" i="33"/>
  <c r="D100" i="33"/>
  <c r="E100" i="33"/>
  <c r="B101" i="33"/>
  <c r="C101" i="33"/>
  <c r="D101" i="33"/>
  <c r="E101" i="33"/>
  <c r="B102" i="33"/>
  <c r="C102" i="33"/>
  <c r="D102" i="33"/>
  <c r="E102" i="33"/>
  <c r="B103" i="33"/>
  <c r="C103" i="33"/>
  <c r="D103" i="33"/>
  <c r="E103" i="33"/>
  <c r="B104" i="33"/>
  <c r="C104" i="33"/>
  <c r="D104" i="33"/>
  <c r="E104" i="33"/>
  <c r="B105" i="33"/>
  <c r="C105" i="33"/>
  <c r="D105" i="33"/>
  <c r="E105" i="33"/>
  <c r="B106" i="33"/>
  <c r="C106" i="33"/>
  <c r="D106" i="33"/>
  <c r="E106" i="33"/>
  <c r="B107" i="33"/>
  <c r="C107" i="33"/>
  <c r="D107" i="33"/>
  <c r="E107" i="33"/>
  <c r="B108" i="33"/>
  <c r="C108" i="33"/>
  <c r="D108" i="33"/>
  <c r="E108" i="33"/>
  <c r="B109" i="33"/>
  <c r="C109" i="33"/>
  <c r="D109" i="33"/>
  <c r="E109" i="33"/>
  <c r="B110" i="33"/>
  <c r="C110" i="33"/>
  <c r="D110" i="33"/>
  <c r="E110" i="33"/>
  <c r="B111" i="33"/>
  <c r="C111" i="33"/>
  <c r="D111" i="33"/>
  <c r="E111" i="33"/>
  <c r="B112" i="33"/>
  <c r="C112" i="33"/>
  <c r="D112" i="33"/>
  <c r="E112" i="33"/>
  <c r="B113" i="33"/>
  <c r="C113" i="33"/>
  <c r="D113" i="33"/>
  <c r="E113" i="33"/>
  <c r="B114" i="33"/>
  <c r="C114" i="33"/>
  <c r="D114" i="33"/>
  <c r="E114" i="33"/>
  <c r="B115" i="33"/>
  <c r="C115" i="33"/>
  <c r="D115" i="33"/>
  <c r="E115" i="33"/>
  <c r="B116" i="33"/>
  <c r="C116" i="33"/>
  <c r="D116" i="33"/>
  <c r="E116" i="33"/>
  <c r="B117" i="33"/>
  <c r="C117" i="33"/>
  <c r="D117" i="33"/>
  <c r="E117" i="33"/>
  <c r="B118" i="33"/>
  <c r="C118" i="33"/>
  <c r="D118" i="33"/>
  <c r="E118" i="33"/>
  <c r="B119" i="33"/>
  <c r="C119" i="33"/>
  <c r="D119" i="33"/>
  <c r="E119" i="33"/>
  <c r="B120" i="33"/>
  <c r="C120" i="33"/>
  <c r="D120" i="33"/>
  <c r="E120" i="33"/>
  <c r="B121" i="33"/>
  <c r="C121" i="33"/>
  <c r="D121" i="33"/>
  <c r="E121" i="33"/>
  <c r="B122" i="33"/>
  <c r="C122" i="33"/>
  <c r="D122" i="33"/>
  <c r="E122" i="33"/>
  <c r="B123" i="33"/>
  <c r="C123" i="33"/>
  <c r="D123" i="33"/>
  <c r="E123" i="33"/>
  <c r="B124" i="33"/>
  <c r="C124" i="33"/>
  <c r="D124" i="33"/>
  <c r="E124" i="33"/>
  <c r="B125" i="33"/>
  <c r="C125" i="33"/>
  <c r="D125" i="33"/>
  <c r="E125" i="33"/>
  <c r="B126" i="33"/>
  <c r="C126" i="33"/>
  <c r="D126" i="33"/>
  <c r="E126" i="33"/>
  <c r="B127" i="33"/>
  <c r="C127" i="33"/>
  <c r="D127" i="33"/>
  <c r="E127" i="33"/>
  <c r="B129" i="33"/>
  <c r="C129" i="33"/>
  <c r="D129" i="33"/>
  <c r="E129" i="33"/>
  <c r="B130" i="33"/>
  <c r="C130" i="33"/>
  <c r="D130" i="33"/>
  <c r="E130" i="33"/>
  <c r="B131" i="33"/>
  <c r="C131" i="33"/>
  <c r="D131" i="33"/>
  <c r="E131" i="33"/>
  <c r="B132" i="33"/>
  <c r="C132" i="33"/>
  <c r="D132" i="33"/>
  <c r="E132" i="33"/>
  <c r="B133" i="33"/>
  <c r="C133" i="33"/>
  <c r="D133" i="33"/>
  <c r="E133" i="33"/>
  <c r="B134" i="33"/>
  <c r="C134" i="33"/>
  <c r="D134" i="33"/>
  <c r="E134" i="33"/>
  <c r="B135" i="33"/>
  <c r="C135" i="33"/>
  <c r="D135" i="33"/>
  <c r="E135" i="33"/>
  <c r="B136" i="33"/>
  <c r="C136" i="33"/>
  <c r="D136" i="33"/>
  <c r="E136" i="33"/>
  <c r="B137" i="33"/>
  <c r="C137" i="33"/>
  <c r="D137" i="33"/>
  <c r="E137" i="33"/>
  <c r="B138" i="33"/>
  <c r="C138" i="33"/>
  <c r="D138" i="33"/>
  <c r="E138" i="33"/>
  <c r="B139" i="33"/>
  <c r="C139" i="33"/>
  <c r="D139" i="33"/>
  <c r="E139" i="33"/>
  <c r="B140" i="33"/>
  <c r="C140" i="33"/>
  <c r="D140" i="33"/>
  <c r="E140" i="33"/>
  <c r="B141" i="33"/>
  <c r="C141" i="33"/>
  <c r="D141" i="33"/>
  <c r="E141" i="33"/>
  <c r="B142" i="33"/>
  <c r="C142" i="33"/>
  <c r="D142" i="33"/>
  <c r="E142" i="33"/>
  <c r="B143" i="33"/>
  <c r="C143" i="33"/>
  <c r="D143" i="33"/>
  <c r="E143" i="33"/>
  <c r="B144" i="33"/>
  <c r="C144" i="33"/>
  <c r="D144" i="33"/>
  <c r="E144" i="33"/>
  <c r="B145" i="33"/>
  <c r="C145" i="33"/>
  <c r="D145" i="33"/>
  <c r="E145" i="33"/>
  <c r="B146" i="33"/>
  <c r="C146" i="33"/>
  <c r="D146" i="33"/>
  <c r="E146" i="33"/>
  <c r="B147" i="33"/>
  <c r="C147" i="33"/>
  <c r="D147" i="33"/>
  <c r="E147" i="33"/>
  <c r="B148" i="33"/>
  <c r="C148" i="33"/>
  <c r="D148" i="33"/>
  <c r="E148" i="33"/>
  <c r="B149" i="33"/>
  <c r="C149" i="33"/>
  <c r="D149" i="33"/>
  <c r="E149" i="33"/>
  <c r="B150" i="33"/>
  <c r="C150" i="33"/>
  <c r="D150" i="33"/>
  <c r="E150" i="33"/>
  <c r="B151" i="33"/>
  <c r="C151" i="33"/>
  <c r="D151" i="33"/>
  <c r="E151" i="33"/>
  <c r="B152" i="33"/>
  <c r="C152" i="33"/>
  <c r="D152" i="33"/>
  <c r="E152" i="33"/>
  <c r="B153" i="33"/>
  <c r="C153" i="33"/>
  <c r="D153" i="33"/>
  <c r="E153" i="33"/>
  <c r="B154" i="33"/>
  <c r="C154" i="33"/>
  <c r="D154" i="33"/>
  <c r="E154" i="33"/>
  <c r="B155" i="33"/>
  <c r="C155" i="33"/>
  <c r="D155" i="33"/>
  <c r="E155" i="33"/>
  <c r="B156" i="33"/>
  <c r="C156" i="33"/>
  <c r="D156" i="33"/>
  <c r="E156" i="33"/>
  <c r="B157" i="33"/>
  <c r="C157" i="33"/>
  <c r="D157" i="33"/>
  <c r="E157" i="33"/>
  <c r="B158" i="33"/>
  <c r="C158" i="33"/>
  <c r="D158" i="33"/>
  <c r="E158" i="33"/>
  <c r="B159" i="33"/>
  <c r="C159" i="33"/>
  <c r="D159" i="33"/>
  <c r="E159" i="33"/>
  <c r="B160" i="33"/>
  <c r="C160" i="33"/>
  <c r="D160" i="33"/>
  <c r="E160" i="33"/>
  <c r="B161" i="33"/>
  <c r="C161" i="33"/>
  <c r="D161" i="33"/>
  <c r="E161" i="33"/>
  <c r="B162" i="33"/>
  <c r="C162" i="33"/>
  <c r="D162" i="33"/>
  <c r="E162" i="33"/>
  <c r="B163" i="33"/>
  <c r="C163" i="33"/>
  <c r="D163" i="33"/>
  <c r="E163" i="33"/>
  <c r="B164" i="33"/>
  <c r="C164" i="33"/>
  <c r="D164" i="33"/>
  <c r="E164" i="33"/>
  <c r="B166" i="33"/>
  <c r="C166" i="33"/>
  <c r="D166" i="33"/>
  <c r="E166" i="33"/>
  <c r="B167" i="33"/>
  <c r="C167" i="33"/>
  <c r="D167" i="33"/>
  <c r="E167" i="33"/>
  <c r="B168" i="33"/>
  <c r="C168" i="33"/>
  <c r="D168" i="33"/>
  <c r="E168" i="33"/>
  <c r="B169" i="33"/>
  <c r="C169" i="33"/>
  <c r="D169" i="33"/>
  <c r="E169" i="33"/>
  <c r="B170" i="33"/>
  <c r="C170" i="33"/>
  <c r="D170" i="33"/>
  <c r="E170" i="33"/>
  <c r="B171" i="33"/>
  <c r="C171" i="33"/>
  <c r="D171" i="33"/>
  <c r="E171" i="33"/>
  <c r="B172" i="33"/>
  <c r="C172" i="33"/>
  <c r="D172" i="33"/>
  <c r="E172" i="33"/>
  <c r="B173" i="33"/>
  <c r="C173" i="33"/>
  <c r="D173" i="33"/>
  <c r="E173" i="33"/>
  <c r="B174" i="33"/>
  <c r="C174" i="33"/>
  <c r="D174" i="33"/>
  <c r="E174" i="33"/>
  <c r="B175" i="33"/>
  <c r="C175" i="33"/>
  <c r="D175" i="33"/>
  <c r="E175" i="33"/>
  <c r="B176" i="33"/>
  <c r="C176" i="33"/>
  <c r="D176" i="33"/>
  <c r="E176" i="33"/>
  <c r="B177" i="33"/>
  <c r="C177" i="33"/>
  <c r="D177" i="33"/>
  <c r="E177" i="33"/>
  <c r="B178" i="33"/>
  <c r="C178" i="33"/>
  <c r="D178" i="33"/>
  <c r="E178" i="33"/>
  <c r="B179" i="33"/>
  <c r="C179" i="33"/>
  <c r="D179" i="33"/>
  <c r="E179" i="33"/>
  <c r="B180" i="33"/>
  <c r="C180" i="33"/>
  <c r="D180" i="33"/>
  <c r="E180" i="33"/>
  <c r="B181" i="33"/>
  <c r="C181" i="33"/>
  <c r="D181" i="33"/>
  <c r="E181" i="33"/>
  <c r="B182" i="33"/>
  <c r="C182" i="33"/>
  <c r="D182" i="33"/>
  <c r="E182" i="33"/>
  <c r="B183" i="33"/>
  <c r="C183" i="33"/>
  <c r="D183" i="33"/>
  <c r="E183" i="33"/>
  <c r="B185" i="33"/>
  <c r="C185" i="33"/>
  <c r="D185" i="33"/>
  <c r="E185" i="33"/>
  <c r="B186" i="33"/>
  <c r="C186" i="33"/>
  <c r="D186" i="33"/>
  <c r="E186" i="33"/>
  <c r="B187" i="33"/>
  <c r="C187" i="33"/>
  <c r="D187" i="33"/>
  <c r="E187" i="33"/>
  <c r="B188" i="33"/>
  <c r="C188" i="33"/>
  <c r="D188" i="33"/>
  <c r="E188" i="33"/>
  <c r="B189" i="33"/>
  <c r="C189" i="33"/>
  <c r="D189" i="33"/>
  <c r="E189" i="33"/>
  <c r="B190" i="33"/>
  <c r="C190" i="33"/>
  <c r="D190" i="33"/>
  <c r="E190" i="33"/>
  <c r="B191" i="33"/>
  <c r="C191" i="33"/>
  <c r="D191" i="33"/>
  <c r="E191" i="33"/>
  <c r="B192" i="33"/>
  <c r="C192" i="33"/>
  <c r="D192" i="33"/>
  <c r="E192" i="33"/>
  <c r="B193" i="33"/>
  <c r="C193" i="33"/>
  <c r="D193" i="33"/>
  <c r="E193" i="33"/>
  <c r="B194" i="33"/>
  <c r="C194" i="33"/>
  <c r="D194" i="33"/>
  <c r="E194" i="33"/>
  <c r="B195" i="33"/>
  <c r="C195" i="33"/>
  <c r="D195" i="33"/>
  <c r="E195" i="33"/>
  <c r="B196" i="33"/>
  <c r="C196" i="33"/>
  <c r="D196" i="33"/>
  <c r="E196" i="33"/>
  <c r="B197" i="33"/>
  <c r="C197" i="33"/>
  <c r="D197" i="33"/>
  <c r="E197" i="33"/>
  <c r="B198" i="33"/>
  <c r="C198" i="33"/>
  <c r="D198" i="33"/>
  <c r="E198" i="33"/>
  <c r="B199" i="33"/>
  <c r="C199" i="33"/>
  <c r="D199" i="33"/>
  <c r="E199" i="33"/>
  <c r="B200" i="33"/>
  <c r="C200" i="33"/>
  <c r="D200" i="33"/>
  <c r="E200" i="33"/>
  <c r="B201" i="33"/>
  <c r="C201" i="33"/>
  <c r="D201" i="33"/>
  <c r="E201" i="33"/>
  <c r="B202" i="33"/>
  <c r="C202" i="33"/>
  <c r="D202" i="33"/>
  <c r="E202" i="33"/>
  <c r="B203" i="33"/>
  <c r="C203" i="33"/>
  <c r="D203" i="33"/>
  <c r="E203" i="33"/>
  <c r="B204" i="33"/>
  <c r="C204" i="33"/>
  <c r="D204" i="33"/>
  <c r="E204" i="33"/>
  <c r="B205" i="33"/>
  <c r="C205" i="33"/>
  <c r="D205" i="33"/>
  <c r="E205" i="33"/>
  <c r="B206" i="33"/>
  <c r="C206" i="33"/>
  <c r="D206" i="33"/>
  <c r="E206" i="33"/>
  <c r="B207" i="33"/>
  <c r="C207" i="33"/>
  <c r="D207" i="33"/>
  <c r="E207" i="33"/>
  <c r="B208" i="33"/>
  <c r="C208" i="33"/>
  <c r="D208" i="33"/>
  <c r="E208" i="33"/>
  <c r="B209" i="33"/>
  <c r="C209" i="33"/>
  <c r="D209" i="33"/>
  <c r="E209" i="33"/>
  <c r="B213" i="33"/>
  <c r="C213" i="33"/>
  <c r="D213" i="33"/>
  <c r="E213" i="33"/>
  <c r="B214" i="33"/>
  <c r="C214" i="33"/>
  <c r="D214" i="33"/>
  <c r="E214" i="33"/>
  <c r="B215" i="33"/>
  <c r="C215" i="33"/>
  <c r="D215" i="33"/>
  <c r="E215" i="33"/>
  <c r="B216" i="33"/>
  <c r="C216" i="33"/>
  <c r="D216" i="33"/>
  <c r="E216" i="33"/>
  <c r="B217" i="33"/>
  <c r="C217" i="33"/>
  <c r="D217" i="33"/>
  <c r="E217" i="33"/>
  <c r="B218" i="33"/>
  <c r="C218" i="33"/>
  <c r="D218" i="33"/>
  <c r="E218" i="33"/>
  <c r="B219" i="33"/>
  <c r="C219" i="33"/>
  <c r="D219" i="33"/>
  <c r="E219" i="33"/>
  <c r="B220" i="33"/>
  <c r="C220" i="33"/>
  <c r="D220" i="33"/>
  <c r="E220" i="33"/>
  <c r="B221" i="33"/>
  <c r="C221" i="33"/>
  <c r="D221" i="33"/>
  <c r="E221" i="33"/>
  <c r="B222" i="33"/>
  <c r="C222" i="33"/>
  <c r="D222" i="33"/>
  <c r="E222" i="33"/>
  <c r="B223" i="33"/>
  <c r="C223" i="33"/>
  <c r="D223" i="33"/>
  <c r="E223" i="33"/>
  <c r="B224" i="33"/>
  <c r="C224" i="33"/>
  <c r="D224" i="33"/>
  <c r="E224" i="33"/>
  <c r="B225" i="33"/>
  <c r="C225" i="33"/>
  <c r="D225" i="33"/>
  <c r="E225" i="33"/>
  <c r="B226" i="33"/>
  <c r="C226" i="33"/>
  <c r="D226" i="33"/>
  <c r="E226" i="33"/>
  <c r="B227" i="33"/>
  <c r="C227" i="33"/>
  <c r="D227" i="33"/>
  <c r="E227" i="33"/>
  <c r="B228" i="33"/>
  <c r="C228" i="33"/>
  <c r="D228" i="33"/>
  <c r="E228" i="33"/>
  <c r="B229" i="33"/>
  <c r="C229" i="33"/>
  <c r="D229" i="33"/>
  <c r="E229" i="33"/>
  <c r="B230" i="33"/>
  <c r="C230" i="33"/>
  <c r="D230" i="33"/>
  <c r="E230" i="33"/>
  <c r="B231" i="33"/>
  <c r="C231" i="33"/>
  <c r="D231" i="33"/>
  <c r="E231" i="33"/>
  <c r="B232" i="33"/>
  <c r="C232" i="33"/>
  <c r="D232" i="33"/>
  <c r="E232" i="33"/>
  <c r="B233" i="33"/>
  <c r="C233" i="33"/>
  <c r="D233" i="33"/>
  <c r="E233" i="33"/>
  <c r="B234" i="33"/>
  <c r="C234" i="33"/>
  <c r="D234" i="33"/>
  <c r="E234" i="33"/>
  <c r="B235" i="33"/>
  <c r="C235" i="33"/>
  <c r="D235" i="33"/>
  <c r="E235" i="33"/>
  <c r="B236" i="33"/>
  <c r="C236" i="33"/>
  <c r="D236" i="33"/>
  <c r="E236" i="33"/>
  <c r="B237" i="33"/>
  <c r="C237" i="33"/>
  <c r="D237" i="33"/>
  <c r="E237" i="33"/>
  <c r="B238" i="33"/>
  <c r="C238" i="33"/>
  <c r="D238" i="33"/>
  <c r="E238" i="33"/>
  <c r="B239" i="33"/>
  <c r="C239" i="33"/>
  <c r="D239" i="33"/>
  <c r="E239" i="33"/>
  <c r="B240" i="33"/>
  <c r="C240" i="33"/>
  <c r="D240" i="33"/>
  <c r="E240" i="33"/>
  <c r="B241" i="33"/>
  <c r="C241" i="33"/>
  <c r="D241" i="33"/>
  <c r="E241" i="33"/>
  <c r="B242" i="33"/>
  <c r="C242" i="33"/>
  <c r="D242" i="33"/>
  <c r="E242" i="33"/>
  <c r="B243" i="33"/>
  <c r="C243" i="33"/>
  <c r="D243" i="33"/>
  <c r="E243" i="33"/>
  <c r="B244" i="33"/>
  <c r="C244" i="33"/>
  <c r="D244" i="33"/>
  <c r="E244" i="33"/>
  <c r="B246" i="33"/>
  <c r="C246" i="33"/>
  <c r="D246" i="33"/>
  <c r="E246" i="33"/>
  <c r="B247" i="33"/>
  <c r="C247" i="33"/>
  <c r="D247" i="33"/>
  <c r="E247" i="33"/>
  <c r="B248" i="33"/>
  <c r="C248" i="33"/>
  <c r="D248" i="33"/>
  <c r="E248" i="33"/>
  <c r="B249" i="33"/>
  <c r="C249" i="33"/>
  <c r="D249" i="33"/>
  <c r="E249" i="33"/>
  <c r="B250" i="33"/>
  <c r="C250" i="33"/>
  <c r="D250" i="33"/>
  <c r="E250" i="33"/>
  <c r="B251" i="33"/>
  <c r="C251" i="33"/>
  <c r="D251" i="33"/>
  <c r="E251" i="33"/>
  <c r="B252" i="33"/>
  <c r="C252" i="33"/>
  <c r="D252" i="33"/>
  <c r="E252" i="33"/>
  <c r="B253" i="33"/>
  <c r="C253" i="33"/>
  <c r="D253" i="33"/>
  <c r="E253" i="33"/>
  <c r="B254" i="33"/>
  <c r="C254" i="33"/>
  <c r="D254" i="33"/>
  <c r="E254" i="33"/>
  <c r="B255" i="33"/>
  <c r="C255" i="33"/>
  <c r="D255" i="33"/>
  <c r="E255" i="33"/>
  <c r="B256" i="33"/>
  <c r="C256" i="33"/>
  <c r="D256" i="33"/>
  <c r="E256" i="33"/>
  <c r="B257" i="33"/>
  <c r="C257" i="33"/>
  <c r="D257" i="33"/>
  <c r="E257" i="33"/>
  <c r="B258" i="33"/>
  <c r="C258" i="33"/>
  <c r="D258" i="33"/>
  <c r="E258" i="33"/>
  <c r="B259" i="33"/>
  <c r="C259" i="33"/>
  <c r="D259" i="33"/>
  <c r="E259" i="33"/>
  <c r="B260" i="33"/>
  <c r="C260" i="33"/>
  <c r="D260" i="33"/>
  <c r="E260" i="33"/>
  <c r="B261" i="33"/>
  <c r="C261" i="33"/>
  <c r="D261" i="33"/>
  <c r="E261" i="33"/>
  <c r="B262" i="33"/>
  <c r="C262" i="33"/>
  <c r="D262" i="33"/>
  <c r="E262" i="33"/>
  <c r="B263" i="33"/>
  <c r="C263" i="33"/>
  <c r="D263" i="33"/>
  <c r="E263" i="33"/>
  <c r="B264" i="33"/>
  <c r="C264" i="33"/>
  <c r="D264" i="33"/>
  <c r="E264" i="33"/>
  <c r="B265" i="33"/>
  <c r="C265" i="33"/>
  <c r="D265" i="33"/>
  <c r="E265" i="33"/>
  <c r="B266" i="33"/>
  <c r="C266" i="33"/>
  <c r="D266" i="33"/>
  <c r="E266" i="33"/>
  <c r="B268" i="33"/>
  <c r="C268" i="33"/>
  <c r="D268" i="33"/>
  <c r="E268" i="33"/>
  <c r="B269" i="33"/>
  <c r="C269" i="33"/>
  <c r="D269" i="33"/>
  <c r="E269" i="33"/>
  <c r="B270" i="33"/>
  <c r="C270" i="33"/>
  <c r="D270" i="33"/>
  <c r="E270" i="33"/>
  <c r="B271" i="33"/>
  <c r="C271" i="33"/>
  <c r="D271" i="33"/>
  <c r="E271" i="33"/>
  <c r="B272" i="33"/>
  <c r="C272" i="33"/>
  <c r="D272" i="33"/>
  <c r="E272" i="33"/>
  <c r="B273" i="33"/>
  <c r="C273" i="33"/>
  <c r="D273" i="33"/>
  <c r="E273" i="33"/>
  <c r="B274" i="33"/>
  <c r="C274" i="33"/>
  <c r="D274" i="33"/>
  <c r="E274" i="33"/>
  <c r="B275" i="33"/>
  <c r="C275" i="33"/>
  <c r="D275" i="33"/>
  <c r="E275" i="33"/>
  <c r="B276" i="33"/>
  <c r="C276" i="33"/>
  <c r="D276" i="33"/>
  <c r="E276" i="33"/>
  <c r="B277" i="33"/>
  <c r="C277" i="33"/>
  <c r="D277" i="33"/>
  <c r="E277" i="33"/>
  <c r="B278" i="33"/>
  <c r="C278" i="33"/>
  <c r="D278" i="33"/>
  <c r="E278" i="33"/>
  <c r="B279" i="33"/>
  <c r="C279" i="33"/>
  <c r="D279" i="33"/>
  <c r="E279" i="33"/>
  <c r="B280" i="33"/>
  <c r="C280" i="33"/>
  <c r="D280" i="33"/>
  <c r="E280" i="33"/>
  <c r="B281" i="33"/>
  <c r="C281" i="33"/>
  <c r="D281" i="33"/>
  <c r="E281" i="33"/>
  <c r="B282" i="33"/>
  <c r="C282" i="33"/>
  <c r="D282" i="33"/>
  <c r="E282" i="33"/>
  <c r="B283" i="33"/>
  <c r="C283" i="33"/>
  <c r="D283" i="33"/>
  <c r="E283" i="33"/>
  <c r="B284" i="33"/>
  <c r="C284" i="33"/>
  <c r="D284" i="33"/>
  <c r="E284" i="33"/>
  <c r="B285" i="33"/>
  <c r="C285" i="33"/>
  <c r="D285" i="33"/>
  <c r="E285" i="33"/>
  <c r="B286" i="33"/>
  <c r="C286" i="33"/>
  <c r="D286" i="33"/>
  <c r="E286" i="33"/>
  <c r="B287" i="33"/>
  <c r="C287" i="33"/>
  <c r="D287" i="33"/>
  <c r="E287" i="33"/>
  <c r="B289" i="33"/>
  <c r="C289" i="33"/>
  <c r="D289" i="33"/>
  <c r="E289" i="33"/>
  <c r="B290" i="33"/>
  <c r="C290" i="33"/>
  <c r="D290" i="33"/>
  <c r="E290" i="33"/>
  <c r="B291" i="33"/>
  <c r="C291" i="33"/>
  <c r="D291" i="33"/>
  <c r="E291" i="33"/>
  <c r="B292" i="33"/>
  <c r="C292" i="33"/>
  <c r="D292" i="33"/>
  <c r="E292" i="33"/>
  <c r="B293" i="33"/>
  <c r="C293" i="33"/>
  <c r="D293" i="33"/>
  <c r="E293" i="33"/>
  <c r="B294" i="33"/>
  <c r="C294" i="33"/>
  <c r="D294" i="33"/>
  <c r="E294" i="33"/>
  <c r="B295" i="33"/>
  <c r="C295" i="33"/>
  <c r="D295" i="33"/>
  <c r="E295" i="33"/>
  <c r="B296" i="33"/>
  <c r="C296" i="33"/>
  <c r="D296" i="33"/>
  <c r="E296" i="33"/>
  <c r="B298" i="33"/>
  <c r="C298" i="33"/>
  <c r="D298" i="33"/>
  <c r="E298" i="33"/>
  <c r="B299" i="33"/>
  <c r="C299" i="33"/>
  <c r="D299" i="33"/>
  <c r="E299" i="33"/>
  <c r="B300" i="33"/>
  <c r="C300" i="33"/>
  <c r="D300" i="33"/>
  <c r="E300" i="33"/>
  <c r="B301" i="33"/>
  <c r="C301" i="33"/>
  <c r="D301" i="33"/>
  <c r="E301" i="33"/>
  <c r="B302" i="33"/>
  <c r="C302" i="33"/>
  <c r="D302" i="33"/>
  <c r="E302" i="33"/>
  <c r="B303" i="33"/>
  <c r="C303" i="33"/>
  <c r="D303" i="33"/>
  <c r="E303" i="33"/>
  <c r="B304" i="33"/>
  <c r="C304" i="33"/>
  <c r="D304" i="33"/>
  <c r="E304" i="33"/>
  <c r="B305" i="33"/>
  <c r="C305" i="33"/>
  <c r="D305" i="33"/>
  <c r="E305" i="33"/>
  <c r="B306" i="33"/>
  <c r="C306" i="33"/>
  <c r="D306" i="33"/>
  <c r="E306" i="33"/>
  <c r="B307" i="33"/>
  <c r="C307" i="33"/>
  <c r="D307" i="33"/>
  <c r="E307" i="33"/>
  <c r="B308" i="33"/>
  <c r="C308" i="33"/>
  <c r="D308" i="33"/>
  <c r="E308" i="33"/>
  <c r="B309" i="33"/>
  <c r="C309" i="33"/>
  <c r="D309" i="33"/>
  <c r="E309" i="33"/>
  <c r="B310" i="33"/>
  <c r="C310" i="33"/>
  <c r="D310" i="33"/>
  <c r="E310" i="33"/>
  <c r="B311" i="33"/>
  <c r="C311" i="33"/>
  <c r="D311" i="33"/>
  <c r="E311" i="33"/>
  <c r="B312" i="33"/>
  <c r="C312" i="33"/>
  <c r="D312" i="33"/>
  <c r="E312" i="33"/>
  <c r="B313" i="33"/>
  <c r="C313" i="33"/>
  <c r="D313" i="33"/>
  <c r="E313" i="33"/>
  <c r="B314" i="33"/>
  <c r="C314" i="33"/>
  <c r="D314" i="33"/>
  <c r="E314" i="33"/>
  <c r="B315" i="33"/>
  <c r="C315" i="33"/>
  <c r="D315" i="33"/>
  <c r="E315" i="33"/>
  <c r="B316" i="33"/>
  <c r="C316" i="33"/>
  <c r="D316" i="33"/>
  <c r="E316" i="33"/>
  <c r="B317" i="33"/>
  <c r="C317" i="33"/>
  <c r="D317" i="33"/>
  <c r="E317" i="33"/>
  <c r="B318" i="33"/>
  <c r="C318" i="33"/>
  <c r="D318" i="33"/>
  <c r="E318" i="33"/>
  <c r="B319" i="33"/>
  <c r="C319" i="33"/>
  <c r="D319" i="33"/>
  <c r="E319" i="33"/>
  <c r="B320" i="33"/>
  <c r="C320" i="33"/>
  <c r="D320" i="33"/>
  <c r="E320" i="33"/>
  <c r="B321" i="33"/>
  <c r="C321" i="33"/>
  <c r="D321" i="33"/>
  <c r="E321" i="33"/>
  <c r="B322" i="33"/>
  <c r="C322" i="33"/>
  <c r="D322" i="33"/>
  <c r="E322" i="33"/>
  <c r="B323" i="33"/>
  <c r="C323" i="33"/>
  <c r="D323" i="33"/>
  <c r="E323" i="33"/>
  <c r="B324" i="33"/>
  <c r="C324" i="33"/>
  <c r="D324" i="33"/>
  <c r="E324" i="33"/>
  <c r="B325" i="33"/>
  <c r="C325" i="33"/>
  <c r="D325" i="33"/>
  <c r="E325" i="33"/>
  <c r="B326" i="33"/>
  <c r="C326" i="33"/>
  <c r="D326" i="33"/>
  <c r="E326" i="33"/>
  <c r="B327" i="33"/>
  <c r="C327" i="33"/>
  <c r="D327" i="33"/>
  <c r="E327" i="33"/>
  <c r="B328" i="33"/>
  <c r="C328" i="33"/>
  <c r="D328" i="33"/>
  <c r="E328" i="33"/>
  <c r="B329" i="33"/>
  <c r="C329" i="33"/>
  <c r="D329" i="33"/>
  <c r="E329" i="33"/>
  <c r="B330" i="33"/>
  <c r="C330" i="33"/>
  <c r="D330" i="33"/>
  <c r="E330" i="33"/>
  <c r="B331" i="33"/>
  <c r="C331" i="33"/>
  <c r="D331" i="33"/>
  <c r="E331" i="33"/>
  <c r="B332" i="33"/>
  <c r="C332" i="33"/>
  <c r="D332" i="33"/>
  <c r="E332" i="33"/>
  <c r="B333" i="33"/>
  <c r="C333" i="33"/>
  <c r="D333" i="33"/>
  <c r="E333" i="33"/>
  <c r="B334" i="33"/>
  <c r="C334" i="33"/>
  <c r="D334" i="33"/>
  <c r="E334" i="33"/>
  <c r="B335" i="33"/>
  <c r="C335" i="33"/>
  <c r="D335" i="33"/>
  <c r="E335" i="33"/>
  <c r="D25" i="13"/>
  <c r="E25" i="13"/>
  <c r="F25" i="13"/>
  <c r="C44" i="13"/>
  <c r="D146" i="20"/>
  <c r="D148" i="20"/>
  <c r="E148" i="20"/>
  <c r="D141" i="20"/>
  <c r="F148" i="20"/>
  <c r="D149" i="20"/>
  <c r="E149" i="20"/>
  <c r="F149" i="20"/>
  <c r="F142" i="20"/>
  <c r="E144" i="20"/>
  <c r="E146" i="20"/>
  <c r="F146" i="20"/>
  <c r="E141" i="20"/>
  <c r="F141" i="20"/>
  <c r="D142" i="20"/>
  <c r="E142" i="20"/>
  <c r="D143" i="20"/>
  <c r="E143" i="20"/>
  <c r="F143" i="20"/>
  <c r="D144" i="20"/>
  <c r="F144" i="20"/>
  <c r="D145" i="20"/>
  <c r="E145" i="20"/>
  <c r="F145" i="20"/>
  <c r="D119" i="20"/>
  <c r="E119" i="20"/>
  <c r="F35" i="20"/>
  <c r="D35" i="20"/>
  <c r="F119" i="20"/>
  <c r="E118" i="20"/>
  <c r="E35" i="20"/>
  <c r="D118" i="20"/>
  <c r="F118" i="20"/>
  <c r="I28" i="17" l="1"/>
  <c r="H28" i="17"/>
  <c r="H94" i="10"/>
  <c r="H96" i="10"/>
  <c r="H97" i="10"/>
  <c r="H98" i="10"/>
  <c r="H95" i="10"/>
  <c r="J98" i="10"/>
  <c r="J97" i="10"/>
  <c r="J95" i="10"/>
  <c r="J96" i="10"/>
  <c r="J94" i="10"/>
  <c r="I98" i="10"/>
  <c r="I96" i="10"/>
  <c r="I97" i="10"/>
  <c r="I94" i="10"/>
  <c r="I95" i="10"/>
  <c r="G97" i="10"/>
  <c r="G94" i="10"/>
  <c r="G95" i="10"/>
  <c r="G98" i="10"/>
  <c r="G96" i="10"/>
  <c r="F97" i="10"/>
  <c r="F94" i="10"/>
  <c r="F96" i="10"/>
  <c r="F98" i="10"/>
  <c r="F95" i="10"/>
  <c r="J17" i="11"/>
  <c r="F17" i="11"/>
  <c r="K17" i="11"/>
  <c r="G17" i="11"/>
  <c r="E4" i="26"/>
  <c r="E8" i="26"/>
  <c r="M4" i="26"/>
  <c r="M5" i="26"/>
  <c r="E5" i="26"/>
  <c r="E7" i="26"/>
  <c r="M6" i="26"/>
  <c r="E6" i="26"/>
  <c r="M7" i="26"/>
  <c r="M3" i="26"/>
  <c r="I93" i="8"/>
  <c r="J82" i="8"/>
  <c r="G94" i="8"/>
  <c r="F64" i="8"/>
  <c r="F65" i="8" s="1"/>
  <c r="G63" i="8"/>
  <c r="F94" i="8"/>
  <c r="F96" i="8" s="1"/>
  <c r="G64" i="8"/>
  <c r="G65" i="8" s="1"/>
  <c r="F52" i="9"/>
  <c r="F56" i="9" s="1"/>
  <c r="F59" i="9" s="1"/>
  <c r="G52" i="9"/>
  <c r="G56" i="9" s="1"/>
  <c r="G59" i="9" s="1"/>
  <c r="G63" i="9" s="1"/>
  <c r="F63" i="9"/>
  <c r="I66" i="5"/>
  <c r="I67" i="5"/>
  <c r="I74" i="5" s="1"/>
  <c r="I9" i="5"/>
  <c r="J7" i="5"/>
  <c r="J9" i="5" s="1"/>
  <c r="I11" i="5"/>
  <c r="I15" i="5"/>
  <c r="I19" i="5"/>
  <c r="I13" i="5"/>
  <c r="J36" i="5"/>
  <c r="I36" i="5"/>
  <c r="J59" i="5"/>
  <c r="J65" i="5" s="1"/>
  <c r="F80" i="5"/>
  <c r="F82" i="5" s="1"/>
  <c r="F85" i="5"/>
  <c r="F90" i="5" s="1"/>
  <c r="G66" i="5"/>
  <c r="G67" i="5" s="1"/>
  <c r="F93" i="5"/>
  <c r="G73" i="5"/>
  <c r="Q270" i="15"/>
  <c r="Q278" i="15"/>
  <c r="I265" i="15"/>
  <c r="I261" i="15"/>
  <c r="J261" i="15"/>
  <c r="H265" i="15"/>
  <c r="H261" i="15"/>
  <c r="I281" i="15"/>
  <c r="F272" i="15"/>
  <c r="F281" i="15"/>
  <c r="F279" i="15"/>
  <c r="F280" i="15" s="1"/>
  <c r="G279" i="15"/>
  <c r="G280" i="15" s="1"/>
  <c r="O270" i="15"/>
  <c r="O262" i="15"/>
  <c r="O278" i="15"/>
  <c r="G261" i="15"/>
  <c r="G265" i="15"/>
  <c r="T265" i="15"/>
  <c r="T275" i="15"/>
  <c r="T260" i="15"/>
  <c r="T270" i="15"/>
  <c r="F265" i="15"/>
  <c r="F261" i="15"/>
  <c r="S275" i="15"/>
  <c r="S260" i="15"/>
  <c r="S270" i="15"/>
  <c r="R273" i="15"/>
  <c r="R274" i="15" s="1"/>
  <c r="R275" i="15"/>
  <c r="S273" i="15"/>
  <c r="S274" i="15" s="1"/>
  <c r="R260" i="15"/>
  <c r="T273" i="15"/>
  <c r="T274" i="15" s="1"/>
  <c r="R270" i="15"/>
  <c r="R278" i="15"/>
  <c r="S278" i="15"/>
  <c r="T278" i="15"/>
  <c r="T277" i="15"/>
  <c r="E264" i="15"/>
  <c r="D263" i="15"/>
  <c r="S266" i="15"/>
  <c r="R262" i="15"/>
  <c r="R266" i="15"/>
  <c r="Q262" i="15"/>
  <c r="Q266" i="15"/>
  <c r="I264" i="15"/>
  <c r="H281" i="15"/>
  <c r="I279" i="15"/>
  <c r="I280" i="15" s="1"/>
  <c r="G272" i="15"/>
  <c r="G281" i="15"/>
  <c r="P270" i="15"/>
  <c r="P278" i="15"/>
  <c r="P262" i="15"/>
  <c r="H279" i="15"/>
  <c r="H280" i="15" s="1"/>
  <c r="T271" i="15"/>
  <c r="N270" i="15"/>
  <c r="N278" i="15"/>
  <c r="P276" i="15"/>
  <c r="P277" i="15" s="1"/>
  <c r="Q276" i="15"/>
  <c r="Q277" i="15" s="1"/>
  <c r="N276" i="15"/>
  <c r="N277" i="15" s="1"/>
  <c r="N262" i="15"/>
  <c r="O276" i="15"/>
  <c r="O277" i="15" s="1"/>
  <c r="S271" i="15"/>
  <c r="S263" i="15"/>
  <c r="M270" i="15"/>
  <c r="M278" i="15"/>
  <c r="M262" i="15"/>
  <c r="P269" i="15"/>
  <c r="P266" i="15"/>
  <c r="E265" i="15"/>
  <c r="E261" i="15"/>
  <c r="R271" i="15"/>
  <c r="H264" i="15"/>
  <c r="H272" i="15"/>
  <c r="S277" i="15"/>
  <c r="G264" i="15"/>
  <c r="R277" i="15"/>
  <c r="F264" i="15"/>
  <c r="D264" i="15"/>
  <c r="T266" i="15"/>
  <c r="N266" i="15"/>
  <c r="P263" i="15"/>
  <c r="L266" i="15"/>
  <c r="M276" i="15"/>
  <c r="M277" i="15" s="1"/>
  <c r="K266" i="15"/>
  <c r="L276" i="15"/>
  <c r="L277" i="15" s="1"/>
  <c r="J266" i="15"/>
  <c r="K276" i="15"/>
  <c r="K277" i="15" s="1"/>
  <c r="I262" i="15"/>
  <c r="T272" i="15"/>
  <c r="H266" i="15"/>
  <c r="S279" i="15"/>
  <c r="S280" i="15" s="1"/>
  <c r="I276" i="15"/>
  <c r="I277" i="15" s="1"/>
  <c r="H262" i="15"/>
  <c r="Q271" i="15"/>
  <c r="M269" i="15"/>
  <c r="R279" i="15"/>
  <c r="R280" i="15" s="1"/>
  <c r="H276" i="15"/>
  <c r="H277" i="15" s="1"/>
  <c r="D261" i="15"/>
  <c r="Q279" i="15"/>
  <c r="Q280" i="15" s="1"/>
  <c r="G276" i="15"/>
  <c r="G277" i="15" s="1"/>
  <c r="O271" i="15"/>
  <c r="K278" i="15"/>
  <c r="N271" i="15"/>
  <c r="L270" i="15"/>
  <c r="O279" i="15"/>
  <c r="O280" i="15" s="1"/>
  <c r="J278" i="15"/>
  <c r="O269" i="15"/>
  <c r="S272" i="15"/>
  <c r="F276" i="15"/>
  <c r="F277" i="15" s="1"/>
  <c r="M271" i="15"/>
  <c r="K270" i="15"/>
  <c r="I269" i="15"/>
  <c r="N279" i="15"/>
  <c r="N280" i="15" s="1"/>
  <c r="R263" i="15"/>
  <c r="L262" i="15"/>
  <c r="J262" i="15"/>
  <c r="T279" i="15"/>
  <c r="T280" i="15" s="1"/>
  <c r="J276" i="15"/>
  <c r="J277" i="15" s="1"/>
  <c r="L263" i="15"/>
  <c r="R272" i="15"/>
  <c r="P279" i="15"/>
  <c r="P280" i="15" s="1"/>
  <c r="F150" i="20"/>
  <c r="E150" i="20"/>
  <c r="D150" i="20"/>
  <c r="F117" i="20"/>
  <c r="F121" i="20" s="1"/>
  <c r="F122" i="20" s="1"/>
  <c r="D117" i="20"/>
  <c r="D121" i="20" s="1"/>
  <c r="D122" i="20" s="1"/>
  <c r="E117" i="20"/>
  <c r="E121" i="20" s="1"/>
  <c r="E122" i="20" s="1"/>
  <c r="F71" i="20"/>
  <c r="F80" i="20" s="1"/>
  <c r="F94" i="20" s="1"/>
  <c r="F95" i="20" s="1"/>
  <c r="E71" i="20"/>
  <c r="E80" i="20" s="1"/>
  <c r="E94" i="20" s="1"/>
  <c r="E95" i="20" s="1"/>
  <c r="D10" i="20"/>
  <c r="F10" i="20"/>
  <c r="E10" i="20"/>
  <c r="D13" i="20"/>
  <c r="E12" i="20"/>
  <c r="E13" i="20" s="1"/>
  <c r="E9" i="21"/>
  <c r="F78" i="10" l="1"/>
  <c r="F91" i="10" s="1"/>
  <c r="F82" i="10"/>
  <c r="F89" i="10" s="1"/>
  <c r="G78" i="10"/>
  <c r="G91" i="10" s="1"/>
  <c r="G82" i="10"/>
  <c r="G89" i="10" s="1"/>
  <c r="I78" i="10"/>
  <c r="I91" i="10" s="1"/>
  <c r="H57" i="17" s="1"/>
  <c r="J78" i="10"/>
  <c r="J91" i="10" s="1"/>
  <c r="I57" i="17" s="1"/>
  <c r="J82" i="10"/>
  <c r="J89" i="10" s="1"/>
  <c r="I50" i="17" s="1"/>
  <c r="F79" i="10"/>
  <c r="F88" i="10" s="1"/>
  <c r="H79" i="10"/>
  <c r="H88" i="10" s="1"/>
  <c r="I80" i="10"/>
  <c r="I90" i="10" s="1"/>
  <c r="H51" i="17" s="1"/>
  <c r="F77" i="10"/>
  <c r="F87" i="10" s="1"/>
  <c r="G81" i="10"/>
  <c r="H77" i="10"/>
  <c r="H87" i="10" s="1"/>
  <c r="I77" i="10"/>
  <c r="J77" i="10"/>
  <c r="H78" i="10"/>
  <c r="H91" i="10" s="1"/>
  <c r="H82" i="10"/>
  <c r="H89" i="10" s="1"/>
  <c r="I82" i="10"/>
  <c r="I89" i="10" s="1"/>
  <c r="H50" i="17" s="1"/>
  <c r="G79" i="10"/>
  <c r="G88" i="10" s="1"/>
  <c r="I79" i="10"/>
  <c r="J79" i="10"/>
  <c r="F80" i="10"/>
  <c r="F90" i="10" s="1"/>
  <c r="G80" i="10"/>
  <c r="G90" i="10" s="1"/>
  <c r="H80" i="10"/>
  <c r="H90" i="10" s="1"/>
  <c r="J80" i="10"/>
  <c r="J90" i="10" s="1"/>
  <c r="I51" i="17" s="1"/>
  <c r="F81" i="10"/>
  <c r="G77" i="10"/>
  <c r="G87" i="10" s="1"/>
  <c r="H81" i="10"/>
  <c r="I81" i="10"/>
  <c r="J81" i="10"/>
  <c r="D43" i="13"/>
  <c r="D45" i="13" s="1"/>
  <c r="E43" i="13"/>
  <c r="E45" i="13" s="1"/>
  <c r="F43" i="13"/>
  <c r="F45" i="13" s="1"/>
  <c r="D24" i="13"/>
  <c r="D26" i="13" s="1"/>
  <c r="E24" i="13"/>
  <c r="E26" i="13" s="1"/>
  <c r="F24" i="13"/>
  <c r="F26" i="13" s="1"/>
  <c r="D5" i="13"/>
  <c r="D7" i="13" s="1"/>
  <c r="E5" i="13"/>
  <c r="E7" i="13" s="1"/>
  <c r="F5" i="13"/>
  <c r="F7" i="13" s="1"/>
  <c r="C43" i="13"/>
  <c r="C24" i="13"/>
  <c r="C5" i="13"/>
  <c r="G96" i="8"/>
  <c r="J66" i="5"/>
  <c r="J67" i="5" s="1"/>
  <c r="J74" i="5" s="1"/>
  <c r="J52" i="5"/>
  <c r="I52" i="5"/>
  <c r="J11" i="5"/>
  <c r="J15" i="5"/>
  <c r="J19" i="5"/>
  <c r="J13" i="5"/>
  <c r="G74" i="5"/>
  <c r="G77" i="5" s="1"/>
  <c r="G69" i="5"/>
  <c r="D102" i="20"/>
  <c r="D108" i="20" s="1"/>
  <c r="D103" i="20"/>
  <c r="E103" i="20"/>
  <c r="E102" i="20"/>
  <c r="E108" i="20" s="1"/>
  <c r="F103" i="20"/>
  <c r="F102" i="20"/>
  <c r="F108" i="20" s="1"/>
  <c r="E14" i="20"/>
  <c r="D14" i="20"/>
  <c r="F13" i="20"/>
  <c r="J87" i="10" l="1"/>
  <c r="I48" i="17" s="1"/>
  <c r="I46" i="17"/>
  <c r="I87" i="10"/>
  <c r="H48" i="17" s="1"/>
  <c r="H46" i="17"/>
  <c r="I88" i="10"/>
  <c r="H49" i="17" s="1"/>
  <c r="H47" i="17"/>
  <c r="J88" i="10"/>
  <c r="I49" i="17" s="1"/>
  <c r="I47" i="17"/>
  <c r="G85" i="5"/>
  <c r="G80" i="5"/>
  <c r="D16" i="20"/>
  <c r="D25" i="20"/>
  <c r="D26" i="20" s="1"/>
  <c r="E109" i="20"/>
  <c r="E133" i="20"/>
  <c r="D15" i="20"/>
  <c r="E16" i="20"/>
  <c r="E25" i="20"/>
  <c r="E26" i="20" s="1"/>
  <c r="F109" i="20"/>
  <c r="F133" i="20"/>
  <c r="D109" i="20"/>
  <c r="D133" i="20"/>
  <c r="F14" i="20"/>
  <c r="E15" i="20"/>
  <c r="G79" i="5" l="1"/>
  <c r="G81" i="5"/>
  <c r="G86" i="5" s="1"/>
  <c r="G88" i="5" s="1"/>
  <c r="G82" i="5"/>
  <c r="G90" i="5"/>
  <c r="D29" i="20"/>
  <c r="D32" i="20" s="1"/>
  <c r="F16" i="20"/>
  <c r="F25" i="20"/>
  <c r="F26" i="20" s="1"/>
  <c r="E29" i="20"/>
  <c r="E32" i="20" s="1"/>
  <c r="D34" i="20"/>
  <c r="D36" i="20"/>
  <c r="F15" i="20"/>
  <c r="G25" i="3"/>
  <c r="G24" i="3"/>
  <c r="G23" i="3"/>
  <c r="G11" i="3"/>
  <c r="G10" i="3"/>
  <c r="G9" i="3"/>
  <c r="G8" i="3"/>
  <c r="G7" i="3"/>
  <c r="F25" i="3"/>
  <c r="F24" i="3"/>
  <c r="F23" i="3"/>
  <c r="F11" i="3"/>
  <c r="F10" i="3"/>
  <c r="F9" i="3"/>
  <c r="F8" i="3"/>
  <c r="F7" i="3"/>
  <c r="E36" i="20" l="1"/>
  <c r="E34" i="20"/>
  <c r="F29" i="20"/>
  <c r="F32" i="20" s="1"/>
  <c r="H48" i="8"/>
  <c r="H42" i="8"/>
  <c r="H41" i="8"/>
  <c r="H18" i="8"/>
  <c r="E9" i="8"/>
  <c r="E17" i="8"/>
  <c r="I13" i="11"/>
  <c r="H13" i="11"/>
  <c r="E43" i="9"/>
  <c r="E20" i="8"/>
  <c r="F11" i="17"/>
  <c r="E28" i="8"/>
  <c r="E22" i="8"/>
  <c r="E23" i="8"/>
  <c r="E24" i="8"/>
  <c r="E26" i="8"/>
  <c r="E27" i="8"/>
  <c r="E30" i="8"/>
  <c r="H30" i="8"/>
  <c r="E38" i="8"/>
  <c r="E40" i="8"/>
  <c r="H40" i="8"/>
  <c r="H47" i="8"/>
  <c r="G95" i="5"/>
  <c r="E9" i="9"/>
  <c r="E13" i="9"/>
  <c r="E14" i="9"/>
  <c r="E21" i="9"/>
  <c r="E22" i="9"/>
  <c r="E23" i="9"/>
  <c r="E13" i="5"/>
  <c r="E15" i="5"/>
  <c r="C8" i="20"/>
  <c r="D13" i="5" s="1"/>
  <c r="C20" i="20"/>
  <c r="D32" i="5" s="1"/>
  <c r="C22" i="20"/>
  <c r="C42" i="20"/>
  <c r="D9" i="8" s="1"/>
  <c r="C51" i="20"/>
  <c r="D28" i="8" s="1"/>
  <c r="C54" i="20"/>
  <c r="D24" i="8" s="1"/>
  <c r="C58" i="20"/>
  <c r="D29" i="8" s="1"/>
  <c r="E41" i="8"/>
  <c r="C69" i="20"/>
  <c r="D41" i="8" s="1"/>
  <c r="C67" i="20"/>
  <c r="D38" i="8" s="1"/>
  <c r="C40" i="20"/>
  <c r="C70" i="20"/>
  <c r="D42" i="8" s="1"/>
  <c r="E45" i="8"/>
  <c r="C75" i="20"/>
  <c r="D46" i="8" s="1"/>
  <c r="E52" i="8"/>
  <c r="C86" i="20"/>
  <c r="C90" i="20"/>
  <c r="C115" i="20"/>
  <c r="E28" i="9"/>
  <c r="C120" i="20"/>
  <c r="D28" i="9" s="1"/>
  <c r="C129" i="20"/>
  <c r="C135" i="20"/>
  <c r="C100" i="20"/>
  <c r="E15" i="9"/>
  <c r="C104" i="20"/>
  <c r="D12" i="9" s="1"/>
  <c r="E43" i="5"/>
  <c r="E13" i="8"/>
  <c r="E15" i="8"/>
  <c r="E18" i="8"/>
  <c r="H46" i="8"/>
  <c r="C33" i="20"/>
  <c r="C46" i="20"/>
  <c r="D17" i="8" s="1"/>
  <c r="C47" i="20"/>
  <c r="D18" i="8" s="1"/>
  <c r="C50" i="20"/>
  <c r="D21" i="8" s="1"/>
  <c r="C53" i="20"/>
  <c r="D23" i="8" s="1"/>
  <c r="C57" i="20"/>
  <c r="D27" i="8" s="1"/>
  <c r="C59" i="20"/>
  <c r="D30" i="8" s="1"/>
  <c r="C66" i="20"/>
  <c r="D36" i="8" s="1"/>
  <c r="C74" i="20"/>
  <c r="D45" i="8" s="1"/>
  <c r="C77" i="20"/>
  <c r="D48" i="8" s="1"/>
  <c r="C85" i="20"/>
  <c r="D52" i="8" s="1"/>
  <c r="C112" i="20"/>
  <c r="C126" i="20"/>
  <c r="C99" i="20"/>
  <c r="D7" i="9" s="1"/>
  <c r="T1" i="29"/>
  <c r="B5" i="17"/>
  <c r="B3" i="27"/>
  <c r="C279" i="15"/>
  <c r="C276" i="15"/>
  <c r="A2" i="15"/>
  <c r="K1" i="15"/>
  <c r="C1" i="15"/>
  <c r="E3" i="14"/>
  <c r="G4" i="12"/>
  <c r="G64" i="12" s="1"/>
  <c r="D81" i="11"/>
  <c r="I16" i="11"/>
  <c r="C16" i="11"/>
  <c r="H16" i="11"/>
  <c r="E16" i="11"/>
  <c r="A2" i="11"/>
  <c r="H28" i="26"/>
  <c r="L28" i="26" s="1"/>
  <c r="G28" i="26"/>
  <c r="K28" i="26" s="1"/>
  <c r="D28" i="26"/>
  <c r="C28" i="26"/>
  <c r="H27" i="26"/>
  <c r="L27" i="26" s="1"/>
  <c r="G27" i="26"/>
  <c r="K27" i="26" s="1"/>
  <c r="D27" i="26"/>
  <c r="C27" i="26"/>
  <c r="E62" i="9"/>
  <c r="D62" i="9"/>
  <c r="D51" i="9"/>
  <c r="A2" i="9"/>
  <c r="A2" i="8"/>
  <c r="H61" i="5"/>
  <c r="A2" i="5"/>
  <c r="F42" i="4"/>
  <c r="F43" i="4" s="1"/>
  <c r="E42" i="4"/>
  <c r="E43" i="4" s="1"/>
  <c r="A2" i="4"/>
  <c r="C120" i="3"/>
  <c r="G120" i="3" s="1"/>
  <c r="C119" i="3"/>
  <c r="G119" i="3" s="1"/>
  <c r="G118" i="3"/>
  <c r="C118" i="3"/>
  <c r="E118" i="3" s="1"/>
  <c r="G117" i="3"/>
  <c r="G99" i="3"/>
  <c r="G26" i="3" s="1"/>
  <c r="F99" i="3"/>
  <c r="F26" i="3" s="1"/>
  <c r="E99" i="3"/>
  <c r="E26" i="3" s="1"/>
  <c r="G98" i="3"/>
  <c r="G17" i="3" s="1"/>
  <c r="F98" i="3"/>
  <c r="F17" i="3" s="1"/>
  <c r="E98" i="3"/>
  <c r="E17" i="3" s="1"/>
  <c r="H27" i="8" s="1"/>
  <c r="G84" i="3"/>
  <c r="F84" i="3"/>
  <c r="E84" i="3"/>
  <c r="G80" i="3"/>
  <c r="C80" i="3"/>
  <c r="G79" i="3"/>
  <c r="F79" i="3"/>
  <c r="C79" i="3"/>
  <c r="G78" i="3"/>
  <c r="F78" i="3"/>
  <c r="E78" i="3"/>
  <c r="C78" i="3"/>
  <c r="D54" i="3"/>
  <c r="E57" i="3" s="1"/>
  <c r="D37" i="3"/>
  <c r="C42" i="3" s="1"/>
  <c r="D26" i="3"/>
  <c r="E25" i="3"/>
  <c r="H21" i="9" s="1"/>
  <c r="D25" i="3"/>
  <c r="E24" i="3"/>
  <c r="H29" i="5" s="1"/>
  <c r="D24" i="3"/>
  <c r="E23" i="3"/>
  <c r="H33" i="5" s="1"/>
  <c r="G29" i="26" s="1"/>
  <c r="K29" i="26" s="1"/>
  <c r="D23" i="3"/>
  <c r="D22" i="3"/>
  <c r="D21" i="3"/>
  <c r="D20" i="3"/>
  <c r="D19" i="3"/>
  <c r="E11" i="3"/>
  <c r="H27" i="9" s="1"/>
  <c r="E10" i="3"/>
  <c r="H26" i="9" s="1"/>
  <c r="E9" i="3"/>
  <c r="H24" i="9" s="1"/>
  <c r="E8" i="3"/>
  <c r="H25" i="9" s="1"/>
  <c r="E7" i="3"/>
  <c r="A2" i="3"/>
  <c r="C127" i="20"/>
  <c r="C113" i="20"/>
  <c r="D21" i="9" s="1"/>
  <c r="C92" i="20"/>
  <c r="E95" i="5" s="1"/>
  <c r="C91" i="20"/>
  <c r="D61" i="8" s="1"/>
  <c r="D90" i="8" s="1"/>
  <c r="E60" i="8"/>
  <c r="C76" i="20"/>
  <c r="D47" i="8" s="1"/>
  <c r="E46" i="8"/>
  <c r="C72" i="20"/>
  <c r="C65" i="20"/>
  <c r="C64" i="20"/>
  <c r="D34" i="8" s="1"/>
  <c r="E29" i="8"/>
  <c r="C55" i="20"/>
  <c r="D25" i="8" s="1"/>
  <c r="C43" i="20"/>
  <c r="D11" i="8" s="1"/>
  <c r="C11" i="20"/>
  <c r="D20" i="5" s="1"/>
  <c r="C7" i="20"/>
  <c r="D11" i="5" s="1"/>
  <c r="C106" i="20"/>
  <c r="D14" i="9" s="1"/>
  <c r="C105" i="20"/>
  <c r="D13" i="9" s="1"/>
  <c r="E12" i="9"/>
  <c r="C107" i="20"/>
  <c r="D15" i="9" s="1"/>
  <c r="C101" i="20"/>
  <c r="D9" i="9" s="1"/>
  <c r="C134" i="20"/>
  <c r="D43" i="9" s="1"/>
  <c r="C132" i="20"/>
  <c r="E34" i="9"/>
  <c r="C128" i="20"/>
  <c r="D34" i="9" s="1"/>
  <c r="C125" i="20"/>
  <c r="C124" i="20"/>
  <c r="C116" i="20"/>
  <c r="D23" i="9" s="1"/>
  <c r="C114" i="20"/>
  <c r="D22" i="9" s="1"/>
  <c r="F95" i="5"/>
  <c r="E61" i="8"/>
  <c r="E90" i="8" s="1"/>
  <c r="E48" i="8"/>
  <c r="E47" i="8"/>
  <c r="C73" i="20"/>
  <c r="C68" i="20"/>
  <c r="D40" i="8" s="1"/>
  <c r="C56" i="20"/>
  <c r="D26" i="8" s="1"/>
  <c r="E25" i="8"/>
  <c r="C52" i="20"/>
  <c r="D22" i="8" s="1"/>
  <c r="C49" i="20"/>
  <c r="C45" i="20"/>
  <c r="D15" i="8" s="1"/>
  <c r="C44" i="20"/>
  <c r="D13" i="8" s="1"/>
  <c r="E11" i="8"/>
  <c r="C41" i="20"/>
  <c r="C30" i="20"/>
  <c r="D43" i="5" s="1"/>
  <c r="C21" i="20"/>
  <c r="C18" i="20"/>
  <c r="C19" i="20"/>
  <c r="E20" i="5"/>
  <c r="C9" i="20"/>
  <c r="D15" i="5" s="1"/>
  <c r="C6" i="20"/>
  <c r="C5" i="20"/>
  <c r="D15" i="21"/>
  <c r="B15" i="21"/>
  <c r="K13" i="21"/>
  <c r="A2" i="33" s="1"/>
  <c r="A2" i="20" s="1"/>
  <c r="E4" i="21"/>
  <c r="C4" i="21"/>
  <c r="E7" i="21"/>
  <c r="E8" i="21"/>
  <c r="B3" i="14"/>
  <c r="C6" i="17"/>
  <c r="C4" i="17"/>
  <c r="C8" i="17"/>
  <c r="C9" i="17"/>
  <c r="C10" i="17"/>
  <c r="C11" i="17"/>
  <c r="C12" i="17"/>
  <c r="C13" i="17"/>
  <c r="C14" i="17"/>
  <c r="C15" i="17"/>
  <c r="C16" i="17"/>
  <c r="C118" i="20"/>
  <c r="G118" i="20"/>
  <c r="H118" i="20"/>
  <c r="C119" i="20"/>
  <c r="G119" i="20"/>
  <c r="H119" i="20"/>
  <c r="C141" i="20"/>
  <c r="G141" i="20"/>
  <c r="H141" i="20"/>
  <c r="C142" i="20"/>
  <c r="G142" i="20"/>
  <c r="H142" i="20"/>
  <c r="C143" i="20"/>
  <c r="G143" i="20"/>
  <c r="H143" i="20"/>
  <c r="C144" i="20"/>
  <c r="G144" i="20"/>
  <c r="H144" i="20"/>
  <c r="C145" i="20"/>
  <c r="G145" i="20"/>
  <c r="H145" i="20"/>
  <c r="C146" i="20"/>
  <c r="G146" i="20"/>
  <c r="H146" i="20"/>
  <c r="C148" i="20"/>
  <c r="G148" i="20"/>
  <c r="H148" i="20"/>
  <c r="C149" i="20"/>
  <c r="G149" i="20"/>
  <c r="H149" i="20"/>
  <c r="C7" i="17"/>
  <c r="C35" i="20"/>
  <c r="F34" i="20" l="1"/>
  <c r="F36" i="20"/>
  <c r="E94" i="5"/>
  <c r="H35" i="8"/>
  <c r="F4" i="12"/>
  <c r="E4" i="12" s="1"/>
  <c r="D4" i="12" s="1"/>
  <c r="D49" i="12" s="1"/>
  <c r="D94" i="5"/>
  <c r="H94" i="5"/>
  <c r="A25" i="12"/>
  <c r="A26" i="12" s="1"/>
  <c r="G19" i="12"/>
  <c r="F19" i="12" s="1"/>
  <c r="F119" i="3"/>
  <c r="F118" i="3"/>
  <c r="H43" i="9"/>
  <c r="H54" i="8"/>
  <c r="H45" i="8"/>
  <c r="D33" i="9"/>
  <c r="D61" i="9" s="1"/>
  <c r="H28" i="13"/>
  <c r="H9" i="13"/>
  <c r="I9" i="13" s="1"/>
  <c r="E42" i="8"/>
  <c r="K15" i="17"/>
  <c r="D15" i="3"/>
  <c r="H20" i="5"/>
  <c r="E21" i="8"/>
  <c r="F18" i="17"/>
  <c r="E36" i="8"/>
  <c r="H17" i="8"/>
  <c r="H47" i="13"/>
  <c r="C280" i="15"/>
  <c r="E11" i="5"/>
  <c r="D36" i="9"/>
  <c r="E36" i="9"/>
  <c r="B281" i="15"/>
  <c r="C263" i="15"/>
  <c r="I17" i="11"/>
  <c r="E46" i="3"/>
  <c r="E14" i="3" s="1"/>
  <c r="H24" i="8" s="1"/>
  <c r="G59" i="3"/>
  <c r="F46" i="3"/>
  <c r="H17" i="11"/>
  <c r="B1" i="27"/>
  <c r="E2" i="17" s="1"/>
  <c r="B2" i="14"/>
  <c r="D46" i="5"/>
  <c r="E46" i="5"/>
  <c r="E20" i="9"/>
  <c r="D20" i="9"/>
  <c r="D61" i="10"/>
  <c r="C56" i="3"/>
  <c r="G56" i="3" s="1"/>
  <c r="E77" i="3"/>
  <c r="E82" i="3" s="1"/>
  <c r="E20" i="3" s="1"/>
  <c r="F77" i="3"/>
  <c r="F82" i="3" s="1"/>
  <c r="F20" i="3" s="1"/>
  <c r="G77" i="3"/>
  <c r="G82" i="3" s="1"/>
  <c r="G20" i="3" s="1"/>
  <c r="D19" i="9"/>
  <c r="D53" i="11"/>
  <c r="D83" i="11"/>
  <c r="D43" i="11"/>
  <c r="D31" i="11"/>
  <c r="D69" i="11"/>
  <c r="E19" i="9"/>
  <c r="C10" i="20"/>
  <c r="C39" i="3"/>
  <c r="G39" i="3" s="1"/>
  <c r="E61" i="10"/>
  <c r="C77" i="3"/>
  <c r="E8" i="5"/>
  <c r="E7" i="5"/>
  <c r="E59" i="5"/>
  <c r="E29" i="5"/>
  <c r="D64" i="5"/>
  <c r="D35" i="5"/>
  <c r="D34" i="5"/>
  <c r="D63" i="5"/>
  <c r="H28" i="8"/>
  <c r="D17" i="3"/>
  <c r="H29" i="26"/>
  <c r="L29" i="26" s="1"/>
  <c r="D29" i="26"/>
  <c r="C25" i="26"/>
  <c r="G25" i="26"/>
  <c r="K25" i="26" s="1"/>
  <c r="H59" i="5"/>
  <c r="E64" i="5"/>
  <c r="E35" i="5"/>
  <c r="D60" i="8"/>
  <c r="E29" i="10" s="1"/>
  <c r="C87" i="20"/>
  <c r="D57" i="8" s="1"/>
  <c r="E58" i="8" s="1"/>
  <c r="E21" i="5"/>
  <c r="D7" i="5"/>
  <c r="D16" i="5" s="1"/>
  <c r="C12" i="20"/>
  <c r="D21" i="5" s="1"/>
  <c r="H8" i="5"/>
  <c r="E10" i="5"/>
  <c r="E9" i="5"/>
  <c r="E46" i="10" s="1"/>
  <c r="E30" i="5"/>
  <c r="E60" i="5"/>
  <c r="D59" i="5"/>
  <c r="D29" i="5"/>
  <c r="C23" i="20"/>
  <c r="K14" i="17"/>
  <c r="E63" i="5"/>
  <c r="E34" i="5"/>
  <c r="K22" i="17"/>
  <c r="D44" i="9"/>
  <c r="C48" i="20"/>
  <c r="D7" i="8"/>
  <c r="D8" i="8"/>
  <c r="D77" i="8"/>
  <c r="F8" i="17"/>
  <c r="F9" i="17"/>
  <c r="D20" i="8"/>
  <c r="C60" i="20"/>
  <c r="D31" i="8" s="1"/>
  <c r="D83" i="3"/>
  <c r="D91" i="3"/>
  <c r="D13" i="3" s="1"/>
  <c r="E88" i="3"/>
  <c r="E91" i="3" s="1"/>
  <c r="E13" i="3" s="1"/>
  <c r="H22" i="8" s="1"/>
  <c r="F12" i="17"/>
  <c r="D63" i="3"/>
  <c r="D53" i="3"/>
  <c r="D16" i="3"/>
  <c r="E81" i="8"/>
  <c r="E68" i="8"/>
  <c r="E34" i="8"/>
  <c r="E82" i="8"/>
  <c r="E35" i="8"/>
  <c r="D48" i="4"/>
  <c r="E69" i="8"/>
  <c r="E44" i="8"/>
  <c r="E49" i="8"/>
  <c r="E71" i="10" s="1"/>
  <c r="C117" i="20"/>
  <c r="D26" i="9" s="1"/>
  <c r="E32" i="9"/>
  <c r="E7" i="9"/>
  <c r="E7" i="8"/>
  <c r="E44" i="9"/>
  <c r="D45" i="3"/>
  <c r="D48" i="9"/>
  <c r="D55" i="5"/>
  <c r="D8" i="9"/>
  <c r="E48" i="9"/>
  <c r="E55" i="5"/>
  <c r="E8" i="9"/>
  <c r="K9" i="17"/>
  <c r="D9" i="5"/>
  <c r="D10" i="5"/>
  <c r="K11" i="17"/>
  <c r="D60" i="5"/>
  <c r="D30" i="5"/>
  <c r="E53" i="8"/>
  <c r="E54" i="8"/>
  <c r="D32" i="9"/>
  <c r="C130" i="20"/>
  <c r="K13" i="17"/>
  <c r="D18" i="3"/>
  <c r="D92" i="10"/>
  <c r="E79" i="10"/>
  <c r="E88" i="10" s="1"/>
  <c r="F26" i="17"/>
  <c r="F33" i="17"/>
  <c r="F32" i="17"/>
  <c r="E33" i="9"/>
  <c r="E61" i="9" s="1"/>
  <c r="D108" i="3"/>
  <c r="H62" i="5"/>
  <c r="E32" i="5"/>
  <c r="E61" i="5"/>
  <c r="D62" i="3"/>
  <c r="F34" i="17"/>
  <c r="H23" i="9"/>
  <c r="E31" i="8"/>
  <c r="C71" i="20"/>
  <c r="E57" i="8"/>
  <c r="F58" i="3"/>
  <c r="D61" i="5"/>
  <c r="E62" i="8"/>
  <c r="E89" i="8"/>
  <c r="C150" i="20"/>
  <c r="C102" i="20" s="1"/>
  <c r="E77" i="8"/>
  <c r="E8" i="8"/>
  <c r="D46" i="3"/>
  <c r="D14" i="3"/>
  <c r="D44" i="8"/>
  <c r="D69" i="8"/>
  <c r="F22" i="17"/>
  <c r="L15" i="17"/>
  <c r="C29" i="26"/>
  <c r="D36" i="3"/>
  <c r="E40" i="3" s="1"/>
  <c r="D68" i="8"/>
  <c r="D81" i="8"/>
  <c r="K10" i="17"/>
  <c r="D82" i="8"/>
  <c r="D35" i="8"/>
  <c r="E92" i="10"/>
  <c r="D53" i="8"/>
  <c r="D54" i="8"/>
  <c r="C117" i="3"/>
  <c r="C78" i="20"/>
  <c r="D49" i="8" s="1"/>
  <c r="H25" i="26"/>
  <c r="L25" i="26" s="1"/>
  <c r="D25" i="26"/>
  <c r="C57" i="3"/>
  <c r="G58" i="3"/>
  <c r="F57" i="3"/>
  <c r="C59" i="3"/>
  <c r="G57" i="3"/>
  <c r="C58" i="3"/>
  <c r="G122" i="3"/>
  <c r="G22" i="3" s="1"/>
  <c r="F41" i="3"/>
  <c r="B275" i="15"/>
  <c r="B273" i="15"/>
  <c r="B274" i="15" s="1"/>
  <c r="B265" i="15"/>
  <c r="C273" i="15"/>
  <c r="C274" i="15" s="1"/>
  <c r="D273" i="15"/>
  <c r="D274" i="15" s="1"/>
  <c r="E273" i="15"/>
  <c r="E274" i="15" s="1"/>
  <c r="B272" i="15"/>
  <c r="E278" i="15"/>
  <c r="B271" i="15"/>
  <c r="B269" i="15"/>
  <c r="B266" i="15"/>
  <c r="B267" i="15"/>
  <c r="B268" i="15"/>
  <c r="C277" i="15"/>
  <c r="G41" i="3"/>
  <c r="C41" i="3"/>
  <c r="G42" i="3"/>
  <c r="G46" i="3"/>
  <c r="G14" i="3" s="1"/>
  <c r="A40" i="12"/>
  <c r="A70" i="12"/>
  <c r="H30" i="5"/>
  <c r="L14" i="17" s="1"/>
  <c r="F49" i="12"/>
  <c r="C4" i="12"/>
  <c r="E64" i="12"/>
  <c r="C260" i="15"/>
  <c r="C261" i="15"/>
  <c r="C17" i="11"/>
  <c r="H4" i="12"/>
  <c r="G49" i="12"/>
  <c r="E275" i="15"/>
  <c r="E281" i="15"/>
  <c r="D275" i="15"/>
  <c r="D278" i="15"/>
  <c r="D281" i="15"/>
  <c r="D279" i="15"/>
  <c r="D280" i="15" s="1"/>
  <c r="C278" i="15"/>
  <c r="C281" i="15"/>
  <c r="B270" i="15"/>
  <c r="C275" i="15"/>
  <c r="B278" i="15"/>
  <c r="D276" i="15"/>
  <c r="D277" i="15" s="1"/>
  <c r="E276" i="15"/>
  <c r="E277" i="15" s="1"/>
  <c r="E279" i="15"/>
  <c r="E280" i="15" s="1"/>
  <c r="B279" i="15"/>
  <c r="B280" i="15" s="1"/>
  <c r="C262" i="15"/>
  <c r="C264" i="15"/>
  <c r="B276" i="15"/>
  <c r="B277" i="15" s="1"/>
  <c r="I20" i="9" l="1"/>
  <c r="J36" i="9"/>
  <c r="I36" i="9"/>
  <c r="H18" i="26"/>
  <c r="E26" i="9"/>
  <c r="A24" i="12"/>
  <c r="A69" i="12" s="1"/>
  <c r="H82" i="8"/>
  <c r="E49" i="12"/>
  <c r="F64" i="12"/>
  <c r="G34" i="12"/>
  <c r="D64" i="12"/>
  <c r="H19" i="12"/>
  <c r="I19" i="12" s="1"/>
  <c r="E47" i="10"/>
  <c r="E48" i="10"/>
  <c r="F14" i="3"/>
  <c r="F23" i="17"/>
  <c r="H36" i="9"/>
  <c r="I28" i="13"/>
  <c r="J28" i="13" s="1"/>
  <c r="G28" i="13"/>
  <c r="F28" i="13" s="1"/>
  <c r="G9" i="13"/>
  <c r="F9" i="13" s="1"/>
  <c r="F50" i="17"/>
  <c r="K57" i="17"/>
  <c r="K58" i="17"/>
  <c r="K59" i="17"/>
  <c r="H10" i="8"/>
  <c r="H39" i="8"/>
  <c r="K45" i="17"/>
  <c r="H21" i="5"/>
  <c r="C40" i="3"/>
  <c r="D70" i="8"/>
  <c r="D91" i="8" s="1"/>
  <c r="D37" i="9"/>
  <c r="K40" i="17"/>
  <c r="H14" i="8"/>
  <c r="H12" i="5"/>
  <c r="I47" i="13"/>
  <c r="J47" i="13" s="1"/>
  <c r="G47" i="13"/>
  <c r="F47" i="13" s="1"/>
  <c r="H20" i="9"/>
  <c r="E56" i="3"/>
  <c r="E61" i="3" s="1"/>
  <c r="E21" i="3" s="1"/>
  <c r="E70" i="4"/>
  <c r="E73" i="4" s="1"/>
  <c r="E10" i="4" s="1"/>
  <c r="E16" i="5"/>
  <c r="E12" i="5"/>
  <c r="E14" i="5"/>
  <c r="H7" i="26" s="1"/>
  <c r="D71" i="10"/>
  <c r="G40" i="3"/>
  <c r="G44" i="3" s="1"/>
  <c r="G19" i="3" s="1"/>
  <c r="D14" i="5"/>
  <c r="G7" i="26" s="1"/>
  <c r="C7" i="26" s="1"/>
  <c r="D12" i="5"/>
  <c r="G61" i="3"/>
  <c r="G21" i="3" s="1"/>
  <c r="C121" i="20"/>
  <c r="D29" i="9" s="1"/>
  <c r="E83" i="3"/>
  <c r="F83" i="3" s="1"/>
  <c r="G83" i="3" s="1"/>
  <c r="E70" i="8"/>
  <c r="F56" i="3"/>
  <c r="F61" i="3" s="1"/>
  <c r="F21" i="3" s="1"/>
  <c r="E39" i="3"/>
  <c r="E44" i="3" s="1"/>
  <c r="E19" i="3" s="1"/>
  <c r="D10" i="9"/>
  <c r="E117" i="3"/>
  <c r="E122" i="3" s="1"/>
  <c r="E22" i="3" s="1"/>
  <c r="F117" i="3"/>
  <c r="F122" i="3" s="1"/>
  <c r="F22" i="3" s="1"/>
  <c r="D43" i="8"/>
  <c r="D67" i="10" s="1"/>
  <c r="D80" i="8"/>
  <c r="D83" i="8" s="1"/>
  <c r="C80" i="20"/>
  <c r="H87" i="5"/>
  <c r="E87" i="5"/>
  <c r="D87" i="5"/>
  <c r="D88" i="5" s="1"/>
  <c r="A10" i="12"/>
  <c r="F34" i="12"/>
  <c r="E19" i="12"/>
  <c r="G63" i="3"/>
  <c r="G16" i="3" s="1"/>
  <c r="F63" i="3"/>
  <c r="E63" i="3"/>
  <c r="E16" i="3" s="1"/>
  <c r="H26" i="8" s="1"/>
  <c r="E93" i="8"/>
  <c r="F17" i="17"/>
  <c r="D28" i="11"/>
  <c r="D66" i="11" s="1"/>
  <c r="E62" i="4"/>
  <c r="D34" i="10"/>
  <c r="D31" i="10" s="1"/>
  <c r="D33" i="10"/>
  <c r="F24" i="17"/>
  <c r="H58" i="8"/>
  <c r="E19" i="8"/>
  <c r="E75" i="8"/>
  <c r="K18" i="17"/>
  <c r="H8" i="8"/>
  <c r="D27" i="11"/>
  <c r="D65" i="11" s="1"/>
  <c r="D76" i="8"/>
  <c r="D92" i="8" s="1"/>
  <c r="G3" i="26"/>
  <c r="H7" i="5"/>
  <c r="D89" i="8"/>
  <c r="D62" i="8"/>
  <c r="D79" i="10"/>
  <c r="D88" i="10" s="1"/>
  <c r="E18" i="5"/>
  <c r="E19" i="5" s="1"/>
  <c r="E21" i="10"/>
  <c r="E14" i="8"/>
  <c r="E82" i="10"/>
  <c r="E89" i="10" s="1"/>
  <c r="E39" i="8"/>
  <c r="E10" i="8"/>
  <c r="D53" i="5"/>
  <c r="D17" i="5"/>
  <c r="F39" i="3"/>
  <c r="E39" i="9"/>
  <c r="K16" i="17"/>
  <c r="E78" i="10"/>
  <c r="E91" i="10" s="1"/>
  <c r="D78" i="10"/>
  <c r="D91" i="10" s="1"/>
  <c r="C49" i="12"/>
  <c r="C64" i="12"/>
  <c r="B4" i="12"/>
  <c r="E107" i="3"/>
  <c r="E108" i="3" s="1"/>
  <c r="D27" i="3"/>
  <c r="D39" i="9"/>
  <c r="C131" i="20"/>
  <c r="K30" i="17"/>
  <c r="H10" i="5"/>
  <c r="F25" i="17"/>
  <c r="F27" i="17" s="1"/>
  <c r="D75" i="8"/>
  <c r="D19" i="8"/>
  <c r="C61" i="20"/>
  <c r="D65" i="5"/>
  <c r="E52" i="5"/>
  <c r="E36" i="5"/>
  <c r="E37" i="5"/>
  <c r="F57" i="17"/>
  <c r="G26" i="26"/>
  <c r="K26" i="26" s="1"/>
  <c r="C26" i="26"/>
  <c r="H60" i="5"/>
  <c r="D18" i="5"/>
  <c r="D19" i="5" s="1"/>
  <c r="C103" i="20"/>
  <c r="C108" i="20" s="1"/>
  <c r="F14" i="17"/>
  <c r="K8" i="17"/>
  <c r="H16" i="8"/>
  <c r="H37" i="8"/>
  <c r="H12" i="8"/>
  <c r="E65" i="4"/>
  <c r="F13" i="17"/>
  <c r="E76" i="8"/>
  <c r="E92" i="8" s="1"/>
  <c r="E37" i="9"/>
  <c r="G12" i="17"/>
  <c r="F88" i="3"/>
  <c r="F91" i="3" s="1"/>
  <c r="H20" i="8"/>
  <c r="D93" i="8"/>
  <c r="F7" i="17"/>
  <c r="E67" i="4"/>
  <c r="L13" i="17"/>
  <c r="G18" i="26"/>
  <c r="H9" i="9"/>
  <c r="C13" i="20"/>
  <c r="H35" i="5"/>
  <c r="E53" i="5"/>
  <c r="E17" i="5"/>
  <c r="H64" i="12"/>
  <c r="H49" i="12"/>
  <c r="I4" i="12"/>
  <c r="J9" i="13"/>
  <c r="A41" i="12"/>
  <c r="A27" i="12"/>
  <c r="A71" i="12"/>
  <c r="F40" i="3"/>
  <c r="H26" i="26"/>
  <c r="L26" i="26" s="1"/>
  <c r="D26" i="26"/>
  <c r="E59" i="8"/>
  <c r="F19" i="17"/>
  <c r="E57" i="4"/>
  <c r="F37" i="17"/>
  <c r="D12" i="3"/>
  <c r="E43" i="8"/>
  <c r="E67" i="10" s="1"/>
  <c r="E80" i="8"/>
  <c r="E83" i="8" s="1"/>
  <c r="E48" i="4"/>
  <c r="E27" i="4"/>
  <c r="H34" i="5"/>
  <c r="D52" i="5"/>
  <c r="D36" i="5"/>
  <c r="C24" i="20"/>
  <c r="D37" i="5" s="1"/>
  <c r="E34" i="10"/>
  <c r="E31" i="10" s="1"/>
  <c r="E33" i="10"/>
  <c r="E37" i="8"/>
  <c r="E16" i="8"/>
  <c r="E12" i="8"/>
  <c r="K7" i="17"/>
  <c r="D82" i="10"/>
  <c r="D89" i="10" s="1"/>
  <c r="E60" i="4"/>
  <c r="E65" i="5"/>
  <c r="I15" i="9" l="1"/>
  <c r="I19" i="9"/>
  <c r="J20" i="9"/>
  <c r="L40" i="17"/>
  <c r="G50" i="17"/>
  <c r="K31" i="17"/>
  <c r="F36" i="17"/>
  <c r="A39" i="12"/>
  <c r="A23" i="12"/>
  <c r="A38" i="12" s="1"/>
  <c r="H34" i="12"/>
  <c r="D70" i="10"/>
  <c r="F13" i="3"/>
  <c r="F16" i="3"/>
  <c r="K52" i="17"/>
  <c r="E45" i="3"/>
  <c r="E12" i="3" s="1"/>
  <c r="H23" i="8" s="1"/>
  <c r="C122" i="20"/>
  <c r="H14" i="5"/>
  <c r="E62" i="3"/>
  <c r="E15" i="3" s="1"/>
  <c r="H25" i="8" s="1"/>
  <c r="G14" i="17" s="1"/>
  <c r="G5" i="26"/>
  <c r="C5" i="26" s="1"/>
  <c r="E70" i="10"/>
  <c r="H19" i="9"/>
  <c r="F15" i="17"/>
  <c r="H8" i="9"/>
  <c r="H48" i="9" s="1"/>
  <c r="H16" i="5"/>
  <c r="K7" i="26"/>
  <c r="E72" i="8"/>
  <c r="E91" i="8"/>
  <c r="E93" i="10" s="1"/>
  <c r="E98" i="10" s="1"/>
  <c r="D93" i="10"/>
  <c r="D98" i="10" s="1"/>
  <c r="E72" i="4"/>
  <c r="E74" i="4" s="1"/>
  <c r="E123" i="3"/>
  <c r="E18" i="3" s="1"/>
  <c r="H29" i="8" s="1"/>
  <c r="F10" i="17"/>
  <c r="K51" i="17"/>
  <c r="K12" i="17"/>
  <c r="K17" i="17" s="1"/>
  <c r="K19" i="17" s="1"/>
  <c r="K18" i="26"/>
  <c r="C18" i="26"/>
  <c r="I34" i="12"/>
  <c r="J19" i="12"/>
  <c r="D78" i="8"/>
  <c r="D85" i="8" s="1"/>
  <c r="F44" i="3"/>
  <c r="L16" i="17"/>
  <c r="G19" i="26"/>
  <c r="E65" i="10"/>
  <c r="E66" i="10"/>
  <c r="A11" i="12"/>
  <c r="A9" i="12"/>
  <c r="A55" i="12"/>
  <c r="D23" i="5"/>
  <c r="C14" i="20"/>
  <c r="D51" i="5"/>
  <c r="D54" i="5" s="1"/>
  <c r="F47" i="17"/>
  <c r="F49" i="17"/>
  <c r="L30" i="17"/>
  <c r="H9" i="5"/>
  <c r="B49" i="12"/>
  <c r="B64" i="12"/>
  <c r="E34" i="12"/>
  <c r="D19" i="12"/>
  <c r="L18" i="17"/>
  <c r="G30" i="26"/>
  <c r="K30" i="26" s="1"/>
  <c r="C30" i="26"/>
  <c r="H63" i="5"/>
  <c r="H22" i="9"/>
  <c r="E36" i="10"/>
  <c r="H36" i="5"/>
  <c r="H15" i="9"/>
  <c r="H5" i="26"/>
  <c r="E9" i="13"/>
  <c r="D32" i="8"/>
  <c r="E27" i="3"/>
  <c r="H21" i="8" s="1"/>
  <c r="G11" i="17" s="1"/>
  <c r="F107" i="3"/>
  <c r="F108" i="3" s="1"/>
  <c r="F27" i="3" s="1"/>
  <c r="E10" i="9"/>
  <c r="L7" i="17"/>
  <c r="G11" i="26"/>
  <c r="H13" i="8"/>
  <c r="H11" i="5"/>
  <c r="E52" i="4"/>
  <c r="E30" i="4" s="1"/>
  <c r="H38" i="8"/>
  <c r="H9" i="8"/>
  <c r="H77" i="8"/>
  <c r="H93" i="8"/>
  <c r="E32" i="8"/>
  <c r="K47" i="13"/>
  <c r="L18" i="26"/>
  <c r="D18" i="26"/>
  <c r="A72" i="12"/>
  <c r="A42" i="12"/>
  <c r="A28" i="12"/>
  <c r="H18" i="5"/>
  <c r="E29" i="9"/>
  <c r="H3" i="26"/>
  <c r="E51" i="5"/>
  <c r="E54" i="5" s="1"/>
  <c r="E23" i="5"/>
  <c r="B34" i="13"/>
  <c r="F34" i="13" s="1"/>
  <c r="C26" i="13"/>
  <c r="E50" i="8"/>
  <c r="E47" i="13"/>
  <c r="K9" i="13"/>
  <c r="J4" i="12"/>
  <c r="I64" i="12"/>
  <c r="I49" i="12"/>
  <c r="G31" i="26"/>
  <c r="K31" i="26" s="1"/>
  <c r="C31" i="26"/>
  <c r="H64" i="5"/>
  <c r="K28" i="13"/>
  <c r="D65" i="10"/>
  <c r="D66" i="10"/>
  <c r="D79" i="11"/>
  <c r="H95" i="5"/>
  <c r="B53" i="13"/>
  <c r="J53" i="13" s="1"/>
  <c r="C45" i="13"/>
  <c r="E28" i="13"/>
  <c r="D36" i="10"/>
  <c r="D94" i="8"/>
  <c r="K3" i="26"/>
  <c r="K11" i="26" s="1"/>
  <c r="C3" i="26"/>
  <c r="C11" i="26" s="1"/>
  <c r="C14" i="26" s="1"/>
  <c r="E78" i="8"/>
  <c r="E85" i="8" s="1"/>
  <c r="D50" i="8"/>
  <c r="C94" i="20"/>
  <c r="C95" i="20" s="1"/>
  <c r="D16" i="9"/>
  <c r="C109" i="20"/>
  <c r="C133" i="20"/>
  <c r="D42" i="9" s="1"/>
  <c r="L5" i="26" l="1"/>
  <c r="D6" i="26"/>
  <c r="D4" i="26"/>
  <c r="L8" i="26"/>
  <c r="D5" i="26"/>
  <c r="L7" i="26"/>
  <c r="D8" i="26"/>
  <c r="D3" i="26"/>
  <c r="L6" i="26"/>
  <c r="L4" i="26"/>
  <c r="L3" i="26"/>
  <c r="L11" i="26" s="1"/>
  <c r="M11" i="26" s="1"/>
  <c r="D7" i="26"/>
  <c r="J19" i="9"/>
  <c r="J15" i="9"/>
  <c r="L57" i="17"/>
  <c r="D11" i="26"/>
  <c r="E11" i="26" s="1"/>
  <c r="E25" i="5"/>
  <c r="E26" i="5"/>
  <c r="F38" i="17"/>
  <c r="K20" i="17"/>
  <c r="K21" i="17" s="1"/>
  <c r="K23" i="17" s="1"/>
  <c r="L58" i="17"/>
  <c r="E42" i="9"/>
  <c r="A22" i="12"/>
  <c r="A68" i="12"/>
  <c r="D56" i="10"/>
  <c r="E49" i="10"/>
  <c r="F19" i="3"/>
  <c r="K50" i="17"/>
  <c r="K44" i="17"/>
  <c r="K56" i="17"/>
  <c r="K46" i="17"/>
  <c r="H19" i="26"/>
  <c r="L19" i="26" s="1"/>
  <c r="F62" i="3"/>
  <c r="H30" i="26"/>
  <c r="L30" i="26" s="1"/>
  <c r="H55" i="5"/>
  <c r="H13" i="5"/>
  <c r="G88" i="3"/>
  <c r="G91" i="3" s="1"/>
  <c r="G13" i="3" s="1"/>
  <c r="J22" i="8" s="1"/>
  <c r="J31" i="8" s="1"/>
  <c r="K14" i="26"/>
  <c r="K5" i="26"/>
  <c r="F16" i="17"/>
  <c r="E9" i="4"/>
  <c r="H35" i="9" s="1"/>
  <c r="D30" i="26"/>
  <c r="G6" i="26"/>
  <c r="C6" i="26" s="1"/>
  <c r="C15" i="26" s="1"/>
  <c r="H15" i="5"/>
  <c r="G15" i="26" s="1"/>
  <c r="F123" i="3"/>
  <c r="D97" i="10"/>
  <c r="F45" i="3"/>
  <c r="E94" i="8"/>
  <c r="H65" i="5"/>
  <c r="C13" i="26"/>
  <c r="H11" i="26"/>
  <c r="F52" i="4"/>
  <c r="F30" i="4" s="1"/>
  <c r="A37" i="12"/>
  <c r="A21" i="12"/>
  <c r="A67" i="12"/>
  <c r="E86" i="8"/>
  <c r="E51" i="9" s="1"/>
  <c r="E30" i="10"/>
  <c r="L28" i="13"/>
  <c r="K34" i="13"/>
  <c r="L9" i="13"/>
  <c r="E28" i="10"/>
  <c r="E57" i="10"/>
  <c r="D9" i="13"/>
  <c r="H52" i="5"/>
  <c r="C32" i="26"/>
  <c r="G32" i="26"/>
  <c r="K32" i="26" s="1"/>
  <c r="D41" i="10"/>
  <c r="D72" i="10"/>
  <c r="D37" i="10"/>
  <c r="D56" i="5"/>
  <c r="A54" i="12"/>
  <c r="A8" i="12"/>
  <c r="E56" i="10"/>
  <c r="E24" i="5"/>
  <c r="G13" i="17"/>
  <c r="E16" i="9"/>
  <c r="D34" i="12"/>
  <c r="C19" i="12"/>
  <c r="L8" i="17"/>
  <c r="G12" i="26"/>
  <c r="G4" i="26"/>
  <c r="H36" i="8"/>
  <c r="H15" i="8"/>
  <c r="H11" i="8"/>
  <c r="H31" i="8"/>
  <c r="D24" i="5"/>
  <c r="C25" i="20"/>
  <c r="C16" i="20"/>
  <c r="D25" i="5" s="1"/>
  <c r="A56" i="12"/>
  <c r="A12" i="12"/>
  <c r="J34" i="12"/>
  <c r="K19" i="12"/>
  <c r="D94" i="10"/>
  <c r="B54" i="13"/>
  <c r="K54" i="13" s="1"/>
  <c r="B52" i="13"/>
  <c r="K52" i="13" s="1"/>
  <c r="H53" i="13"/>
  <c r="G53" i="13"/>
  <c r="I53" i="13"/>
  <c r="F53" i="13"/>
  <c r="B35" i="13"/>
  <c r="K35" i="13" s="1"/>
  <c r="B33" i="13"/>
  <c r="K33" i="13" s="1"/>
  <c r="H34" i="13"/>
  <c r="I34" i="13"/>
  <c r="G34" i="13"/>
  <c r="D80" i="10"/>
  <c r="D90" i="10" s="1"/>
  <c r="D73" i="10"/>
  <c r="D68" i="10"/>
  <c r="D69" i="10"/>
  <c r="D54" i="10"/>
  <c r="D62" i="10" s="1"/>
  <c r="D63" i="8"/>
  <c r="D64" i="8" s="1"/>
  <c r="D65" i="8" s="1"/>
  <c r="D55" i="10"/>
  <c r="D58" i="10"/>
  <c r="E81" i="5"/>
  <c r="E86" i="5" s="1"/>
  <c r="E88" i="5" s="1"/>
  <c r="E34" i="13"/>
  <c r="D28" i="13"/>
  <c r="J34" i="13"/>
  <c r="J49" i="12"/>
  <c r="K4" i="12"/>
  <c r="J64" i="12"/>
  <c r="E72" i="10"/>
  <c r="E41" i="10"/>
  <c r="E37" i="10"/>
  <c r="E25" i="10"/>
  <c r="E56" i="5"/>
  <c r="A43" i="12"/>
  <c r="A73" i="12"/>
  <c r="A29" i="12"/>
  <c r="L47" i="13"/>
  <c r="K53" i="13"/>
  <c r="D57" i="10"/>
  <c r="H31" i="26"/>
  <c r="L31" i="26" s="1"/>
  <c r="D31" i="26"/>
  <c r="E94" i="10"/>
  <c r="D47" i="13"/>
  <c r="E53" i="13"/>
  <c r="E54" i="10"/>
  <c r="E62" i="10" s="1"/>
  <c r="E69" i="10"/>
  <c r="E63" i="8"/>
  <c r="E64" i="8" s="1"/>
  <c r="E65" i="8" s="1"/>
  <c r="E55" i="10"/>
  <c r="F21" i="17"/>
  <c r="G17" i="26"/>
  <c r="H19" i="5"/>
  <c r="L9" i="17"/>
  <c r="G13" i="26"/>
  <c r="K13" i="26" s="1"/>
  <c r="G107" i="3"/>
  <c r="G108" i="3" s="1"/>
  <c r="G27" i="3" s="1"/>
  <c r="F45" i="17"/>
  <c r="C15" i="20"/>
  <c r="K19" i="26"/>
  <c r="C19" i="26"/>
  <c r="M12" i="26" l="1"/>
  <c r="M14" i="26"/>
  <c r="M15" i="26"/>
  <c r="M20" i="26" s="1"/>
  <c r="M21" i="26" s="1"/>
  <c r="M22" i="26" s="1"/>
  <c r="M37" i="26" s="1"/>
  <c r="M39" i="26" s="1"/>
  <c r="E14" i="26"/>
  <c r="E12" i="26"/>
  <c r="E13" i="26"/>
  <c r="E15" i="26"/>
  <c r="G52" i="4"/>
  <c r="G30" i="4" s="1"/>
  <c r="H38" i="5"/>
  <c r="I12" i="9"/>
  <c r="I13" i="9"/>
  <c r="F51" i="17"/>
  <c r="L59" i="17"/>
  <c r="G14" i="26"/>
  <c r="G123" i="3"/>
  <c r="G18" i="3" s="1"/>
  <c r="F18" i="3"/>
  <c r="D19" i="26"/>
  <c r="F15" i="3"/>
  <c r="F12" i="3"/>
  <c r="G62" i="3"/>
  <c r="F55" i="17"/>
  <c r="F52" i="17"/>
  <c r="H13" i="9"/>
  <c r="L10" i="17"/>
  <c r="K6" i="26"/>
  <c r="K15" i="26" s="1"/>
  <c r="E58" i="10"/>
  <c r="H17" i="5"/>
  <c r="L11" i="17"/>
  <c r="H6" i="26"/>
  <c r="E96" i="8"/>
  <c r="G45" i="3"/>
  <c r="G12" i="3" s="1"/>
  <c r="E97" i="10"/>
  <c r="E54" i="13"/>
  <c r="G15" i="17"/>
  <c r="E33" i="13"/>
  <c r="E52" i="13"/>
  <c r="D13" i="26"/>
  <c r="D12" i="26"/>
  <c r="F42" i="17"/>
  <c r="K24" i="17"/>
  <c r="K41" i="17"/>
  <c r="K32" i="17"/>
  <c r="K37" i="17"/>
  <c r="H17" i="26"/>
  <c r="H12" i="26"/>
  <c r="H4" i="26"/>
  <c r="L53" i="13"/>
  <c r="L54" i="13"/>
  <c r="M47" i="13"/>
  <c r="L52" i="13"/>
  <c r="B36" i="13"/>
  <c r="L36" i="13" s="1"/>
  <c r="H35" i="13"/>
  <c r="I35" i="13"/>
  <c r="G35" i="13"/>
  <c r="J35" i="13"/>
  <c r="F35" i="13"/>
  <c r="G18" i="17"/>
  <c r="H14" i="9"/>
  <c r="E68" i="10"/>
  <c r="E80" i="10"/>
  <c r="E90" i="10" s="1"/>
  <c r="E73" i="10"/>
  <c r="L14" i="26"/>
  <c r="H25" i="5"/>
  <c r="E66" i="5"/>
  <c r="E67" i="5" s="1"/>
  <c r="E74" i="5" s="1"/>
  <c r="E60" i="9"/>
  <c r="E75" i="5"/>
  <c r="D38" i="10"/>
  <c r="D95" i="10"/>
  <c r="D26" i="5"/>
  <c r="E22" i="10" s="1"/>
  <c r="F28" i="17"/>
  <c r="F20" i="17"/>
  <c r="L19" i="12"/>
  <c r="L34" i="12" s="1"/>
  <c r="K34" i="12"/>
  <c r="D60" i="9"/>
  <c r="D66" i="5"/>
  <c r="D67" i="5" s="1"/>
  <c r="D74" i="5" s="1"/>
  <c r="D75" i="5"/>
  <c r="C34" i="12"/>
  <c r="B19" i="12"/>
  <c r="B34" i="12" s="1"/>
  <c r="C9" i="13"/>
  <c r="C17" i="26"/>
  <c r="K17" i="26"/>
  <c r="D52" i="13"/>
  <c r="D53" i="13"/>
  <c r="D54" i="13"/>
  <c r="C47" i="13"/>
  <c r="K64" i="12"/>
  <c r="K49" i="12"/>
  <c r="L4" i="12"/>
  <c r="E35" i="13"/>
  <c r="B51" i="13"/>
  <c r="L51" i="13" s="1"/>
  <c r="H52" i="13"/>
  <c r="G52" i="13"/>
  <c r="I52" i="13"/>
  <c r="J52" i="13"/>
  <c r="F52" i="13"/>
  <c r="D38" i="5"/>
  <c r="C26" i="20"/>
  <c r="D39" i="5" s="1"/>
  <c r="K4" i="26"/>
  <c r="K12" i="26" s="1"/>
  <c r="C4" i="26"/>
  <c r="C12" i="26" s="1"/>
  <c r="L12" i="26"/>
  <c r="L15" i="26"/>
  <c r="A7" i="12"/>
  <c r="A53" i="12"/>
  <c r="K49" i="17"/>
  <c r="D63" i="11"/>
  <c r="H81" i="5"/>
  <c r="H86" i="5" s="1"/>
  <c r="H88" i="5" s="1"/>
  <c r="F35" i="17"/>
  <c r="H60" i="9"/>
  <c r="D15" i="26"/>
  <c r="G8" i="17"/>
  <c r="M9" i="13"/>
  <c r="M28" i="13"/>
  <c r="L35" i="13"/>
  <c r="L33" i="13"/>
  <c r="L34" i="13"/>
  <c r="D32" i="26"/>
  <c r="H32" i="26"/>
  <c r="L32" i="26" s="1"/>
  <c r="K48" i="17"/>
  <c r="A44" i="12"/>
  <c r="A30" i="12"/>
  <c r="A74" i="12"/>
  <c r="E38" i="10"/>
  <c r="E26" i="10"/>
  <c r="E95" i="10"/>
  <c r="D35" i="13"/>
  <c r="D33" i="13"/>
  <c r="C28" i="13"/>
  <c r="D34" i="13"/>
  <c r="B32" i="13"/>
  <c r="D32" i="13" s="1"/>
  <c r="H33" i="13"/>
  <c r="G33" i="13"/>
  <c r="I33" i="13"/>
  <c r="J33" i="13"/>
  <c r="F33" i="13"/>
  <c r="B55" i="13"/>
  <c r="L55" i="13" s="1"/>
  <c r="H54" i="13"/>
  <c r="I54" i="13"/>
  <c r="G54" i="13"/>
  <c r="F54" i="13"/>
  <c r="J54" i="13"/>
  <c r="A13" i="12"/>
  <c r="A57" i="12"/>
  <c r="G9" i="17"/>
  <c r="H12" i="9"/>
  <c r="D14" i="26"/>
  <c r="E38" i="5"/>
  <c r="A36" i="12"/>
  <c r="A20" i="12"/>
  <c r="A66" i="12"/>
  <c r="H13" i="26"/>
  <c r="L13" i="26" s="1"/>
  <c r="M40" i="26" l="1"/>
  <c r="M41" i="26" s="1"/>
  <c r="E20" i="26"/>
  <c r="E21" i="26" s="1"/>
  <c r="E22" i="26" s="1"/>
  <c r="E37" i="26" s="1"/>
  <c r="E39" i="26" s="1"/>
  <c r="E40" i="26" s="1"/>
  <c r="E41" i="26" s="1"/>
  <c r="I14" i="9"/>
  <c r="H14" i="26"/>
  <c r="G15" i="3"/>
  <c r="G16" i="26"/>
  <c r="K16" i="26" s="1"/>
  <c r="K20" i="26" s="1"/>
  <c r="H10" i="9"/>
  <c r="L12" i="17"/>
  <c r="L17" i="17" s="1"/>
  <c r="L19" i="17" s="1"/>
  <c r="H53" i="5"/>
  <c r="L31" i="17"/>
  <c r="H23" i="5"/>
  <c r="G20" i="26" s="1"/>
  <c r="H15" i="26"/>
  <c r="G34" i="17"/>
  <c r="D36" i="13"/>
  <c r="C29" i="20"/>
  <c r="D42" i="5" s="1"/>
  <c r="D55" i="13"/>
  <c r="A45" i="12"/>
  <c r="A75" i="12"/>
  <c r="E39" i="5"/>
  <c r="A58" i="12"/>
  <c r="A14" i="12"/>
  <c r="B31" i="13"/>
  <c r="C31" i="13" s="1"/>
  <c r="H32" i="13"/>
  <c r="G32" i="13"/>
  <c r="I32" i="13"/>
  <c r="F32" i="13"/>
  <c r="J32" i="13"/>
  <c r="E32" i="13"/>
  <c r="K32" i="13"/>
  <c r="M36" i="13"/>
  <c r="M35" i="13"/>
  <c r="M34" i="13"/>
  <c r="M33" i="13"/>
  <c r="M32" i="13"/>
  <c r="A52" i="12"/>
  <c r="A6" i="12"/>
  <c r="G34" i="26"/>
  <c r="K34" i="26" s="1"/>
  <c r="C34" i="26"/>
  <c r="F43" i="17"/>
  <c r="K25" i="17"/>
  <c r="K33" i="17"/>
  <c r="K42" i="17"/>
  <c r="F53" i="17"/>
  <c r="A35" i="12"/>
  <c r="A65" i="12"/>
  <c r="C52" i="13"/>
  <c r="C53" i="13"/>
  <c r="C54" i="13"/>
  <c r="C55" i="13"/>
  <c r="C51" i="13"/>
  <c r="L17" i="26"/>
  <c r="D17" i="26"/>
  <c r="B56" i="13"/>
  <c r="M56" i="13" s="1"/>
  <c r="H55" i="13"/>
  <c r="I55" i="13"/>
  <c r="G55" i="13"/>
  <c r="F55" i="13"/>
  <c r="J55" i="13"/>
  <c r="E55" i="13"/>
  <c r="K55" i="13"/>
  <c r="C35" i="13"/>
  <c r="C33" i="13"/>
  <c r="C34" i="13"/>
  <c r="C36" i="13"/>
  <c r="C32" i="13"/>
  <c r="L32" i="13"/>
  <c r="B50" i="13"/>
  <c r="C50" i="13" s="1"/>
  <c r="H51" i="13"/>
  <c r="I51" i="13"/>
  <c r="G51" i="13"/>
  <c r="F51" i="13"/>
  <c r="J51" i="13"/>
  <c r="K51" i="13"/>
  <c r="E51" i="13"/>
  <c r="G23" i="26"/>
  <c r="H66" i="5"/>
  <c r="H67" i="5" s="1"/>
  <c r="H74" i="5" s="1"/>
  <c r="M52" i="13"/>
  <c r="M53" i="13"/>
  <c r="M54" i="13"/>
  <c r="M55" i="13"/>
  <c r="M51" i="13"/>
  <c r="H75" i="5"/>
  <c r="L64" i="12"/>
  <c r="L49" i="12"/>
  <c r="D51" i="13"/>
  <c r="B37" i="13"/>
  <c r="C37" i="13" s="1"/>
  <c r="H36" i="13"/>
  <c r="I36" i="13"/>
  <c r="G36" i="13"/>
  <c r="J36" i="13"/>
  <c r="F36" i="13"/>
  <c r="E36" i="13"/>
  <c r="K36" i="13"/>
  <c r="J12" i="9" l="1"/>
  <c r="J14" i="9"/>
  <c r="J13" i="9"/>
  <c r="C32" i="20"/>
  <c r="C34" i="20" s="1"/>
  <c r="C16" i="26"/>
  <c r="C20" i="26" s="1"/>
  <c r="H24" i="5"/>
  <c r="H37" i="5" s="1"/>
  <c r="C33" i="26" s="1"/>
  <c r="H51" i="5"/>
  <c r="H54" i="5" s="1"/>
  <c r="M50" i="13"/>
  <c r="M31" i="13"/>
  <c r="B38" i="13"/>
  <c r="H37" i="13"/>
  <c r="G37" i="13"/>
  <c r="I37" i="13"/>
  <c r="J37" i="13"/>
  <c r="F37" i="13"/>
  <c r="K37" i="13"/>
  <c r="E37" i="13"/>
  <c r="D37" i="13"/>
  <c r="L37" i="13"/>
  <c r="K23" i="26"/>
  <c r="K21" i="26" s="1"/>
  <c r="K22" i="26" s="1"/>
  <c r="C23" i="26"/>
  <c r="A5" i="12"/>
  <c r="A50" i="12" s="1"/>
  <c r="A51" i="12"/>
  <c r="M37" i="13"/>
  <c r="B30" i="13"/>
  <c r="H31" i="13"/>
  <c r="I31" i="13"/>
  <c r="G31" i="13"/>
  <c r="F31" i="13"/>
  <c r="J31" i="13"/>
  <c r="K31" i="13"/>
  <c r="E31" i="13"/>
  <c r="L31" i="13"/>
  <c r="D31" i="13"/>
  <c r="H34" i="26"/>
  <c r="L34" i="26" s="1"/>
  <c r="D34" i="26"/>
  <c r="A15" i="12"/>
  <c r="A60" i="12" s="1"/>
  <c r="A59" i="12"/>
  <c r="B49" i="13"/>
  <c r="H50" i="13"/>
  <c r="I50" i="13"/>
  <c r="G50" i="13"/>
  <c r="F50" i="13"/>
  <c r="J50" i="13"/>
  <c r="E50" i="13"/>
  <c r="K50" i="13"/>
  <c r="L50" i="13"/>
  <c r="D50" i="13"/>
  <c r="B57" i="13"/>
  <c r="H56" i="13"/>
  <c r="I56" i="13"/>
  <c r="G56" i="13"/>
  <c r="J56" i="13"/>
  <c r="F56" i="13"/>
  <c r="K56" i="13"/>
  <c r="E56" i="13"/>
  <c r="L56" i="13"/>
  <c r="D56" i="13"/>
  <c r="C56" i="13"/>
  <c r="H23" i="26"/>
  <c r="D35" i="10"/>
  <c r="D69" i="5"/>
  <c r="D73" i="5"/>
  <c r="D77" i="5" s="1"/>
  <c r="D93" i="5"/>
  <c r="D44" i="5"/>
  <c r="E42" i="5"/>
  <c r="L32" i="17" l="1"/>
  <c r="K34" i="17"/>
  <c r="K43" i="17"/>
  <c r="H44" i="5"/>
  <c r="L41" i="17"/>
  <c r="C36" i="20"/>
  <c r="D45" i="5"/>
  <c r="D84" i="10" s="1"/>
  <c r="C21" i="26"/>
  <c r="C22" i="26" s="1"/>
  <c r="L24" i="17"/>
  <c r="G42" i="17"/>
  <c r="G45" i="17"/>
  <c r="H56" i="5"/>
  <c r="G21" i="26"/>
  <c r="H26" i="5"/>
  <c r="L20" i="17"/>
  <c r="L21" i="17" s="1"/>
  <c r="H39" i="5"/>
  <c r="G35" i="26" s="1"/>
  <c r="K35" i="26" s="1"/>
  <c r="K37" i="26" s="1"/>
  <c r="G33" i="26"/>
  <c r="K33" i="26" s="1"/>
  <c r="H28" i="9"/>
  <c r="H29" i="9" s="1"/>
  <c r="G36" i="17" s="1"/>
  <c r="D44" i="10"/>
  <c r="E45" i="5"/>
  <c r="D45" i="10"/>
  <c r="D43" i="10"/>
  <c r="E23" i="10"/>
  <c r="E35" i="10"/>
  <c r="E69" i="5"/>
  <c r="E93" i="5"/>
  <c r="E73" i="5"/>
  <c r="E77" i="5" s="1"/>
  <c r="E44" i="5"/>
  <c r="D23" i="26"/>
  <c r="L23" i="26"/>
  <c r="D39" i="10"/>
  <c r="D80" i="5"/>
  <c r="D47" i="9"/>
  <c r="D49" i="9" s="1"/>
  <c r="D52" i="9" s="1"/>
  <c r="D56" i="9" s="1"/>
  <c r="D59" i="9" s="1"/>
  <c r="D63" i="9" s="1"/>
  <c r="D81" i="10" s="1"/>
  <c r="D85" i="5"/>
  <c r="D90" i="5" s="1"/>
  <c r="D96" i="10"/>
  <c r="B58" i="13"/>
  <c r="H57" i="13"/>
  <c r="G57" i="13"/>
  <c r="I57" i="13"/>
  <c r="F57" i="13"/>
  <c r="J57" i="13"/>
  <c r="K57" i="13"/>
  <c r="E57" i="13"/>
  <c r="L57" i="13"/>
  <c r="D57" i="13"/>
  <c r="C57" i="13"/>
  <c r="M57" i="13"/>
  <c r="B48" i="13"/>
  <c r="H49" i="13"/>
  <c r="I49" i="13"/>
  <c r="G49" i="13"/>
  <c r="F49" i="13"/>
  <c r="J49" i="13"/>
  <c r="E49" i="13"/>
  <c r="K49" i="13"/>
  <c r="D49" i="13"/>
  <c r="L49" i="13"/>
  <c r="M49" i="13"/>
  <c r="C49" i="13"/>
  <c r="B29" i="13"/>
  <c r="H30" i="13"/>
  <c r="G30" i="13"/>
  <c r="I30" i="13"/>
  <c r="J30" i="13"/>
  <c r="F30" i="13"/>
  <c r="E30" i="13"/>
  <c r="K30" i="13"/>
  <c r="L30" i="13"/>
  <c r="D30" i="13"/>
  <c r="C30" i="13"/>
  <c r="M30" i="13"/>
  <c r="B39" i="13"/>
  <c r="H38" i="13"/>
  <c r="G38" i="13"/>
  <c r="I38" i="13"/>
  <c r="J38" i="13"/>
  <c r="F38" i="13"/>
  <c r="K38" i="13"/>
  <c r="E38" i="13"/>
  <c r="L38" i="13"/>
  <c r="D38" i="13"/>
  <c r="M38" i="13"/>
  <c r="C38" i="13"/>
  <c r="G96" i="5" l="1"/>
  <c r="L33" i="17"/>
  <c r="L42" i="17"/>
  <c r="K36" i="17"/>
  <c r="B15" i="13"/>
  <c r="F48" i="17"/>
  <c r="F56" i="17"/>
  <c r="F54" i="17"/>
  <c r="F44" i="17"/>
  <c r="D48" i="5"/>
  <c r="D47" i="5"/>
  <c r="G8" i="26" s="1"/>
  <c r="D77" i="10"/>
  <c r="D87" i="10" s="1"/>
  <c r="D40" i="10"/>
  <c r="H7" i="9"/>
  <c r="H16" i="9" s="1"/>
  <c r="G43" i="17"/>
  <c r="G22" i="26"/>
  <c r="L25" i="17"/>
  <c r="H42" i="5"/>
  <c r="C35" i="26"/>
  <c r="C37" i="26" s="1"/>
  <c r="E50" i="4"/>
  <c r="E29" i="4" s="1"/>
  <c r="H47" i="9"/>
  <c r="H49" i="9" s="1"/>
  <c r="F96" i="5"/>
  <c r="E96" i="5"/>
  <c r="E45" i="10"/>
  <c r="E43" i="10"/>
  <c r="H48" i="13"/>
  <c r="G48" i="13"/>
  <c r="I48" i="13"/>
  <c r="J48" i="13"/>
  <c r="F48" i="13"/>
  <c r="K48" i="13"/>
  <c r="E48" i="13"/>
  <c r="L48" i="13"/>
  <c r="D48" i="13"/>
  <c r="M48" i="13"/>
  <c r="C48" i="13"/>
  <c r="E84" i="10"/>
  <c r="E40" i="10"/>
  <c r="E77" i="10"/>
  <c r="E87" i="10" s="1"/>
  <c r="E48" i="5"/>
  <c r="E47" i="5"/>
  <c r="H29" i="13"/>
  <c r="G29" i="13"/>
  <c r="I29" i="13"/>
  <c r="J29" i="13"/>
  <c r="F29" i="13"/>
  <c r="K29" i="13"/>
  <c r="E29" i="13"/>
  <c r="D29" i="13"/>
  <c r="L29" i="13"/>
  <c r="M29" i="13"/>
  <c r="C29" i="13"/>
  <c r="H58" i="13"/>
  <c r="G58" i="13"/>
  <c r="I58" i="13"/>
  <c r="F58" i="13"/>
  <c r="J58" i="13"/>
  <c r="K58" i="13"/>
  <c r="E58" i="13"/>
  <c r="L58" i="13"/>
  <c r="D58" i="13"/>
  <c r="C58" i="13"/>
  <c r="M58" i="13"/>
  <c r="E44" i="10"/>
  <c r="E24" i="10"/>
  <c r="H39" i="13"/>
  <c r="I39" i="13"/>
  <c r="G39" i="13"/>
  <c r="F39" i="13"/>
  <c r="J39" i="13"/>
  <c r="K39" i="13"/>
  <c r="E39" i="13"/>
  <c r="L39" i="13"/>
  <c r="D39" i="13"/>
  <c r="M39" i="13"/>
  <c r="C39" i="13"/>
  <c r="E27" i="10"/>
  <c r="E47" i="9"/>
  <c r="E49" i="9" s="1"/>
  <c r="E52" i="9" s="1"/>
  <c r="E56" i="9" s="1"/>
  <c r="E59" i="9" s="1"/>
  <c r="E63" i="9" s="1"/>
  <c r="E81" i="10" s="1"/>
  <c r="E85" i="5"/>
  <c r="E90" i="5" s="1"/>
  <c r="E39" i="10"/>
  <c r="E80" i="5"/>
  <c r="E82" i="5" s="1"/>
  <c r="E42" i="10" s="1"/>
  <c r="E50" i="10" s="1"/>
  <c r="E96" i="10"/>
  <c r="G51" i="17" l="1"/>
  <c r="L34" i="17"/>
  <c r="L43" i="17"/>
  <c r="D59" i="10"/>
  <c r="D60" i="10" s="1"/>
  <c r="G33" i="17"/>
  <c r="G32" i="17"/>
  <c r="H69" i="5"/>
  <c r="G37" i="26"/>
  <c r="H73" i="5"/>
  <c r="H77" i="5" s="1"/>
  <c r="H93" i="5"/>
  <c r="H43" i="5"/>
  <c r="L22" i="17" s="1"/>
  <c r="L23" i="17" s="1"/>
  <c r="C7" i="13"/>
  <c r="H47" i="5"/>
  <c r="K38" i="17"/>
  <c r="F46" i="17"/>
  <c r="K53" i="17"/>
  <c r="K54" i="17"/>
  <c r="H8" i="26"/>
  <c r="E59" i="10"/>
  <c r="E60" i="10" s="1"/>
  <c r="B16" i="13"/>
  <c r="B14" i="13"/>
  <c r="H15" i="13"/>
  <c r="G15" i="13"/>
  <c r="I15" i="13"/>
  <c r="F15" i="13"/>
  <c r="J15" i="13"/>
  <c r="E15" i="13"/>
  <c r="K15" i="13"/>
  <c r="L15" i="13"/>
  <c r="D15" i="13"/>
  <c r="M15" i="13"/>
  <c r="C15" i="13"/>
  <c r="G35" i="17"/>
  <c r="E49" i="4"/>
  <c r="K8" i="26"/>
  <c r="C8" i="26"/>
  <c r="L54" i="17" l="1"/>
  <c r="H85" i="5"/>
  <c r="H90" i="5" s="1"/>
  <c r="E57" i="11" s="1"/>
  <c r="C38" i="26"/>
  <c r="C39" i="26" s="1"/>
  <c r="C40" i="26" s="1"/>
  <c r="C41" i="26" s="1"/>
  <c r="H61" i="8"/>
  <c r="H45" i="5"/>
  <c r="H80" i="5"/>
  <c r="H82" i="5" s="1"/>
  <c r="G44" i="17"/>
  <c r="G38" i="26"/>
  <c r="K38" i="26" s="1"/>
  <c r="K39" i="26" s="1"/>
  <c r="K40" i="26" s="1"/>
  <c r="K41" i="26" s="1"/>
  <c r="E73" i="11"/>
  <c r="H96" i="5"/>
  <c r="B17" i="13"/>
  <c r="H16" i="13"/>
  <c r="G16" i="13"/>
  <c r="I16" i="13"/>
  <c r="J16" i="13"/>
  <c r="F16" i="13"/>
  <c r="K16" i="13"/>
  <c r="E16" i="13"/>
  <c r="D16" i="13"/>
  <c r="L16" i="13"/>
  <c r="M16" i="13"/>
  <c r="C16" i="13"/>
  <c r="E28" i="4"/>
  <c r="E31" i="4" s="1"/>
  <c r="B13" i="13"/>
  <c r="H14" i="13"/>
  <c r="G14" i="13"/>
  <c r="I14" i="13"/>
  <c r="J14" i="13"/>
  <c r="F14" i="13"/>
  <c r="E14" i="13"/>
  <c r="K14" i="13"/>
  <c r="L14" i="13"/>
  <c r="D14" i="13"/>
  <c r="M14" i="13"/>
  <c r="C14" i="13"/>
  <c r="G48" i="17" l="1"/>
  <c r="D29" i="11"/>
  <c r="G56" i="17"/>
  <c r="G26" i="17"/>
  <c r="D41" i="11"/>
  <c r="H90" i="8"/>
  <c r="H46" i="5"/>
  <c r="G39" i="26"/>
  <c r="L53" i="17"/>
  <c r="B12" i="13"/>
  <c r="H13" i="13"/>
  <c r="I13" i="13"/>
  <c r="G13" i="13"/>
  <c r="J13" i="13"/>
  <c r="F13" i="13"/>
  <c r="E13" i="13"/>
  <c r="K13" i="13"/>
  <c r="D13" i="13"/>
  <c r="L13" i="13"/>
  <c r="M13" i="13"/>
  <c r="C13" i="13"/>
  <c r="E33" i="4"/>
  <c r="E32" i="4"/>
  <c r="E58" i="4" s="1"/>
  <c r="B18" i="13"/>
  <c r="H17" i="13"/>
  <c r="I17" i="13"/>
  <c r="G17" i="13"/>
  <c r="J17" i="13"/>
  <c r="F17" i="13"/>
  <c r="K17" i="13"/>
  <c r="E17" i="13"/>
  <c r="D17" i="13"/>
  <c r="L17" i="13"/>
  <c r="C17" i="13"/>
  <c r="M17" i="13"/>
  <c r="H48" i="5" l="1"/>
  <c r="G41" i="26" s="1"/>
  <c r="G57" i="17"/>
  <c r="G46" i="17"/>
  <c r="L38" i="17"/>
  <c r="H34" i="9"/>
  <c r="E51" i="4" s="1"/>
  <c r="G40" i="26"/>
  <c r="E47" i="11"/>
  <c r="B19" i="13"/>
  <c r="H18" i="13"/>
  <c r="G18" i="13"/>
  <c r="I18" i="13"/>
  <c r="J18" i="13"/>
  <c r="F18" i="13"/>
  <c r="E18" i="13"/>
  <c r="K18" i="13"/>
  <c r="L18" i="13"/>
  <c r="D18" i="13"/>
  <c r="M18" i="13"/>
  <c r="C18" i="13"/>
  <c r="E7" i="4"/>
  <c r="E59" i="4"/>
  <c r="F60" i="4" s="1"/>
  <c r="E34" i="4"/>
  <c r="E12" i="4" s="1"/>
  <c r="H52" i="8" s="1"/>
  <c r="E11" i="4"/>
  <c r="H32" i="9" s="1"/>
  <c r="B11" i="13"/>
  <c r="H12" i="13"/>
  <c r="I12" i="13"/>
  <c r="G12" i="13"/>
  <c r="F12" i="13"/>
  <c r="J12" i="13"/>
  <c r="K12" i="13"/>
  <c r="E12" i="13"/>
  <c r="D12" i="13"/>
  <c r="L12" i="13"/>
  <c r="C12" i="13"/>
  <c r="M12" i="13"/>
  <c r="H59" i="8" l="1"/>
  <c r="H57" i="8" s="1"/>
  <c r="E35" i="4"/>
  <c r="E13" i="4" s="1"/>
  <c r="H55" i="8" s="1"/>
  <c r="H53" i="8" s="1"/>
  <c r="B20" i="13"/>
  <c r="H19" i="13"/>
  <c r="I19" i="13"/>
  <c r="G19" i="13"/>
  <c r="F19" i="13"/>
  <c r="J19" i="13"/>
  <c r="K19" i="13"/>
  <c r="E19" i="13"/>
  <c r="L19" i="13"/>
  <c r="D19" i="13"/>
  <c r="M19" i="13"/>
  <c r="C19" i="13"/>
  <c r="G22" i="17"/>
  <c r="B10" i="13"/>
  <c r="H11" i="13"/>
  <c r="I11" i="13"/>
  <c r="G11" i="13"/>
  <c r="F11" i="13"/>
  <c r="J11" i="13"/>
  <c r="K11" i="13"/>
  <c r="E11" i="13"/>
  <c r="L11" i="13"/>
  <c r="D11" i="13"/>
  <c r="M11" i="13"/>
  <c r="C11" i="13"/>
  <c r="E53" i="4"/>
  <c r="E54" i="4" s="1"/>
  <c r="E63" i="4" s="1"/>
  <c r="H33" i="9"/>
  <c r="H61" i="9" s="1"/>
  <c r="H44" i="8"/>
  <c r="G24" i="17" l="1"/>
  <c r="H60" i="8"/>
  <c r="G23" i="17"/>
  <c r="H37" i="9"/>
  <c r="E55" i="4"/>
  <c r="H10" i="13"/>
  <c r="G10" i="13"/>
  <c r="I10" i="13"/>
  <c r="F10" i="13"/>
  <c r="J10" i="13"/>
  <c r="K10" i="13"/>
  <c r="E10" i="13"/>
  <c r="D10" i="13"/>
  <c r="L10" i="13"/>
  <c r="M10" i="13"/>
  <c r="C10" i="13"/>
  <c r="E8" i="4"/>
  <c r="H34" i="8" s="1"/>
  <c r="E64" i="4"/>
  <c r="F65" i="4" s="1"/>
  <c r="F72" i="4" s="1"/>
  <c r="G19" i="17"/>
  <c r="H69" i="8"/>
  <c r="F57" i="4"/>
  <c r="H49" i="8"/>
  <c r="H20" i="13"/>
  <c r="I20" i="13"/>
  <c r="G20" i="13"/>
  <c r="F20" i="13"/>
  <c r="J20" i="13"/>
  <c r="K20" i="13"/>
  <c r="E20" i="13"/>
  <c r="D20" i="13"/>
  <c r="L20" i="13"/>
  <c r="C20" i="13"/>
  <c r="M20" i="13"/>
  <c r="G49" i="17" l="1"/>
  <c r="L36" i="17"/>
  <c r="L45" i="17"/>
  <c r="H89" i="8"/>
  <c r="G25" i="17"/>
  <c r="G27" i="17" s="1"/>
  <c r="H62" i="8"/>
  <c r="I95" i="5" s="1"/>
  <c r="F9" i="4"/>
  <c r="F27" i="4"/>
  <c r="F48" i="4"/>
  <c r="E68" i="4"/>
  <c r="E69" i="4" s="1"/>
  <c r="F70" i="4"/>
  <c r="F73" i="4" s="1"/>
  <c r="F10" i="4" s="1"/>
  <c r="G17" i="17"/>
  <c r="H38" i="9"/>
  <c r="H43" i="8"/>
  <c r="F62" i="4"/>
  <c r="H81" i="8"/>
  <c r="H68" i="8"/>
  <c r="H70" i="8" s="1"/>
  <c r="H54" i="9"/>
  <c r="I35" i="9" l="1"/>
  <c r="I17" i="5"/>
  <c r="G47" i="17"/>
  <c r="F74" i="4"/>
  <c r="H91" i="8"/>
  <c r="H72" i="8"/>
  <c r="H50" i="8"/>
  <c r="H80" i="8"/>
  <c r="H83" i="8" s="1"/>
  <c r="H62" i="9"/>
  <c r="H39" i="9"/>
  <c r="I10" i="9" l="1"/>
  <c r="I53" i="5"/>
  <c r="J60" i="9" s="1"/>
  <c r="I75" i="5"/>
  <c r="I23" i="5"/>
  <c r="L50" i="17"/>
  <c r="H16" i="26"/>
  <c r="G37" i="17"/>
  <c r="H42" i="9"/>
  <c r="G21" i="17"/>
  <c r="H63" i="8"/>
  <c r="I24" i="5" l="1"/>
  <c r="I37" i="5" s="1"/>
  <c r="I51" i="5"/>
  <c r="I54" i="5" s="1"/>
  <c r="I56" i="5" s="1"/>
  <c r="I26" i="5"/>
  <c r="G28" i="17"/>
  <c r="G20" i="17"/>
  <c r="D16" i="26"/>
  <c r="D20" i="26" s="1"/>
  <c r="L16" i="26"/>
  <c r="L20" i="26" s="1"/>
  <c r="G38" i="17"/>
  <c r="H44" i="9"/>
  <c r="I43" i="9" s="1"/>
  <c r="H20" i="26"/>
  <c r="I7" i="9" l="1"/>
  <c r="I16" i="9" s="1"/>
  <c r="I39" i="5"/>
  <c r="I42" i="5" s="1"/>
  <c r="I28" i="9"/>
  <c r="I29" i="9" s="1"/>
  <c r="L21" i="26"/>
  <c r="L22" i="26" s="1"/>
  <c r="H7" i="8"/>
  <c r="D21" i="26"/>
  <c r="D22" i="26" s="1"/>
  <c r="H21" i="26"/>
  <c r="I69" i="5" l="1"/>
  <c r="I93" i="5"/>
  <c r="I96" i="5" s="1"/>
  <c r="I73" i="5"/>
  <c r="I77" i="5" s="1"/>
  <c r="I43" i="5"/>
  <c r="I45" i="5" s="1"/>
  <c r="I46" i="5" s="1"/>
  <c r="H22" i="26"/>
  <c r="G7" i="17"/>
  <c r="H19" i="8"/>
  <c r="H76" i="8"/>
  <c r="H92" i="8" s="1"/>
  <c r="F67" i="4"/>
  <c r="H33" i="26"/>
  <c r="L33" i="26" s="1"/>
  <c r="D33" i="26"/>
  <c r="J47" i="9" l="1"/>
  <c r="J49" i="9" s="1"/>
  <c r="I80" i="5"/>
  <c r="I85" i="5"/>
  <c r="I48" i="5"/>
  <c r="I34" i="9"/>
  <c r="L52" i="17"/>
  <c r="L51" i="17"/>
  <c r="F49" i="4"/>
  <c r="H94" i="8"/>
  <c r="I81" i="5" s="1"/>
  <c r="D35" i="26"/>
  <c r="D37" i="26" s="1"/>
  <c r="H35" i="26"/>
  <c r="L35" i="26" s="1"/>
  <c r="L37" i="26" s="1"/>
  <c r="F50" i="4"/>
  <c r="F29" i="4" s="1"/>
  <c r="G10" i="17"/>
  <c r="G16" i="17" s="1"/>
  <c r="H32" i="8"/>
  <c r="H75" i="8"/>
  <c r="H78" i="8" s="1"/>
  <c r="H85" i="8" s="1"/>
  <c r="I86" i="5" l="1"/>
  <c r="I88" i="5" s="1"/>
  <c r="I90" i="5" s="1"/>
  <c r="I82" i="5"/>
  <c r="L44" i="17"/>
  <c r="L37" i="17"/>
  <c r="L49" i="17"/>
  <c r="G55" i="17"/>
  <c r="L56" i="17"/>
  <c r="L46" i="17"/>
  <c r="H86" i="8"/>
  <c r="H51" i="9" s="1"/>
  <c r="H52" i="9" s="1"/>
  <c r="H56" i="9" s="1"/>
  <c r="H37" i="26"/>
  <c r="H64" i="8"/>
  <c r="H65" i="8" s="1"/>
  <c r="H96" i="8"/>
  <c r="E14" i="11"/>
  <c r="E13" i="11" s="1"/>
  <c r="E17" i="11" s="1"/>
  <c r="F28" i="4"/>
  <c r="F31" i="4" s="1"/>
  <c r="G52" i="17"/>
  <c r="G53" i="17"/>
  <c r="G54" i="17"/>
  <c r="L48" i="17" l="1"/>
  <c r="F33" i="4"/>
  <c r="F32" i="4"/>
  <c r="F58" i="4" s="1"/>
  <c r="H38" i="26"/>
  <c r="L38" i="26" s="1"/>
  <c r="L39" i="26" s="1"/>
  <c r="D38" i="26"/>
  <c r="D39" i="26" s="1"/>
  <c r="E21" i="11"/>
  <c r="H59" i="9"/>
  <c r="H63" i="9" s="1"/>
  <c r="L40" i="26" l="1"/>
  <c r="L41" i="26" s="1"/>
  <c r="H39" i="26"/>
  <c r="F7" i="4"/>
  <c r="F59" i="4"/>
  <c r="G60" i="4" s="1"/>
  <c r="E35" i="11"/>
  <c r="D40" i="26"/>
  <c r="D41" i="26" s="1"/>
  <c r="F34" i="4"/>
  <c r="F12" i="4" s="1"/>
  <c r="I52" i="8" s="1"/>
  <c r="F11" i="4"/>
  <c r="I32" i="9" s="1"/>
  <c r="I33" i="9" l="1"/>
  <c r="I61" i="9" s="1"/>
  <c r="I44" i="8"/>
  <c r="I37" i="9"/>
  <c r="H41" i="26"/>
  <c r="F35" i="4"/>
  <c r="F13" i="4" s="1"/>
  <c r="I55" i="8" s="1"/>
  <c r="I53" i="8" s="1"/>
  <c r="J54" i="8" s="1"/>
  <c r="H40" i="26"/>
  <c r="F51" i="4"/>
  <c r="I69" i="8" l="1"/>
  <c r="I49" i="8"/>
  <c r="I60" i="8"/>
  <c r="G57" i="4"/>
  <c r="I54" i="9"/>
  <c r="F53" i="4"/>
  <c r="F54" i="4" s="1"/>
  <c r="F63" i="4" s="1"/>
  <c r="I89" i="8" l="1"/>
  <c r="I62" i="8"/>
  <c r="J95" i="5"/>
  <c r="F55" i="4"/>
  <c r="F8" i="4"/>
  <c r="I34" i="8" s="1"/>
  <c r="F64" i="4"/>
  <c r="G65" i="4" s="1"/>
  <c r="G72" i="4" s="1"/>
  <c r="I81" i="8" l="1"/>
  <c r="I68" i="8"/>
  <c r="I70" i="8" s="1"/>
  <c r="I43" i="8"/>
  <c r="G27" i="4"/>
  <c r="G48" i="4"/>
  <c r="G70" i="4"/>
  <c r="G73" i="4" s="1"/>
  <c r="G10" i="4" s="1"/>
  <c r="G9" i="4"/>
  <c r="I38" i="9"/>
  <c r="F68" i="4"/>
  <c r="F69" i="4" s="1"/>
  <c r="I91" i="8" l="1"/>
  <c r="I72" i="8"/>
  <c r="I80" i="8"/>
  <c r="I83" i="8" s="1"/>
  <c r="I50" i="8"/>
  <c r="I63" i="8" s="1"/>
  <c r="I62" i="9"/>
  <c r="I39" i="9"/>
  <c r="I42" i="9" s="1"/>
  <c r="I44" i="9" s="1"/>
  <c r="J17" i="5"/>
  <c r="J10" i="9" s="1"/>
  <c r="J35" i="9"/>
  <c r="J75" i="5"/>
  <c r="J53" i="5"/>
  <c r="J23" i="5"/>
  <c r="G74" i="4"/>
  <c r="G62" i="4"/>
  <c r="J43" i="9" l="1"/>
  <c r="I7" i="8"/>
  <c r="J51" i="5"/>
  <c r="J54" i="5" s="1"/>
  <c r="J56" i="5" s="1"/>
  <c r="J24" i="5"/>
  <c r="J37" i="5" s="1"/>
  <c r="I19" i="8" l="1"/>
  <c r="I76" i="8"/>
  <c r="I92" i="8" s="1"/>
  <c r="I94" i="8" s="1"/>
  <c r="I96" i="8" s="1"/>
  <c r="J39" i="5"/>
  <c r="J28" i="9"/>
  <c r="J29" i="9" s="1"/>
  <c r="J26" i="5"/>
  <c r="I75" i="8" l="1"/>
  <c r="I78" i="8" s="1"/>
  <c r="I85" i="8" s="1"/>
  <c r="I86" i="8" s="1"/>
  <c r="I32" i="8"/>
  <c r="I64" i="8" s="1"/>
  <c r="I65" i="8" s="1"/>
  <c r="J42" i="5"/>
  <c r="J7" i="9"/>
  <c r="J16" i="9" s="1"/>
  <c r="J69" i="5"/>
  <c r="J93" i="5"/>
  <c r="J96" i="5" s="1"/>
  <c r="J73" i="5"/>
  <c r="J77" i="5" s="1"/>
  <c r="J43" i="5"/>
  <c r="J45" i="5" l="1"/>
  <c r="J61" i="8"/>
  <c r="J90" i="8" s="1"/>
  <c r="J46" i="5"/>
  <c r="J85" i="5"/>
  <c r="J80" i="5"/>
  <c r="G50" i="4"/>
  <c r="G29" i="4" s="1"/>
  <c r="G67" i="4"/>
  <c r="J48" i="5" l="1"/>
  <c r="J59" i="8" s="1"/>
  <c r="J57" i="8" s="1"/>
  <c r="J34" i="9"/>
  <c r="G49" i="4"/>
  <c r="G28" i="4" l="1"/>
  <c r="G31" i="4" s="1"/>
  <c r="J81" i="5"/>
  <c r="J86" i="5" l="1"/>
  <c r="J88" i="5" s="1"/>
  <c r="J90" i="5" s="1"/>
  <c r="J82" i="5"/>
  <c r="G32" i="4"/>
  <c r="G58" i="4" s="1"/>
  <c r="G33" i="4"/>
  <c r="I51" i="9"/>
  <c r="I52" i="9" s="1"/>
  <c r="I56" i="9" s="1"/>
  <c r="I59" i="9" s="1"/>
  <c r="I63" i="9" s="1"/>
  <c r="G11" i="4" l="1"/>
  <c r="J32" i="9" s="1"/>
  <c r="G34" i="4"/>
  <c r="G12" i="4" s="1"/>
  <c r="G7" i="4"/>
  <c r="J44" i="8" s="1"/>
  <c r="G59" i="4"/>
  <c r="G51" i="4"/>
  <c r="J52" i="8" l="1"/>
  <c r="J69" i="8"/>
  <c r="J49" i="8"/>
  <c r="J33" i="9"/>
  <c r="J61" i="9" s="1"/>
  <c r="G35" i="4"/>
  <c r="G13" i="4" s="1"/>
  <c r="J55" i="8" s="1"/>
  <c r="J53" i="8" s="1"/>
  <c r="G53" i="4"/>
  <c r="G54" i="4" s="1"/>
  <c r="G63" i="4" s="1"/>
  <c r="J54" i="9"/>
  <c r="J60" i="8" l="1"/>
  <c r="J37" i="9"/>
  <c r="G8" i="4"/>
  <c r="J34" i="8" s="1"/>
  <c r="G64" i="4"/>
  <c r="G55" i="4"/>
  <c r="G68" i="4" s="1"/>
  <c r="G69" i="4" s="1"/>
  <c r="H74" i="11"/>
  <c r="I74" i="11" s="1"/>
  <c r="D75" i="11"/>
  <c r="J43" i="8" l="1"/>
  <c r="J68" i="8"/>
  <c r="J70" i="8" s="1"/>
  <c r="J81" i="8"/>
  <c r="J89" i="8"/>
  <c r="J62" i="8"/>
  <c r="J38" i="9"/>
  <c r="J62" i="9" s="1"/>
  <c r="H58" i="11"/>
  <c r="I58" i="11" s="1"/>
  <c r="D59" i="11"/>
  <c r="D77" i="11"/>
  <c r="D66" i="12"/>
  <c r="J69" i="12"/>
  <c r="K69" i="12"/>
  <c r="F66" i="12"/>
  <c r="L69" i="12"/>
  <c r="G70" i="12"/>
  <c r="D72" i="12"/>
  <c r="E69" i="12"/>
  <c r="F65" i="12"/>
  <c r="F71" i="12"/>
  <c r="G69" i="12"/>
  <c r="K65" i="12"/>
  <c r="L74" i="12"/>
  <c r="L65" i="12"/>
  <c r="D73" i="12"/>
  <c r="B73" i="12"/>
  <c r="B75" i="12"/>
  <c r="G65" i="12"/>
  <c r="I66" i="12"/>
  <c r="H75" i="12"/>
  <c r="F70" i="12"/>
  <c r="I74" i="12"/>
  <c r="L72" i="12"/>
  <c r="J71" i="12"/>
  <c r="L67" i="12"/>
  <c r="I70" i="12"/>
  <c r="G68" i="12"/>
  <c r="B68" i="12"/>
  <c r="E72" i="12"/>
  <c r="C71" i="12"/>
  <c r="E70" i="12"/>
  <c r="D75" i="12"/>
  <c r="G73" i="12"/>
  <c r="K73" i="12"/>
  <c r="H69" i="12"/>
  <c r="G67" i="12"/>
  <c r="K66" i="12"/>
  <c r="G66" i="12"/>
  <c r="C69" i="12"/>
  <c r="F68" i="12"/>
  <c r="L66" i="12"/>
  <c r="F67" i="12"/>
  <c r="D70" i="12"/>
  <c r="K70" i="12"/>
  <c r="L73" i="12"/>
  <c r="G72" i="12"/>
  <c r="I72" i="12"/>
  <c r="D65" i="12"/>
  <c r="J75" i="12"/>
  <c r="E66" i="12"/>
  <c r="B71" i="12"/>
  <c r="H72" i="12"/>
  <c r="B65" i="12"/>
  <c r="B69" i="12"/>
  <c r="B74" i="12"/>
  <c r="I71" i="12"/>
  <c r="K68" i="12"/>
  <c r="H65" i="12"/>
  <c r="L70" i="12"/>
  <c r="J72" i="12"/>
  <c r="J74" i="12"/>
  <c r="H67" i="12"/>
  <c r="D74" i="12"/>
  <c r="K71" i="12"/>
  <c r="B72" i="12"/>
  <c r="D71" i="12"/>
  <c r="E67" i="12"/>
  <c r="J66" i="12"/>
  <c r="G75" i="12"/>
  <c r="C68" i="12"/>
  <c r="C67" i="12"/>
  <c r="C70" i="12"/>
  <c r="L71" i="12"/>
  <c r="F74" i="12"/>
  <c r="E74" i="12"/>
  <c r="D67" i="12"/>
  <c r="I65" i="12"/>
  <c r="B70" i="12"/>
  <c r="B66" i="12"/>
  <c r="I67" i="12"/>
  <c r="I75" i="12"/>
  <c r="K72" i="12"/>
  <c r="D68" i="12"/>
  <c r="H73" i="12"/>
  <c r="I73" i="12"/>
  <c r="G71" i="12"/>
  <c r="H71" i="12"/>
  <c r="J67" i="12"/>
  <c r="K75" i="12"/>
  <c r="E73" i="12"/>
  <c r="E71" i="12"/>
  <c r="J68" i="12"/>
  <c r="J65" i="12"/>
  <c r="G74" i="12"/>
  <c r="C65" i="12"/>
  <c r="C75" i="12"/>
  <c r="H66" i="12"/>
  <c r="L75" i="12"/>
  <c r="L68" i="12"/>
  <c r="E68" i="12"/>
  <c r="C73" i="12"/>
  <c r="F73" i="12"/>
  <c r="F72" i="12"/>
  <c r="H70" i="12"/>
  <c r="D76" i="11"/>
  <c r="K67" i="12"/>
  <c r="E65" i="12"/>
  <c r="H68" i="12"/>
  <c r="I68" i="12"/>
  <c r="E75" i="12"/>
  <c r="J70" i="12"/>
  <c r="J73" i="12"/>
  <c r="K74" i="12"/>
  <c r="F75" i="12"/>
  <c r="I69" i="12"/>
  <c r="F69" i="12"/>
  <c r="C66" i="12"/>
  <c r="C74" i="12"/>
  <c r="D69" i="12"/>
  <c r="H74" i="12"/>
  <c r="J91" i="8" l="1"/>
  <c r="J72" i="8"/>
  <c r="J50" i="8"/>
  <c r="J63" i="8" s="1"/>
  <c r="J80" i="8"/>
  <c r="J83" i="8" s="1"/>
  <c r="J39" i="9"/>
  <c r="J42" i="9" s="1"/>
  <c r="J44" i="9" s="1"/>
  <c r="J7" i="8" s="1"/>
  <c r="D61" i="11"/>
  <c r="H59" i="12"/>
  <c r="H48" i="11"/>
  <c r="I48" i="11" s="1"/>
  <c r="B67" i="12"/>
  <c r="C72" i="12"/>
  <c r="D60" i="11"/>
  <c r="D78" i="11"/>
  <c r="D80" i="11" s="1"/>
  <c r="D82" i="11" s="1"/>
  <c r="D84" i="11" s="1"/>
  <c r="J19" i="8" l="1"/>
  <c r="J76" i="8"/>
  <c r="J92" i="8" s="1"/>
  <c r="J94" i="8" s="1"/>
  <c r="J96" i="8" s="1"/>
  <c r="G54" i="12"/>
  <c r="L50" i="12"/>
  <c r="J50" i="12"/>
  <c r="I50" i="12"/>
  <c r="E60" i="12"/>
  <c r="J58" i="12"/>
  <c r="B58" i="12"/>
  <c r="L57" i="12"/>
  <c r="B57" i="12"/>
  <c r="B51" i="12"/>
  <c r="L51" i="12"/>
  <c r="H56" i="12"/>
  <c r="L52" i="12"/>
  <c r="B60" i="12"/>
  <c r="B56" i="12"/>
  <c r="E59" i="12"/>
  <c r="I53" i="12"/>
  <c r="E50" i="12"/>
  <c r="E51" i="12"/>
  <c r="I59" i="12"/>
  <c r="E56" i="12"/>
  <c r="E54" i="12"/>
  <c r="C57" i="12"/>
  <c r="L54" i="12"/>
  <c r="H50" i="12"/>
  <c r="G59" i="12"/>
  <c r="G53" i="12"/>
  <c r="H60" i="12"/>
  <c r="J57" i="12"/>
  <c r="B59" i="12"/>
  <c r="I56" i="12"/>
  <c r="J60" i="12"/>
  <c r="C51" i="12"/>
  <c r="J59" i="12"/>
  <c r="E53" i="12"/>
  <c r="G55" i="12"/>
  <c r="B50" i="12"/>
  <c r="J51" i="12"/>
  <c r="F58" i="12"/>
  <c r="D52" i="12"/>
  <c r="F56" i="12"/>
  <c r="D58" i="12"/>
  <c r="K52" i="12"/>
  <c r="F50" i="12"/>
  <c r="G60" i="12"/>
  <c r="H57" i="12"/>
  <c r="K53" i="12"/>
  <c r="H53" i="12"/>
  <c r="C58" i="12"/>
  <c r="H55" i="12"/>
  <c r="D53" i="12"/>
  <c r="C54" i="12"/>
  <c r="L55" i="12"/>
  <c r="G52" i="12"/>
  <c r="L56" i="12"/>
  <c r="D59" i="12"/>
  <c r="C52" i="12"/>
  <c r="J56" i="12"/>
  <c r="I60" i="12"/>
  <c r="D54" i="12"/>
  <c r="K57" i="12"/>
  <c r="F59" i="12"/>
  <c r="B54" i="12"/>
  <c r="G57" i="12"/>
  <c r="K60" i="12"/>
  <c r="E52" i="12"/>
  <c r="E58" i="12"/>
  <c r="L53" i="12"/>
  <c r="I58" i="12"/>
  <c r="D50" i="12"/>
  <c r="K55" i="12"/>
  <c r="C50" i="12"/>
  <c r="F53" i="12"/>
  <c r="D56" i="12"/>
  <c r="E57" i="12"/>
  <c r="C60" i="12"/>
  <c r="I52" i="12"/>
  <c r="K54" i="12"/>
  <c r="F57" i="12"/>
  <c r="K58" i="12"/>
  <c r="D55" i="12"/>
  <c r="B55" i="12"/>
  <c r="I55" i="12"/>
  <c r="H52" i="12"/>
  <c r="I54" i="12"/>
  <c r="C56" i="12"/>
  <c r="I51" i="12"/>
  <c r="J53" i="12"/>
  <c r="D60" i="12"/>
  <c r="C59" i="12"/>
  <c r="L58" i="12"/>
  <c r="H58" i="12"/>
  <c r="C53" i="12"/>
  <c r="F60" i="12"/>
  <c r="C55" i="12"/>
  <c r="K56" i="12"/>
  <c r="L60" i="12"/>
  <c r="B53" i="12"/>
  <c r="D57" i="12"/>
  <c r="K59" i="12"/>
  <c r="I57" i="12"/>
  <c r="K50" i="12"/>
  <c r="B52" i="12"/>
  <c r="E55" i="12"/>
  <c r="F51" i="12"/>
  <c r="G50" i="12"/>
  <c r="F54" i="12"/>
  <c r="F55" i="12"/>
  <c r="F52" i="12"/>
  <c r="G58" i="12"/>
  <c r="G51" i="12"/>
  <c r="J55" i="12"/>
  <c r="L59" i="12"/>
  <c r="H51" i="12"/>
  <c r="J52" i="12"/>
  <c r="J54" i="12"/>
  <c r="K51" i="12"/>
  <c r="D51" i="12"/>
  <c r="G56" i="12"/>
  <c r="H54" i="12"/>
  <c r="D62" i="11"/>
  <c r="D64" i="11" s="1"/>
  <c r="D68" i="11" s="1"/>
  <c r="D70" i="11" s="1"/>
  <c r="D49" i="11"/>
  <c r="D51" i="11"/>
  <c r="H42" i="12"/>
  <c r="G36" i="12"/>
  <c r="L40" i="12"/>
  <c r="J35" i="12"/>
  <c r="F36" i="12"/>
  <c r="K39" i="12"/>
  <c r="E41" i="12"/>
  <c r="J75" i="8" l="1"/>
  <c r="J78" i="8" s="1"/>
  <c r="J85" i="8" s="1"/>
  <c r="J86" i="8" s="1"/>
  <c r="J32" i="8"/>
  <c r="J64" i="8" s="1"/>
  <c r="J65" i="8" s="1"/>
  <c r="K40" i="12"/>
  <c r="F41" i="12"/>
  <c r="G35" i="12"/>
  <c r="B41" i="12"/>
  <c r="D43" i="12"/>
  <c r="F44" i="12"/>
  <c r="D50" i="11"/>
  <c r="D52" i="11" s="1"/>
  <c r="D54" i="11" s="1"/>
  <c r="E43" i="12"/>
  <c r="J43" i="12"/>
  <c r="I42" i="12"/>
  <c r="C42" i="12"/>
  <c r="I40" i="12"/>
  <c r="L35" i="12"/>
  <c r="F37" i="12"/>
  <c r="D45" i="12"/>
  <c r="E45" i="12"/>
  <c r="B37" i="12"/>
  <c r="G44" i="12"/>
  <c r="I41" i="12"/>
  <c r="K41" i="12"/>
  <c r="I36" i="12"/>
  <c r="H38" i="12"/>
  <c r="E35" i="12"/>
  <c r="F42" i="12"/>
  <c r="E39" i="12"/>
  <c r="J39" i="12"/>
  <c r="D37" i="12"/>
  <c r="J44" i="12"/>
  <c r="H44" i="12"/>
  <c r="C38" i="12"/>
  <c r="B36" i="12"/>
  <c r="L39" i="12"/>
  <c r="H45" i="12"/>
  <c r="F38" i="12"/>
  <c r="G45" i="12"/>
  <c r="F43" i="12"/>
  <c r="D39" i="12"/>
  <c r="F45" i="12"/>
  <c r="L44" i="12"/>
  <c r="E36" i="12"/>
  <c r="J40" i="12"/>
  <c r="G39" i="12"/>
  <c r="I45" i="12"/>
  <c r="D40" i="12"/>
  <c r="J45" i="12"/>
  <c r="B40" i="12"/>
  <c r="L41" i="12"/>
  <c r="I38" i="12"/>
  <c r="D42" i="12"/>
  <c r="B43" i="12"/>
  <c r="F39" i="12"/>
  <c r="C44" i="12"/>
  <c r="I43" i="12"/>
  <c r="H37" i="12"/>
  <c r="J41" i="12"/>
  <c r="K36" i="12"/>
  <c r="L36" i="12"/>
  <c r="B39" i="12"/>
  <c r="B38" i="12"/>
  <c r="L43" i="12"/>
  <c r="K45" i="12"/>
  <c r="G42" i="12"/>
  <c r="D38" i="12"/>
  <c r="F35" i="12"/>
  <c r="C40" i="12"/>
  <c r="I37" i="12"/>
  <c r="G40" i="12"/>
  <c r="H35" i="12"/>
  <c r="J37" i="12"/>
  <c r="C36" i="12"/>
  <c r="L42" i="12"/>
  <c r="E37" i="12"/>
  <c r="B45" i="12"/>
  <c r="H39" i="12"/>
  <c r="C37" i="12"/>
  <c r="G38" i="12"/>
  <c r="D44" i="12"/>
  <c r="E40" i="12"/>
  <c r="I35" i="12"/>
  <c r="K37" i="12"/>
  <c r="C41" i="12"/>
  <c r="K35" i="12"/>
  <c r="L45" i="12"/>
  <c r="L37" i="12"/>
  <c r="H41" i="12"/>
  <c r="E38" i="12"/>
  <c r="G37" i="12"/>
  <c r="D35" i="12"/>
  <c r="I44" i="12"/>
  <c r="D36" i="12"/>
  <c r="F40" i="12"/>
  <c r="J42" i="12"/>
  <c r="H36" i="12"/>
  <c r="D41" i="12"/>
  <c r="G41" i="12"/>
  <c r="E42" i="12"/>
  <c r="C35" i="12"/>
  <c r="L38" i="12"/>
  <c r="G43" i="12"/>
  <c r="B35" i="12"/>
  <c r="K42" i="12"/>
  <c r="H40" i="12"/>
  <c r="B44" i="12"/>
  <c r="K43" i="12"/>
  <c r="C43" i="12"/>
  <c r="K38" i="12"/>
  <c r="J36" i="12"/>
  <c r="H43" i="12"/>
  <c r="K44" i="12"/>
  <c r="C39" i="12"/>
  <c r="C45" i="12"/>
  <c r="I39" i="12"/>
  <c r="J38" i="12"/>
  <c r="B42" i="12"/>
  <c r="E44" i="12"/>
  <c r="D23" i="11" l="1"/>
  <c r="J51" i="9" l="1"/>
  <c r="J52" i="9" s="1"/>
  <c r="J56" i="9" s="1"/>
  <c r="J59" i="9" s="1"/>
  <c r="J63" i="9" s="1"/>
  <c r="D37" i="11"/>
  <c r="H22" i="11" l="1"/>
  <c r="I22" i="11" l="1"/>
  <c r="D24" i="11" s="1"/>
  <c r="H36" i="11"/>
  <c r="I36" i="11" l="1"/>
  <c r="D39" i="11" s="1"/>
  <c r="G21" i="12"/>
  <c r="F29" i="12"/>
  <c r="E20" i="12"/>
  <c r="L22" i="12"/>
  <c r="E28" i="12"/>
  <c r="K25" i="12"/>
  <c r="J29" i="12"/>
  <c r="J26" i="12"/>
  <c r="K20" i="12"/>
  <c r="F28" i="12"/>
  <c r="K24" i="12"/>
  <c r="D38" i="11"/>
  <c r="E22" i="12"/>
  <c r="H20" i="12"/>
  <c r="C22" i="12"/>
  <c r="K29" i="12"/>
  <c r="B20" i="12"/>
  <c r="D21" i="12"/>
  <c r="F20" i="12"/>
  <c r="F21" i="12"/>
  <c r="B28" i="12"/>
  <c r="I27" i="12"/>
  <c r="L30" i="12"/>
  <c r="H22" i="12"/>
  <c r="E27" i="12"/>
  <c r="L21" i="12"/>
  <c r="G25" i="12"/>
  <c r="D26" i="12"/>
  <c r="L20" i="12"/>
  <c r="I20" i="12"/>
  <c r="G20" i="12"/>
  <c r="J24" i="12"/>
  <c r="L27" i="12"/>
  <c r="D28" i="12"/>
  <c r="F27" i="12"/>
  <c r="H25" i="12"/>
  <c r="G29" i="12"/>
  <c r="I23" i="12"/>
  <c r="K26" i="12"/>
  <c r="B21" i="12"/>
  <c r="D30" i="12"/>
  <c r="G23" i="12"/>
  <c r="J27" i="12"/>
  <c r="C23" i="12"/>
  <c r="E25" i="12"/>
  <c r="B26" i="12"/>
  <c r="F23" i="12"/>
  <c r="K28" i="12"/>
  <c r="I29" i="12"/>
  <c r="B25" i="12"/>
  <c r="G28" i="12"/>
  <c r="C29" i="12"/>
  <c r="G22" i="12"/>
  <c r="F25" i="12"/>
  <c r="D24" i="12"/>
  <c r="G26" i="12"/>
  <c r="E24" i="12"/>
  <c r="E21" i="12"/>
  <c r="L28" i="12"/>
  <c r="J22" i="12"/>
  <c r="L25" i="12"/>
  <c r="C20" i="12"/>
  <c r="K22" i="12"/>
  <c r="I28" i="12"/>
  <c r="I22" i="12"/>
  <c r="L24" i="12"/>
  <c r="F22" i="12"/>
  <c r="H29" i="12"/>
  <c r="L26" i="12"/>
  <c r="C27" i="12"/>
  <c r="D25" i="12"/>
  <c r="C30" i="12"/>
  <c r="K21" i="12"/>
  <c r="B30" i="12"/>
  <c r="C26" i="12"/>
  <c r="H21" i="12"/>
  <c r="D20" i="12"/>
  <c r="H28" i="12"/>
  <c r="H30" i="12"/>
  <c r="F30" i="12"/>
  <c r="J21" i="12"/>
  <c r="J30" i="12"/>
  <c r="C25" i="12"/>
  <c r="E29" i="12"/>
  <c r="G30" i="12"/>
  <c r="J28" i="12"/>
  <c r="K30" i="12"/>
  <c r="D27" i="12"/>
  <c r="L23" i="12"/>
  <c r="K23" i="12"/>
  <c r="E30" i="12"/>
  <c r="E23" i="12"/>
  <c r="I21" i="12"/>
  <c r="B23" i="12"/>
  <c r="C28" i="12"/>
  <c r="L29" i="12"/>
  <c r="I26" i="12"/>
  <c r="D23" i="12"/>
  <c r="I24" i="12"/>
  <c r="K27" i="12"/>
  <c r="C24" i="12"/>
  <c r="J25" i="12"/>
  <c r="B29" i="12"/>
  <c r="E26" i="12"/>
  <c r="H27" i="12"/>
  <c r="D22" i="12"/>
  <c r="H24" i="12"/>
  <c r="J23" i="12"/>
  <c r="C21" i="12"/>
  <c r="G7" i="12"/>
  <c r="D29" i="12" l="1"/>
  <c r="B24" i="12"/>
  <c r="J20" i="12"/>
  <c r="F24" i="12"/>
  <c r="F26" i="12"/>
  <c r="B27" i="12"/>
  <c r="G27" i="12"/>
  <c r="G24" i="12"/>
  <c r="H26" i="12"/>
  <c r="B22" i="12"/>
  <c r="I30" i="12"/>
  <c r="H23" i="12"/>
  <c r="I25" i="12"/>
  <c r="D25" i="11"/>
  <c r="D26" i="11" s="1"/>
  <c r="D30" i="11" s="1"/>
  <c r="D32" i="11" s="1"/>
  <c r="D9" i="12"/>
  <c r="E14" i="12"/>
  <c r="H15" i="12"/>
  <c r="E15" i="12"/>
  <c r="H11" i="12"/>
  <c r="D10" i="12"/>
  <c r="D14" i="12"/>
  <c r="J10" i="12"/>
  <c r="F13" i="12"/>
  <c r="B6" i="12"/>
  <c r="K9" i="12"/>
  <c r="C12" i="12"/>
  <c r="J7" i="12"/>
  <c r="B5" i="12"/>
  <c r="I5" i="12"/>
  <c r="D8" i="12"/>
  <c r="L7" i="12"/>
  <c r="F15" i="12"/>
  <c r="H7" i="12"/>
  <c r="L5" i="12"/>
  <c r="G13" i="12"/>
  <c r="D15" i="12"/>
  <c r="F11" i="12"/>
  <c r="E11" i="12"/>
  <c r="E13" i="12"/>
  <c r="B8" i="12"/>
  <c r="E9" i="12"/>
  <c r="F6" i="12"/>
  <c r="B9" i="12"/>
  <c r="D5" i="12"/>
  <c r="G15" i="12"/>
  <c r="F9" i="12"/>
  <c r="I10" i="12"/>
  <c r="K7" i="12"/>
  <c r="E10" i="12"/>
  <c r="I8" i="12"/>
  <c r="G11" i="12"/>
  <c r="F14" i="12"/>
  <c r="B10" i="12"/>
  <c r="L11" i="12"/>
  <c r="H12" i="12"/>
  <c r="C6" i="12"/>
  <c r="C10" i="12"/>
  <c r="C14" i="12"/>
  <c r="I7" i="12"/>
  <c r="K10" i="12"/>
  <c r="J15" i="12"/>
  <c r="J14" i="12"/>
  <c r="C15" i="12"/>
  <c r="G5" i="12"/>
  <c r="K15" i="12"/>
  <c r="L6" i="12"/>
  <c r="K14" i="12"/>
  <c r="C11" i="12"/>
  <c r="G12" i="12"/>
  <c r="C9" i="12"/>
  <c r="E6" i="12"/>
  <c r="J9" i="12"/>
  <c r="F12" i="12"/>
  <c r="L15" i="12"/>
  <c r="G6" i="12"/>
  <c r="I13" i="12"/>
  <c r="H8" i="12"/>
  <c r="L9" i="12"/>
  <c r="H10" i="12"/>
  <c r="I12" i="12"/>
  <c r="C5" i="12"/>
  <c r="B15" i="12"/>
  <c r="H9" i="12"/>
  <c r="I6" i="12"/>
  <c r="D11" i="12"/>
  <c r="H13" i="12"/>
  <c r="C7" i="12"/>
  <c r="E8" i="12"/>
  <c r="J5" i="12"/>
  <c r="L13" i="12"/>
  <c r="I11" i="12"/>
  <c r="I9" i="12"/>
  <c r="J11" i="12"/>
  <c r="E5" i="12"/>
  <c r="C8" i="12"/>
  <c r="D7" i="12"/>
  <c r="D12" i="12"/>
  <c r="G14" i="12"/>
  <c r="L10" i="12"/>
  <c r="H5" i="12"/>
  <c r="C13" i="12"/>
  <c r="K6" i="12"/>
  <c r="J8" i="12"/>
  <c r="K11" i="12"/>
  <c r="I15" i="12"/>
  <c r="J6" i="12"/>
  <c r="L8" i="12"/>
  <c r="G9" i="12"/>
  <c r="F8" i="12"/>
  <c r="H6" i="12"/>
  <c r="B11" i="12"/>
  <c r="J12" i="12"/>
  <c r="B7" i="12"/>
  <c r="E12" i="12"/>
  <c r="G8" i="12"/>
  <c r="F7" i="12"/>
  <c r="B13" i="12"/>
  <c r="D6" i="12"/>
  <c r="G10" i="12"/>
  <c r="B14" i="12"/>
  <c r="H14" i="12"/>
  <c r="K5" i="12"/>
  <c r="E7" i="12"/>
  <c r="F10" i="12"/>
  <c r="I14" i="12"/>
  <c r="D13" i="12"/>
  <c r="L14" i="12"/>
  <c r="L12" i="12"/>
  <c r="B12" i="12"/>
  <c r="K8" i="12"/>
  <c r="K13" i="12"/>
  <c r="D40" i="11"/>
  <c r="D42" i="11" s="1"/>
  <c r="D44" i="11" s="1"/>
  <c r="J13" i="12"/>
  <c r="K12" i="12"/>
  <c r="F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admin</author>
    <author>Jane</author>
  </authors>
  <commentList>
    <comment ref="B10" authorId="0" shapeId="0" xr:uid="{00000000-0006-0000-0400-000001000000}">
      <text>
        <r>
          <rPr>
            <b/>
            <sz val="9"/>
            <rFont val="宋体"/>
            <family val="3"/>
            <charset val="134"/>
          </rPr>
          <t>作者:</t>
        </r>
        <r>
          <rPr>
            <sz val="9"/>
            <rFont val="宋体"/>
            <family val="3"/>
            <charset val="134"/>
          </rPr>
          <t xml:space="preserve">
财务费用附注.利息支出-财务费用附注.利息收入</t>
        </r>
      </text>
    </comment>
    <comment ref="B12" authorId="0" shapeId="0" xr:uid="{00000000-0006-0000-0400-000002000000}">
      <text>
        <r>
          <rPr>
            <b/>
            <sz val="9"/>
            <rFont val="宋体"/>
            <family val="3"/>
            <charset val="134"/>
          </rPr>
          <t>作者:</t>
        </r>
        <r>
          <rPr>
            <sz val="9"/>
            <rFont val="宋体"/>
            <family val="3"/>
            <charset val="134"/>
          </rPr>
          <t xml:space="preserve">
(营业总收入-营业收入)-（营业总成本-营业成本-营业税金及附加-销售费用-管理费用-财务费用-资产减值损失）</t>
        </r>
      </text>
    </comment>
    <comment ref="B22" authorId="0" shapeId="0" xr:uid="{00000000-0006-0000-0400-000003000000}">
      <text>
        <r>
          <rPr>
            <b/>
            <sz val="9"/>
            <rFont val="宋体"/>
            <family val="3"/>
            <charset val="134"/>
          </rPr>
          <t>作者:</t>
        </r>
        <r>
          <rPr>
            <sz val="9"/>
            <rFont val="宋体"/>
            <family val="3"/>
            <charset val="134"/>
          </rPr>
          <t xml:space="preserve">
净敞口套期收益+汇兑净收益+其他收益+营业外收入-非流动资产处置利得-营业外支出+非流动资产处置净损失+营业利润其他项目+营业利润平衡项目+影响利润总额的其他项目+利润总额平衡项目+未确认的投资损失</t>
        </r>
      </text>
    </comment>
    <comment ref="B40" authorId="0" shapeId="0" xr:uid="{00000000-0006-0000-0400-000004000000}">
      <text>
        <r>
          <rPr>
            <b/>
            <sz val="9"/>
            <rFont val="宋体"/>
            <family val="3"/>
            <charset val="134"/>
          </rPr>
          <t>作者:</t>
        </r>
        <r>
          <rPr>
            <sz val="9"/>
            <rFont val="宋体"/>
            <family val="3"/>
            <charset val="134"/>
          </rPr>
          <t xml:space="preserve">
货币资金+(应收利息+应收股利+递延所得税资产)-(应付利息+应付股利+应交税费+应付职工薪酬+递延所得税负债+一年内的递延收益+递延收益非流动负债)
预测假设：
1、“营业税金及附加”于发生当期支付；
2、“所得税”于发生当期支付；
3、“职工薪酬”于发生当期支付；
4、“应收股利”和“应收利息”于发生当期获得；
5、“应付股利”、“应付利息”于发生当期支付
基于上述假设，我们对基期资产负债表做了调整，将“应收利息”、“应收股利”、“递延所得税资产”转为实收货币资金，将“应付股利”、“应付利息”、“应交税金”转为当期实付货币资金，货币资金是基于上述调整后的计算数。</t>
        </r>
      </text>
    </comment>
    <comment ref="B46" authorId="0" shapeId="0" xr:uid="{00000000-0006-0000-0400-000005000000}">
      <text>
        <r>
          <rPr>
            <b/>
            <sz val="9"/>
            <rFont val="宋体"/>
            <family val="3"/>
            <charset val="134"/>
          </rPr>
          <t>作者:</t>
        </r>
        <r>
          <rPr>
            <sz val="9"/>
            <rFont val="宋体"/>
            <family val="3"/>
            <charset val="134"/>
          </rPr>
          <t xml:space="preserve">
结算备付金+拆出资金+应收保费+应收分保账款+应收分保合同准备金+买入返售金融资产+应收出口退税+应收补贴款+内部应收款+以摊余成本计量的金融资产+以公允价值计量且其变动计入其他综合收益的金融资产</t>
        </r>
      </text>
    </comment>
    <comment ref="B51" authorId="0" shapeId="0" xr:uid="{00000000-0006-0000-0400-000006000000}">
      <text>
        <r>
          <rPr>
            <b/>
            <sz val="9"/>
            <rFont val="宋体"/>
            <family val="3"/>
            <charset val="134"/>
          </rPr>
          <t>作者:</t>
        </r>
        <r>
          <rPr>
            <sz val="9"/>
            <rFont val="宋体"/>
            <family val="3"/>
            <charset val="134"/>
          </rPr>
          <t xml:space="preserve">
发放贷款及垫款+可供出售金融资产+持有至到期投资+债权投资+其他债权投资+以摊余成本计量的金融资产（非流动）+以公允价值计量且其变动计入其他综合收益的金融资产（非流动）+其他权益工具投资+其他非流动金融资产</t>
        </r>
      </text>
    </comment>
    <comment ref="B69" authorId="1" shapeId="0" xr:uid="{00000000-0006-0000-0400-000007000000}">
      <text>
        <r>
          <rPr>
            <b/>
            <sz val="9"/>
            <rFont val="宋体"/>
            <family val="3"/>
            <charset val="134"/>
          </rPr>
          <t>作者:</t>
        </r>
        <r>
          <rPr>
            <sz val="9"/>
            <rFont val="宋体"/>
            <family val="3"/>
            <charset val="134"/>
          </rPr>
          <t xml:space="preserve">
向中央应行借款+吸收存款及同业存放+拆入资金+衍生金融负债+卖出回购金融资产款+应付手续费及佣金+应付分保账款+内部应付款+保险合同准备金+代理买卖证券款+代理承销证券款+以摊余成本计量的金融负债</t>
        </r>
      </text>
    </comment>
    <comment ref="B87" authorId="0" shapeId="0" xr:uid="{00000000-0006-0000-0400-000008000000}">
      <text>
        <r>
          <rPr>
            <b/>
            <sz val="9"/>
            <rFont val="宋体"/>
            <family val="3"/>
            <charset val="134"/>
          </rPr>
          <t>作者:</t>
        </r>
        <r>
          <rPr>
            <sz val="9"/>
            <rFont val="宋体"/>
            <family val="3"/>
            <charset val="134"/>
          </rPr>
          <t xml:space="preserve">
归属母公司股东的权益-股本-(资本公积金-库存股)</t>
        </r>
      </text>
    </comment>
    <comment ref="C118" authorId="0" shapeId="0" xr:uid="{00000000-0006-0000-0400-000009000000}">
      <text>
        <r>
          <rPr>
            <b/>
            <sz val="9"/>
            <rFont val="宋体"/>
            <family val="3"/>
            <charset val="134"/>
          </rPr>
          <t>作者:</t>
        </r>
        <r>
          <rPr>
            <sz val="9"/>
            <rFont val="宋体"/>
            <family val="3"/>
            <charset val="134"/>
          </rPr>
          <t xml:space="preserve">
函数调用数据库中当年交易性金融资产-前一年交易性金融资产</t>
        </r>
      </text>
    </comment>
    <comment ref="C119" authorId="0" shapeId="0" xr:uid="{00000000-0006-0000-0400-00000A000000}">
      <text>
        <r>
          <rPr>
            <b/>
            <sz val="9"/>
            <rFont val="宋体"/>
            <family val="3"/>
            <charset val="134"/>
          </rPr>
          <t>作者:</t>
        </r>
        <r>
          <rPr>
            <sz val="9"/>
            <rFont val="宋体"/>
            <family val="3"/>
            <charset val="134"/>
          </rPr>
          <t xml:space="preserve">
（当年发放贷款与垫付+可供出售金融资产+持有至到期资产）-前一年（三个之和)
</t>
        </r>
      </text>
    </comment>
    <comment ref="B148" authorId="2" shapeId="0" xr:uid="{00000000-0006-0000-0400-00000B000000}">
      <text>
        <r>
          <rPr>
            <b/>
            <sz val="9"/>
            <rFont val="宋体"/>
            <family val="3"/>
            <charset val="134"/>
          </rPr>
          <t>Jane:</t>
        </r>
        <r>
          <rPr>
            <sz val="9"/>
            <rFont val="宋体"/>
            <family val="3"/>
            <charset val="134"/>
          </rPr>
          <t xml:space="preserve">
公式中增加除以单位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36" authorId="0" shapeId="0" xr:uid="{00000000-0006-0000-0700-000001000000}">
      <text>
        <r>
          <rPr>
            <b/>
            <sz val="9"/>
            <rFont val="宋体"/>
            <family val="3"/>
            <charset val="134"/>
          </rPr>
          <t>作者:</t>
        </r>
        <r>
          <rPr>
            <sz val="9"/>
            <rFont val="宋体"/>
            <family val="3"/>
            <charset val="134"/>
          </rPr>
          <t xml:space="preserve">
在建工程</t>
        </r>
      </text>
    </comment>
    <comment ref="D53" authorId="0" shapeId="0" xr:uid="{00000000-0006-0000-0700-000002000000}">
      <text>
        <r>
          <rPr>
            <b/>
            <sz val="9"/>
            <rFont val="宋体"/>
            <family val="3"/>
            <charset val="134"/>
          </rPr>
          <t>作者:</t>
        </r>
        <r>
          <rPr>
            <sz val="9"/>
            <rFont val="宋体"/>
            <family val="3"/>
            <charset val="134"/>
          </rPr>
          <t xml:space="preserve">
开发支出</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69" authorId="0" shapeId="0" xr:uid="{00000000-0006-0000-0A00-000001000000}">
      <text>
        <r>
          <rPr>
            <b/>
            <sz val="9"/>
            <rFont val="宋体"/>
            <family val="3"/>
            <charset val="134"/>
          </rPr>
          <t>作者:</t>
        </r>
        <r>
          <rPr>
            <sz val="9"/>
            <rFont val="宋体"/>
            <family val="3"/>
            <charset val="134"/>
          </rPr>
          <t xml:space="preserve">
应付债券计入其中</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EM</author>
    <author>admin</author>
  </authors>
  <commentList>
    <comment ref="D2" authorId="0" shapeId="0" xr:uid="{00000000-0006-0000-1100-000001000000}">
      <text>
        <r>
          <rPr>
            <b/>
            <sz val="9"/>
            <rFont val="宋体"/>
            <family val="3"/>
            <charset val="134"/>
          </rPr>
          <t>EM:“自定义”：在B列输入想要对比公司的股票代码，然后点击“刷新”按钮，即可获取到自定义的可比数据。</t>
        </r>
        <r>
          <rPr>
            <sz val="9"/>
            <rFont val="宋体"/>
            <family val="3"/>
            <charset val="134"/>
          </rPr>
          <t xml:space="preserve">
</t>
        </r>
      </text>
    </comment>
    <comment ref="B3" authorId="1" shapeId="0" xr:uid="{00000000-0006-0000-1100-000002000000}">
      <text>
        <r>
          <rPr>
            <b/>
            <sz val="9"/>
            <rFont val="宋体"/>
            <family val="3"/>
            <charset val="134"/>
          </rPr>
          <t>admin:</t>
        </r>
        <r>
          <rPr>
            <sz val="9"/>
            <rFont val="宋体"/>
            <family val="3"/>
            <charset val="134"/>
          </rPr>
          <t xml:space="preserve">
从旧行业分类改为新行业分类</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24" authorId="0" shapeId="0" xr:uid="{00000000-0006-0000-1200-000001000000}">
      <text>
        <r>
          <rPr>
            <b/>
            <sz val="9"/>
            <rFont val="宋体"/>
            <family val="3"/>
            <charset val="134"/>
          </rPr>
          <t>作者:</t>
        </r>
        <r>
          <rPr>
            <sz val="9"/>
            <rFont val="宋体"/>
            <family val="3"/>
            <charset val="134"/>
          </rPr>
          <t xml:space="preserve">
每股销售额
</t>
        </r>
      </text>
    </comment>
    <comment ref="B25" authorId="0" shapeId="0" xr:uid="{00000000-0006-0000-1200-000002000000}">
      <text>
        <r>
          <rPr>
            <b/>
            <sz val="9"/>
            <rFont val="宋体"/>
            <family val="3"/>
            <charset val="134"/>
          </rPr>
          <t>作者:</t>
        </r>
        <r>
          <rPr>
            <sz val="9"/>
            <rFont val="宋体"/>
            <family val="3"/>
            <charset val="134"/>
          </rPr>
          <t xml:space="preserve">
每股营业收入</t>
        </r>
      </text>
    </comment>
    <comment ref="B43" authorId="0" shapeId="0" xr:uid="{00000000-0006-0000-1200-000003000000}">
      <text>
        <r>
          <rPr>
            <b/>
            <sz val="9"/>
            <rFont val="宋体"/>
            <family val="3"/>
            <charset val="134"/>
          </rPr>
          <t>作者:</t>
        </r>
        <r>
          <rPr>
            <sz val="9"/>
            <rFont val="宋体"/>
            <family val="3"/>
            <charset val="134"/>
          </rPr>
          <t xml:space="preserve">
每股净资产</t>
        </r>
      </text>
    </comment>
    <comment ref="B44" authorId="0" shapeId="0" xr:uid="{00000000-0006-0000-1200-000004000000}">
      <text>
        <r>
          <rPr>
            <b/>
            <sz val="9"/>
            <rFont val="宋体"/>
            <family val="3"/>
            <charset val="134"/>
          </rPr>
          <t>作者:</t>
        </r>
        <r>
          <rPr>
            <sz val="9"/>
            <rFont val="宋体"/>
            <family val="3"/>
            <charset val="134"/>
          </rPr>
          <t xml:space="preserve">
市净率</t>
        </r>
      </text>
    </comment>
  </commentList>
</comments>
</file>

<file path=xl/sharedStrings.xml><?xml version="1.0" encoding="utf-8"?>
<sst xmlns="http://schemas.openxmlformats.org/spreadsheetml/2006/main" count="6070" uniqueCount="4328">
  <si>
    <t>当前日期</t>
  </si>
  <si>
    <t>证券代码</t>
  </si>
  <si>
    <t>证券简称</t>
  </si>
  <si>
    <t>元</t>
  </si>
  <si>
    <t>预测日期(YYYY-MM-DD)</t>
  </si>
  <si>
    <t>最新收盘价(元)</t>
  </si>
  <si>
    <t>千元</t>
  </si>
  <si>
    <t>历史数据始于(年)</t>
  </si>
  <si>
    <t>最新股本(万股)</t>
  </si>
  <si>
    <t>万元</t>
  </si>
  <si>
    <t>历史数据止于(年)</t>
  </si>
  <si>
    <t>分析师</t>
  </si>
  <si>
    <t>用户填写</t>
  </si>
  <si>
    <t>百万元</t>
  </si>
  <si>
    <t>预测年数</t>
  </si>
  <si>
    <t>机构名称</t>
  </si>
  <si>
    <t>千万元</t>
  </si>
  <si>
    <t>报表类型</t>
  </si>
  <si>
    <t>电话</t>
  </si>
  <si>
    <t>亿元</t>
  </si>
  <si>
    <t>货币单位</t>
  </si>
  <si>
    <t>E-mail</t>
  </si>
  <si>
    <t>【提示：点击蓝色字体页面连接到相应sheet页面】</t>
  </si>
  <si>
    <t>合并报表</t>
  </si>
  <si>
    <t>目录</t>
  </si>
  <si>
    <t>设置全局参数</t>
  </si>
  <si>
    <t>合并报表（调整）</t>
  </si>
  <si>
    <t>说明</t>
  </si>
  <si>
    <t>估值平台使用的注意点及流程图</t>
  </si>
  <si>
    <t>历史年度（原始）</t>
  </si>
  <si>
    <t>历史年度原始报表数据</t>
  </si>
  <si>
    <t>历史年度（简化）</t>
  </si>
  <si>
    <t>历史年度简化报表数据</t>
  </si>
  <si>
    <t>假设</t>
  </si>
  <si>
    <t>报表科目预测方法汇总</t>
  </si>
  <si>
    <t>投资</t>
  </si>
  <si>
    <t>客户输入参数，自动生成投资数据，不可修改</t>
  </si>
  <si>
    <t>筹资</t>
  </si>
  <si>
    <t>客户输入参数，自动生成筹资数据，不可修改</t>
  </si>
  <si>
    <t>预测利润表</t>
  </si>
  <si>
    <t>根据简化表的历史数据和假设表的预测方法，自动生成预测数据，不可修改</t>
  </si>
  <si>
    <t>预测资产负债表</t>
  </si>
  <si>
    <t>预测现金流量表</t>
  </si>
  <si>
    <t>根据利润表和资产负债表对现金流量表做数据预测</t>
  </si>
  <si>
    <t>财务分析</t>
  </si>
  <si>
    <t>基于三大报表自动生成财务指标数据，不可修改</t>
  </si>
  <si>
    <t>图形分析</t>
  </si>
  <si>
    <t>根据财务分析做的图形归类，便于直观分析。</t>
  </si>
  <si>
    <t>情景分析</t>
  </si>
  <si>
    <t>以客户的假设选择方法做为一般情景衍生出的乐观和保守情景的利润表分析</t>
  </si>
  <si>
    <t>绝对估值</t>
  </si>
  <si>
    <t>用户填写关键参数，估值结果自动生成</t>
  </si>
  <si>
    <t>绝对估值敏感分析</t>
  </si>
  <si>
    <t>自动生成，不可修改</t>
  </si>
  <si>
    <t>相对估值</t>
  </si>
  <si>
    <t>可比公司估值</t>
  </si>
  <si>
    <t>以预测公司为准做的行业分类并做了指标的比较</t>
  </si>
  <si>
    <t>历史数据（单季）</t>
  </si>
  <si>
    <t>杜邦分析</t>
  </si>
  <si>
    <t>输出报告</t>
  </si>
  <si>
    <t>对预测报表以及指标的结果汇总</t>
  </si>
  <si>
    <t>RPT_F9_ProfitY|TOTALOPERATEREVE</t>
  </si>
  <si>
    <t>RPT_F9_ProfitS|TOTALOPERATEREVE_S</t>
  </si>
  <si>
    <t>RPT_F9_ProfitY|OPERATEREVE</t>
  </si>
  <si>
    <t>RPT_F9_ProfitS|OPERATEREVE_S</t>
  </si>
  <si>
    <t>RPT_F9_ProfitY|INTREVE</t>
  </si>
  <si>
    <t>RPT_F9_ProfitS|INTREVE_S</t>
  </si>
  <si>
    <t>RPT_F9_ProfitY|PREMIUMEARNED</t>
  </si>
  <si>
    <t>RPT_F9_ProfitS|PREMIUMEARNED_S</t>
  </si>
  <si>
    <t>RPT_F9_ProfitY|COMMREVE</t>
  </si>
  <si>
    <t>RPT_F9_ProfitS|COMMREVE_S</t>
  </si>
  <si>
    <t>RPT_F9_ProfitY|OTHERREVE</t>
  </si>
  <si>
    <t>RPT_F9_ProfitS|OTHERREVE_S</t>
  </si>
  <si>
    <t>RPT_F9_ProfitY|TOTALOPERATEREVEOTHER</t>
  </si>
  <si>
    <t>RPT_F9_ProfitS|TOTALOPERATEREVEOTHER_S</t>
  </si>
  <si>
    <t>RPT_F9_ProfitY|TOTALOPERATEEXP</t>
  </si>
  <si>
    <t>RPT_F9_ProfitS|TOTALOPERATEEXP_S</t>
  </si>
  <si>
    <t>RPT_F9_ProfitY|OPERATEEXP</t>
  </si>
  <si>
    <t>RPT_F9_ProfitS|OPERATEEXP_S</t>
  </si>
  <si>
    <t>RPT_F9_ProfitY|INTEXP</t>
  </si>
  <si>
    <t>RPT_F9_ProfitS|INTEXP_S</t>
  </si>
  <si>
    <t>RPT_F9_ProfitY|COMMEXP</t>
  </si>
  <si>
    <t>RPT_F9_ProfitS|COMMEXP_S</t>
  </si>
  <si>
    <t>RPT_F9_ProfitY|RDEXP</t>
  </si>
  <si>
    <t>RPT_F9_ProfitS|RDEXP_S</t>
  </si>
  <si>
    <t>RPT_F9_ProfitY|SURRENDERPREMIUM</t>
  </si>
  <si>
    <t>RPT_F9_ProfitS|SURRENDERPREMIUM_S</t>
  </si>
  <si>
    <t>RPT_F9_ProfitY|NETINDEMNITYEXP</t>
  </si>
  <si>
    <t>RPT_F9_ProfitS|NETINDEMNITYEXP_S</t>
  </si>
  <si>
    <t>RPT_F9_ProfitY|NETCONTACTRESERVE</t>
  </si>
  <si>
    <t>RPT_F9_ProfitS|NETCONTACTRESERVE_S</t>
  </si>
  <si>
    <t>RPT_F9_ProfitY|POLICYDIVIEXP</t>
  </si>
  <si>
    <t>RPT_F9_ProfitS|POLICYDIVIEXP_S</t>
  </si>
  <si>
    <t>RPT_F9_ProfitY|RIEXP</t>
  </si>
  <si>
    <t>RPT_F9_ProfitS|RIEXP_S</t>
  </si>
  <si>
    <t>RPT_F9_ProfitY|OTHEREXP</t>
  </si>
  <si>
    <t>RPT_F9_ProfitS|OTHEREXP_S</t>
  </si>
  <si>
    <t>RPT_F9_ProfitY|OPERATETAX</t>
  </si>
  <si>
    <t>RPT_F9_ProfitS|OPERATETAX_S</t>
  </si>
  <si>
    <t>RPT_F9_ProfitY|SALEEXP</t>
  </si>
  <si>
    <t>RPT_F9_ProfitS|SALEEXP_S</t>
  </si>
  <si>
    <t>RPT_F9_ProfitY|MANAGEEXP</t>
  </si>
  <si>
    <t>RPT_F9_ProfitS|MANAGEEXP_S</t>
  </si>
  <si>
    <t>RPT_F9_ProfitY|FINANCEEXP</t>
  </si>
  <si>
    <t>RPT_F9_ProfitS|FINANCEEXP_S</t>
  </si>
  <si>
    <t>RPT_F9_ProfitY|QZLXFY</t>
  </si>
  <si>
    <t>RPT_F9_ProfitS|QZLXFY_S</t>
  </si>
  <si>
    <t>RPT_F9_ProfitY|QZLXSR</t>
  </si>
  <si>
    <t>RPT_F9_ProfitS|QZLXSR_S</t>
  </si>
  <si>
    <t>RPT_F9_ProfitY|ASSETDEVALUELOSS</t>
  </si>
  <si>
    <t>RPT_F9_ProfitS|ASSETDEVALUELOSS_S</t>
  </si>
  <si>
    <t>RPT_F9_ProfitY|XYZJSZ</t>
  </si>
  <si>
    <t>RPT_F9_ProfitS|XYZJSZ_S</t>
  </si>
  <si>
    <t>RPT_F9_ProfitY|TOTALOPERATEEXPOTHER</t>
  </si>
  <si>
    <t>RPT_F9_ProfitS|TOTALOPERATEEXPOTHER_S</t>
  </si>
  <si>
    <t>RPT_F9_ProfitY|FVALUEINCOME</t>
  </si>
  <si>
    <t>RPT_F9_ProfitS|FVALUEINCOME_S</t>
  </si>
  <si>
    <t>RPT_F9_ProfitY|INVESTINCOME</t>
  </si>
  <si>
    <t>RPT_F9_ProfitS|INVESTINCOME_S</t>
  </si>
  <si>
    <t>RPT_F9_ProfitY|INVESTJOINTINCOME</t>
  </si>
  <si>
    <t>RPT_F9_ProfitS|INVESTJOINTINCOME_S</t>
  </si>
  <si>
    <t>RPT_F9_ProfitY|JCKTQSY</t>
  </si>
  <si>
    <t>RPT_F9_ProfitS|JCKTQSY_S</t>
  </si>
  <si>
    <t>RPT_F9_ProfitY|EXCHANGEINCOME</t>
  </si>
  <si>
    <t>RPT_F9_ProfitS|EXCHANGEINCOME_S</t>
  </si>
  <si>
    <t>RPT_F9_ProfitY|ADISPOSALINCOME</t>
  </si>
  <si>
    <t>RPT_F9_ProfitS|ADISPOSALINCOME_S</t>
  </si>
  <si>
    <t>RPT_F9_ProfitY|MIOTHERINCOME</t>
  </si>
  <si>
    <t>RPT_F9_ProfitS|MIOTHERINCOME_S</t>
  </si>
  <si>
    <t>RPT_F9_ProfitY|OPERATEPROFITOTHER</t>
  </si>
  <si>
    <t>RPT_F9_ProfitS|OPERATEPROFITOTHER_S</t>
  </si>
  <si>
    <t>RPT_F9_ProfitY|OPERATEPROFITBALANCE</t>
  </si>
  <si>
    <t>RPT_F9_ProfitS|OPERATEPROFITBALANCE_S</t>
  </si>
  <si>
    <t>RPT_F9_ProfitY|OPERATEPROFIT</t>
  </si>
  <si>
    <t>RPT_F9_ProfitS|OPERATEPROFIT_S</t>
  </si>
  <si>
    <t>RPT_F9_ProfitY|NONOPERATEREVE</t>
  </si>
  <si>
    <t>RPT_F9_ProfitS|NONOPERATEREVE_S</t>
  </si>
  <si>
    <t>RPT_F9_ProfitY|FLDZCCZLD</t>
  </si>
  <si>
    <t>RPT_F9_ProfitS|NONOPERATEEXP_S</t>
  </si>
  <si>
    <t>RPT_F9_ProfitY|NONOPERATEEXP</t>
  </si>
  <si>
    <t>RPT_F9_ProfitS|NONLASSETNETLOSS_S</t>
  </si>
  <si>
    <t>RPT_F9_ProfitY|NONLASSETNETLOSS</t>
  </si>
  <si>
    <t>RPT_F9_ProfitS|SUMPROFITOTHER_S</t>
  </si>
  <si>
    <t>RPT_F9_ProfitY|SUMPROFITOTHER</t>
  </si>
  <si>
    <t>RPT_F9_ProfitS|SUMPROFITBALANCE_S</t>
  </si>
  <si>
    <t>RPT_F9_ProfitY|SUMPROFITBALANCE</t>
  </si>
  <si>
    <t>RPT_F9_ProfitS|SUMPROFIT_S</t>
  </si>
  <si>
    <t>RPT_F9_ProfitY|SUMPROFIT</t>
  </si>
  <si>
    <t>RPT_F9_ProfitS|INCOMETAX_S</t>
  </si>
  <si>
    <t>RPT_F9_ProfitY|INCOMETAX</t>
  </si>
  <si>
    <t>RPT_F9_ProfitS|UNCONFIRMINVLOSS_S</t>
  </si>
  <si>
    <t>RPT_F9_ProfitY|UNCONFIRMINVLOSS</t>
  </si>
  <si>
    <t>RPT_F9_ProfitS|NETPROFITOTHER1_S</t>
  </si>
  <si>
    <t>RPT_F9_ProfitY|NETPROFITOTHER1</t>
  </si>
  <si>
    <t>RPT_F9_ProfitS|NETPROFITBALANCE2_S</t>
  </si>
  <si>
    <t>RPT_F9_ProfitY|NETPROFITBALANCE2</t>
  </si>
  <si>
    <t>RPT_F9_ProfitS|NETPROFIT_S</t>
  </si>
  <si>
    <t>RPT_F9_ProfitY|NETPROFIT</t>
  </si>
  <si>
    <t>RPT_F9_ProfitS|MINORITYINCOME_S</t>
  </si>
  <si>
    <t>RPT_F9_ProfitY|MINORITYINCOME</t>
  </si>
  <si>
    <t>RPT_F9_ProfitS|PARENTNETPROFIT_S</t>
  </si>
  <si>
    <t>RPT_F9_ProfitY|PARENTNETPROFIT</t>
  </si>
  <si>
    <t>RPT_F9_ProfitS|BASICEPS_S</t>
  </si>
  <si>
    <t>RPT_F9_ProfitY|BASICEPS</t>
  </si>
  <si>
    <t>RPT_F9_ProfitS|DILUTEDEPS_S</t>
  </si>
  <si>
    <t>RPT_F9_ProfitY|DILUTEDEPS</t>
  </si>
  <si>
    <t>RPT_F9_BalanceY|MONETARYFUND</t>
  </si>
  <si>
    <t>RPT_F9_BalanceY|SETTLEMENTPROVISION</t>
  </si>
  <si>
    <t>RPT_F9_BalanceY|LENDFUND</t>
  </si>
  <si>
    <t>RPT_F9_BalanceY|MARGINOUTFUND</t>
  </si>
  <si>
    <t>RPT_F9_BalanceY|FVALUEFASSET</t>
  </si>
  <si>
    <t>RPT_F9_BalanceY|TRADEFASSET</t>
  </si>
  <si>
    <t>RPT_F9_BalanceY|DEFINEFVALUEFASSET</t>
  </si>
  <si>
    <t>RPT_F9_BalanceY|DERIVEFASSET</t>
  </si>
  <si>
    <t>RPT_F9_BalanceY|ACCOUNTBILLREC</t>
  </si>
  <si>
    <t>RPT_F9_BalanceY|BILLREC</t>
  </si>
  <si>
    <t>RPT_F9_BalanceY|ACCOUNTREC</t>
  </si>
  <si>
    <t>RPT_F9_BalanceY|ADVANCEPAY</t>
  </si>
  <si>
    <t>RPT_F9_BalanceY|PREMIUMREC</t>
  </si>
  <si>
    <t>RPT_F9_BalanceY|RIREC</t>
  </si>
  <si>
    <t>RPT_F9_BalanceY|RICONTACTRESERVEREC</t>
  </si>
  <si>
    <t>RPT_F9_BalanceY|INTERESTREC</t>
  </si>
  <si>
    <t>RPT_F9_BalanceY|DIVIDENDREC</t>
  </si>
  <si>
    <t>RPT_F9_BalanceY|OTHERREC</t>
  </si>
  <si>
    <t>RPT_F9_BalanceY|EXPORTREBATEREC</t>
  </si>
  <si>
    <t>RPT_F9_BalanceY|SUBSIDYREC</t>
  </si>
  <si>
    <t>RPT_F9_BalanceY|INTERNALREC</t>
  </si>
  <si>
    <t>RPT_F9_BalanceY|BUYSELLBACKFASSET</t>
  </si>
  <si>
    <t>RPT_F9_BalanceY|AMORCOSTFASSET</t>
  </si>
  <si>
    <t>RPT_F9_BalanceY|FVALUECOMPFASSET</t>
  </si>
  <si>
    <t>RPT_F9_BalanceY|INVENTORY</t>
  </si>
  <si>
    <t>RPT_F9_BalanceY|CONTRACTASSET</t>
  </si>
  <si>
    <t>RPT_F9_BalanceY|CLHELDSALEASS</t>
  </si>
  <si>
    <t>RPT_F9_BalanceY|NONLASSETONEYEAR</t>
  </si>
  <si>
    <t>RPT_F9_BalanceY|DLYWZC</t>
  </si>
  <si>
    <t>RPT_F9_BalanceY|OTHERLASSET</t>
  </si>
  <si>
    <t>RPT_F9_BalanceY|LASSETOTHER</t>
  </si>
  <si>
    <t>RPT_F9_BalanceY|LASSETBALANCE</t>
  </si>
  <si>
    <t>RPT_F9_BalanceY|SUMLASSET</t>
  </si>
  <si>
    <t>RPT_F9_BalanceY|LOANADVANCES</t>
  </si>
  <si>
    <t>RPT_F9_BalanceY|CREDINV</t>
  </si>
  <si>
    <t>RPT_F9_BalanceY|OTHCREDINV</t>
  </si>
  <si>
    <t>RPT_F9_BalanceY|AMORCOSTFASSETFLD</t>
  </si>
  <si>
    <t>RPT_F9_BalanceY|FVALUECOMPFASSETFLD</t>
  </si>
  <si>
    <t>RPT_F9_BalanceY|SALEABLEFASSET</t>
  </si>
  <si>
    <t>RPT_F9_BalanceY|HELDMATURITYINV</t>
  </si>
  <si>
    <t>RPT_F9_BalanceY|LTREC</t>
  </si>
  <si>
    <t>RPT_F9_BalanceY|LTEQUITYINV</t>
  </si>
  <si>
    <t>RPT_F9_BalanceY|OTHEREQUITYINV</t>
  </si>
  <si>
    <t>RPT_F9_BalanceY|OTHERNONFASSET</t>
  </si>
  <si>
    <t>RPT_F9_BalanceY|ESTATEINVEST</t>
  </si>
  <si>
    <t>RPT_F9_BalanceY|FIXEDASSET</t>
  </si>
  <si>
    <t>RPT_F9_BalanceY|CONSTRUCTIONPROGRESS</t>
  </si>
  <si>
    <t>RPT_F9_BalanceY|CONSTRUCTIONMATERIAL</t>
  </si>
  <si>
    <t>RPT_F9_BalanceY|LIQUIDATEFIXEDASSET</t>
  </si>
  <si>
    <t>RPT_F9_BalanceY|PRODUCTBIOLOGYASSET</t>
  </si>
  <si>
    <t>RPT_F9_BalanceY|OILGASASSET</t>
  </si>
  <si>
    <t>RPT_F9_BalanceY|INTANGIBLEASSET</t>
  </si>
  <si>
    <t>RPT_F9_BalanceY|DEVELOPEXP</t>
  </si>
  <si>
    <t>RPT_F9_BalanceY|GOODWILL</t>
  </si>
  <si>
    <t>RPT_F9_BalanceY|LTDEFERASSET</t>
  </si>
  <si>
    <t>RPT_F9_BalanceY|DEFERINCOMETAXASSET</t>
  </si>
  <si>
    <t>RPT_F9_BalanceY|OTHERNONLASSET</t>
  </si>
  <si>
    <t>RPT_F9_BalanceY|NONLASSETOTHER</t>
  </si>
  <si>
    <t>RPT_F9_BalanceY|NONLASSETBALANCE</t>
  </si>
  <si>
    <t>RPT_F9_BalanceY|SUMNONLASSET</t>
  </si>
  <si>
    <t>RPT_F9_BalanceY|ASSETOTHER</t>
  </si>
  <si>
    <t>RPT_F9_BalanceY|ASSETBALANCE</t>
  </si>
  <si>
    <t>RPT_F9_BalanceY|SUMASSET</t>
  </si>
  <si>
    <t>RPT_F9_BalanceY|STBORROW</t>
  </si>
  <si>
    <t>RPT_F9_BalanceY|BORROWFROMCBANK</t>
  </si>
  <si>
    <t>RPT_F9_BalanceY|DEPOSIT</t>
  </si>
  <si>
    <t>RPT_F9_BalanceY|BORROWFUND</t>
  </si>
  <si>
    <t>RPT_F9_BalanceY|FVALUEFLIAB</t>
  </si>
  <si>
    <t>RPT_F9_BalanceY|TRADEFLIAB</t>
  </si>
  <si>
    <t>RPT_F9_BalanceY|DEFINEFVALUEFLIAB</t>
  </si>
  <si>
    <t>RPT_F9_BalanceY|DERIVEFLIAB</t>
  </si>
  <si>
    <t>RPT_F9_BalanceY|ACCOUNTBILLPAY</t>
  </si>
  <si>
    <t>RPT_F9_BalanceY|BILLPAY</t>
  </si>
  <si>
    <t>RPT_F9_BalanceY|ACCOUNTPAY</t>
  </si>
  <si>
    <t>RPT_F9_BalanceY|ADVANCERECEIVE</t>
  </si>
  <si>
    <t>RPT_F9_BalanceY|CONTRACTLIAB</t>
  </si>
  <si>
    <t>RPT_F9_BalanceY|SELLBUYBACKFASSET</t>
  </si>
  <si>
    <t>RPT_F9_BalanceY|COMMPAY</t>
  </si>
  <si>
    <t>RPT_F9_BalanceY|SALARYPAY</t>
  </si>
  <si>
    <t>RPT_F9_BalanceY|TAXPAY</t>
  </si>
  <si>
    <t>RPT_F9_BalanceY|INTERESTPAY</t>
  </si>
  <si>
    <t>RPT_F9_BalanceY|DIVIDENDPAY</t>
  </si>
  <si>
    <t>RPT_F9_BalanceY|RIPAY</t>
  </si>
  <si>
    <t>RPT_F9_BalanceY|INTERNALPAY</t>
  </si>
  <si>
    <t>RPT_F9_BalanceY|OTHERPAY</t>
  </si>
  <si>
    <t>RPT_F9_BalanceY|ANTICIPATELLIAB</t>
  </si>
  <si>
    <t>RPT_F9_BalanceY|CONTACTRESERVE</t>
  </si>
  <si>
    <t>RPT_F9_BalanceY|AGENTTRADESECURITY</t>
  </si>
  <si>
    <t>RPT_F9_BalanceY|AGENTUWSECURITY</t>
  </si>
  <si>
    <t>RPT_F9_BalanceY|DEFERINCOMEONEYEAR</t>
  </si>
  <si>
    <t>RPT_F9_BalanceY|AMORCOSTFLIAB</t>
  </si>
  <si>
    <t>RPT_F9_BalanceY|STBONDREC</t>
  </si>
  <si>
    <t>RPT_F9_BalanceY|CLHELDSALELIAB</t>
  </si>
  <si>
    <t>RPT_F9_BalanceY|NONLLIABONEYEAR</t>
  </si>
  <si>
    <t>RPT_F9_BalanceY|DLYWFZ</t>
  </si>
  <si>
    <t>RPT_F9_BalanceY|OTHERLLIAB</t>
  </si>
  <si>
    <t>RPT_F9_BalanceY|LLIABOTHER</t>
  </si>
  <si>
    <t>RPT_F9_BalanceY|LLIABBALANCE</t>
  </si>
  <si>
    <t>RPT_F9_BalanceY|SUMLLIAB</t>
  </si>
  <si>
    <t>RPT_F9_BalanceY|LTBORROW</t>
  </si>
  <si>
    <t>RPT_F9_BalanceY|AMORCOSTFLIABFLD</t>
  </si>
  <si>
    <t>RPT_F9_BalanceY|BONDPAY</t>
  </si>
  <si>
    <t>RPT_F9_BalanceY|YXGYF</t>
  </si>
  <si>
    <t>RPT_F9_BalanceY|YXZYF</t>
  </si>
  <si>
    <t>RPT_F9_BalanceY|LTACCOUNTPAY</t>
  </si>
  <si>
    <t>RPT_F9_BalanceY|LTSALARYPAY</t>
  </si>
  <si>
    <t>RPT_F9_BalanceY|SPECIALPAY</t>
  </si>
  <si>
    <t>RPT_F9_BalanceY|ANTICIPATELIAB</t>
  </si>
  <si>
    <t>RPT_F9_CashFlowS|SALEGOODSSERVICEREC_S</t>
  </si>
  <si>
    <t>RPT_F9_BalanceY|DEFERINCOMETAXLIAB</t>
  </si>
  <si>
    <t>RPT_F9_CashFlowS|NIDEPOSIT_S</t>
  </si>
  <si>
    <t>RPT_F9_BalanceY|DEFERINCOME</t>
  </si>
  <si>
    <t>RPT_F9_CashFlowS|NIBORROWFROMCBANK_S</t>
  </si>
  <si>
    <t>RPT_F9_BalanceY|OTHERNONLLIAB</t>
  </si>
  <si>
    <t>RPT_F9_CashFlowS|NIBORROWFROMFI_S</t>
  </si>
  <si>
    <t>RPT_F9_BalanceY|NONLLIABOTHER</t>
  </si>
  <si>
    <t>RPT_F9_CashFlowS|PREMIUMREC_S</t>
  </si>
  <si>
    <t>RPT_F9_BalanceY|NONLLIABBALANCE</t>
  </si>
  <si>
    <t>RPT_F9_CashFlowS|NETRIREC_S</t>
  </si>
  <si>
    <t>RPT_F9_BalanceY|SUMNONLLIAB</t>
  </si>
  <si>
    <t>RPT_F9_CashFlowS|NIINSUREDDEPOSITINV_S</t>
  </si>
  <si>
    <t>RPT_F9_BalanceY|LIABOTHER</t>
  </si>
  <si>
    <t>RPT_F9_CashFlowS|NIDISPTRADEFASSET_S</t>
  </si>
  <si>
    <t>RPT_F9_BalanceY|LIABBALANCE</t>
  </si>
  <si>
    <t>RPT_F9_CashFlowS|INTANDCOMMREC_S</t>
  </si>
  <si>
    <t>RPT_F9_BalanceY|SUMLIAB</t>
  </si>
  <si>
    <t>RPT_F9_CashFlowS|NIBORROWFUND_S</t>
  </si>
  <si>
    <t>RPT_F9_CashFlowS|NDLOANADVANCES_S</t>
  </si>
  <si>
    <t>RPT_F9_BalanceY|SHARECAPITAL</t>
  </si>
  <si>
    <t>RPT_F9_CashFlowS|NIBUYBACKFUND_S</t>
  </si>
  <si>
    <t>RPT_F9_BalanceY|QTQYGJ</t>
  </si>
  <si>
    <t>RPT_F9_CashFlowS|TAXRETURNREC_S</t>
  </si>
  <si>
    <t>RPT_F9_BalanceY|YXGQY</t>
  </si>
  <si>
    <t>RPT_F9_CashFlowS|OTHEROPERATEREC_S</t>
  </si>
  <si>
    <t>RPT_F9_BalanceY|YXZQY</t>
  </si>
  <si>
    <t>RPT_F9_CashFlowS|OPERATEFLOWINOTHER_S</t>
  </si>
  <si>
    <t>RPT_F9_BalanceY|QT</t>
  </si>
  <si>
    <t>RPT_F9_CashFlowS|OPERATEFLOWINBALANCE_S</t>
  </si>
  <si>
    <t>RPT_F9_BalanceY|CAPITALRESERVE</t>
  </si>
  <si>
    <t>RPT_F9_CashFlowS|SUMOPERATEFLOWIN_S</t>
  </si>
  <si>
    <t>RPT_F9_BalanceY|INVENTORYSHARE</t>
  </si>
  <si>
    <t>RPT_F9_CashFlowS|BUYGOODSSERVICEPAY_S</t>
  </si>
  <si>
    <t>RPT_F9_BalanceY|OTHERCINCOME</t>
  </si>
  <si>
    <t>RPT_F9_CashFlowS|NILOANADVANCES_S</t>
  </si>
  <si>
    <t>RPT_F9_BalanceY|SPECIALRESERVE</t>
  </si>
  <si>
    <t>RPT_F9_CashFlowS|NIDEPOSITINCBANKFI_S</t>
  </si>
  <si>
    <t>RPT_F9_BalanceY|SURPLUSRESERVE</t>
  </si>
  <si>
    <t>RPT_F9_CashFlowS|INDEMNITYPAY_S</t>
  </si>
  <si>
    <t>RPT_F9_BalanceY|GENERALRISKPREPARE</t>
  </si>
  <si>
    <t>RPT_F9_CashFlowS|INTANDCOMMPAY_S</t>
  </si>
  <si>
    <t>RPT_F9_BalanceY|UNCONFIRMINVLOSS</t>
  </si>
  <si>
    <t>RPT_F9_CashFlowS|DIVIPAY_S</t>
  </si>
  <si>
    <t>RPT_F9_BalanceY|RETAINEDEARNING</t>
  </si>
  <si>
    <t>RPT_F9_CashFlowS|EMPLOYEEPAY_S</t>
  </si>
  <si>
    <t>RPT_F9_BalanceY|PLANCASHDIVI</t>
  </si>
  <si>
    <t>RPT_F9_CashFlowS|TAXPAY_S</t>
  </si>
  <si>
    <t>RPT_F9_BalanceY|DIFFCONVERSIONFC</t>
  </si>
  <si>
    <t>RPT_F9_CashFlowS|OTHEROPERATEPAY_S</t>
  </si>
  <si>
    <t>RPT_F9_BalanceY|PARENTEQUITYOTHER</t>
  </si>
  <si>
    <t>RPT_F9_CashFlowS|OPERATEFLOWOUTOTHER_S</t>
  </si>
  <si>
    <t>RPT_F9_BalanceY|PARENTEQUITYBALANCE</t>
  </si>
  <si>
    <t>RPT_F9_CashFlowS|OPERATEFLOWOUTBALANCE_S</t>
  </si>
  <si>
    <t>RPT_F9_BalanceY|SUMPARENTEQUITY</t>
  </si>
  <si>
    <t>RPT_F9_CashFlowS|SUMOPERATEFLOWOUT_S</t>
  </si>
  <si>
    <t>RPT_F9_BalanceY|MINORITYEQUITY</t>
  </si>
  <si>
    <t>RPT_F9_CashFlowS|OPERATEFLOWOTHER_S</t>
  </si>
  <si>
    <t>RPT_F9_BalanceY|SHEQUITYOTHER</t>
  </si>
  <si>
    <t>RPT_F9_CashFlowS|OPERATEFLOWBALANCE_S</t>
  </si>
  <si>
    <t>RPT_F9_BalanceY|SHEQUITYBALANCE</t>
  </si>
  <si>
    <t>RPT_F9_CashFlowS|NETOPERATECASHFLOW_S</t>
  </si>
  <si>
    <t>RPT_F9_BalanceY|SUMSHEQUITY</t>
  </si>
  <si>
    <t>RPT_F9_BalanceY|LIABSHEQUITYOTHER</t>
  </si>
  <si>
    <t>RPT_F9_CashFlowS|DISPOSALINVREC_S</t>
  </si>
  <si>
    <t>RPT_F9_BalanceY|LIABSHEQUITYBALANCE</t>
  </si>
  <si>
    <t>RPT_F9_CashFlowS|INVINCOMEREC_S</t>
  </si>
  <si>
    <t>RPT_F9_BalanceY|SUMLIABSHEQUITY</t>
  </si>
  <si>
    <t>RPT_F9_CashFlowS|DISPFILASSETREC_S</t>
  </si>
  <si>
    <t>RPT_F9_CashFlowS|DISPSUBSIDIARYREC_S</t>
  </si>
  <si>
    <t>RPT_F9_CashFlowS|REDUCEPLEDGETDEPOSIT_S</t>
  </si>
  <si>
    <t>RPT_F9_CashFlowS|OTHERINVREC_S</t>
  </si>
  <si>
    <t>RPT_F9_CashFlowY|SALEGOODSSERVICEREC</t>
  </si>
  <si>
    <t>RPT_F9_CashFlowS|INVFLOWINOTHER_S</t>
  </si>
  <si>
    <t>RPT_F9_CashFlowY|NIDEPOSIT</t>
  </si>
  <si>
    <t>RPT_F9_CashFlowS|INVFLOWINBALANCE_S</t>
  </si>
  <si>
    <t>RPT_F9_CashFlowY|NIBORROWFROMCBANK</t>
  </si>
  <si>
    <t>RPT_F9_CashFlowS|SUMINVFLOWIN_S</t>
  </si>
  <si>
    <t>RPT_F9_CashFlowY|NIBORROWFROMFI</t>
  </si>
  <si>
    <t>RPT_F9_CashFlowS|BUYFILASSETPAY_S</t>
  </si>
  <si>
    <t>RPT_F9_CashFlowY|PREMIUMREC</t>
  </si>
  <si>
    <t>RPT_F9_CashFlowS|INVPAY_S</t>
  </si>
  <si>
    <t>RPT_F9_CashFlowY|NETRIREC</t>
  </si>
  <si>
    <t>RPT_F9_CashFlowS|NIPLEDGELOAN_S</t>
  </si>
  <si>
    <t>RPT_F9_CashFlowY|NIINSUREDDEPOSITINV</t>
  </si>
  <si>
    <t>RPT_F9_CashFlowS|GETSUBSIDIARYPAY_S</t>
  </si>
  <si>
    <t>RPT_F9_CashFlowY|NIDISPTRADEFASSET</t>
  </si>
  <si>
    <t>RPT_F9_CashFlowS|ADDPLEDGETDEPOSIT_S</t>
  </si>
  <si>
    <t>RPT_F9_CashFlowY|INTANDCOMMREC</t>
  </si>
  <si>
    <t>RPT_F9_CashFlowS|OTHERINVPAY_S</t>
  </si>
  <si>
    <t>RPT_F9_CashFlowY|NIBORROWFUND</t>
  </si>
  <si>
    <t>RPT_F9_CashFlowS|INVFLOWOUTOTHER_S</t>
  </si>
  <si>
    <t>RPT_F9_CashFlowY|NDLOANADVANCES</t>
  </si>
  <si>
    <t>RPT_F9_CashFlowS|INVFLOWOUTBALANCE_S</t>
  </si>
  <si>
    <t>RPT_F9_CashFlowY|NIBUYBACKFUND</t>
  </si>
  <si>
    <t>RPT_F9_CashFlowS|SUMINVFLOWOUT_S</t>
  </si>
  <si>
    <t>RPT_F9_CashFlowY|TAXRETURNREC</t>
  </si>
  <si>
    <t>RPT_F9_CashFlowS|INVFLOWOTHER_S</t>
  </si>
  <si>
    <t>RPT_F9_CashFlowY|OTHEROPERATEREC</t>
  </si>
  <si>
    <t>RPT_F9_CashFlowS|INVFLOWBALANCE_S</t>
  </si>
  <si>
    <t>RPT_F9_CashFlowY|OPERATEFLOWINOTHER</t>
  </si>
  <si>
    <t>RPT_F9_CashFlowS|NETINVCASHFLOW_S</t>
  </si>
  <si>
    <t>RPT_F9_CashFlowY|OPERATEFLOWINBALANCE</t>
  </si>
  <si>
    <t>RPT_F9_CashFlowY|SUMOPERATEFLOWIN</t>
  </si>
  <si>
    <t>RPT_F9_CashFlowS|ACCEPTINVREC_S</t>
  </si>
  <si>
    <t>RPT_F9_CashFlowY|BUYGOODSSERVICEPAY</t>
  </si>
  <si>
    <t>RPT_F9_CashFlowS|SUBSIDIARYACCEPT_S</t>
  </si>
  <si>
    <t>RPT_F9_CashFlowY|NILOANADVANCES</t>
  </si>
  <si>
    <t>RPT_F9_CashFlowS|LOANREC_S</t>
  </si>
  <si>
    <t>RPT_F9_CashFlowY|NIDEPOSITINCBANKFI</t>
  </si>
  <si>
    <t>RPT_F9_CashFlowS|ISSUEBONDREC_S</t>
  </si>
  <si>
    <t>RPT_F9_CashFlowY|INDEMNITYPAY</t>
  </si>
  <si>
    <t>RPT_F9_CashFlowS|OTHERFINAREC_S</t>
  </si>
  <si>
    <t>RPT_F9_CashFlowY|INTANDCOMMPAY</t>
  </si>
  <si>
    <t>RPT_F9_CashFlowS|FINAFLOWINOTHER_S</t>
  </si>
  <si>
    <t>RPT_F9_CashFlowY|DIVIPAY</t>
  </si>
  <si>
    <t>RPT_F9_CashFlowS|FINAFLOWINBALANCE_S</t>
  </si>
  <si>
    <t>RPT_F9_CashFlowY|EMPLOYEEPAY</t>
  </si>
  <si>
    <t>RPT_F9_CashFlowS|SUMFINAFLOWIN_S</t>
  </si>
  <si>
    <t>RPT_F9_CashFlowY|TAXPAY</t>
  </si>
  <si>
    <t>RPT_F9_CashFlowS|REPAYDEBTPAY_S</t>
  </si>
  <si>
    <t>RPT_F9_CashFlowY|OTHEROPERATEPAY</t>
  </si>
  <si>
    <t>RPT_F9_CashFlowS|DIVIPROFITORINTPAY_S</t>
  </si>
  <si>
    <t>RPT_F9_CashFlowY|OPERATEFLOWOUTOTHER</t>
  </si>
  <si>
    <t>RPT_F9_CashFlowS|SUBSIDIARYPAY_S</t>
  </si>
  <si>
    <t>RPT_F9_CashFlowY|OPERATEFLOWOUTBALANCE</t>
  </si>
  <si>
    <t>RPT_F9_CashFlowS|BUYSUBSIDIARYPAY_S</t>
  </si>
  <si>
    <t>RPT_F9_CashFlowY|SUMOPERATEFLOWOUT</t>
  </si>
  <si>
    <t>RPT_F9_CashFlowS|OTHERFINAPAY_S</t>
  </si>
  <si>
    <t>RPT_F9_CashFlowY|OPERATEFLOWOTHER</t>
  </si>
  <si>
    <t>RPT_F9_CashFlowS|SUBSIDIARYREDUCTCAPITAL_S</t>
  </si>
  <si>
    <t>RPT_F9_CashFlowY|OPERATEFLOWBALANCE</t>
  </si>
  <si>
    <t>RPT_F9_CashFlowS|FINAFLOWOUTOTHER_S</t>
  </si>
  <si>
    <t>RPT_F9_CashFlowY|NETOPERATECASHFLOW</t>
  </si>
  <si>
    <t>RPT_F9_CashFlowS|FINAFLOWOUTBALANCE_S</t>
  </si>
  <si>
    <t>RPT_F9_CashFlowS|SUMFINAFLOWOUT_S</t>
  </si>
  <si>
    <t>RPT_F9_CashFlowY|DISPOSALINVREC</t>
  </si>
  <si>
    <t>RPT_F9_CashFlowS|FINAFLOWOTHER_S</t>
  </si>
  <si>
    <t>RPT_F9_CashFlowY|INVINCOMEREC</t>
  </si>
  <si>
    <t>RPT_F9_CashFlowS|FINAFLOWBALANCE_S</t>
  </si>
  <si>
    <t>RPT_F9_CashFlowY|DISPFILASSETREC</t>
  </si>
  <si>
    <t>RPT_F9_CashFlowS|NETFINACASHFLOW_S</t>
  </si>
  <si>
    <t>RPT_F9_CashFlowY|DISPSUBSIDIARYREC</t>
  </si>
  <si>
    <t>RPT_F9_CashFlowY|REDUCEPLEDGETDEPOSIT</t>
  </si>
  <si>
    <t>RPT_F9_CashFlowS|EFFECTEXCHANGERATE_S</t>
  </si>
  <si>
    <t>RPT_F9_CashFlowY|OTHERINVREC</t>
  </si>
  <si>
    <t>RPT_F9_CashFlowS|NICASHEQUIOTHER_S</t>
  </si>
  <si>
    <t>RPT_F9_CashFlowY|INVFLOWINOTHER</t>
  </si>
  <si>
    <t>RPT_F9_CashFlowS|NICASHEQUIBALANCE_S</t>
  </si>
  <si>
    <t>RPT_F9_CashFlowY|INVFLOWINBALANCE</t>
  </si>
  <si>
    <t>RPT_F9_CashFlowS|NICASHEQUI_S</t>
  </si>
  <si>
    <t>RPT_F9_CashFlowY|SUMINVFLOWIN</t>
  </si>
  <si>
    <t>RPT_F9_CashFlowS|CASHEQUIBEGINNING_S</t>
  </si>
  <si>
    <t>RPT_F9_CashFlowY|BUYFILASSETPAY</t>
  </si>
  <si>
    <t>RPT_F9_CashFlowS|CASHEQUIENDINGOTHER_S</t>
  </si>
  <si>
    <t>RPT_F9_CashFlowY|INVPAY</t>
  </si>
  <si>
    <t>RPT_F9_CashFlowS|CASHEQUIENDINGBALANCE_S</t>
  </si>
  <si>
    <t>RPT_F9_CashFlowY|NIPLEDGELOAN</t>
  </si>
  <si>
    <t>RPT_F9_CashFlowS|CASHEQUIENDING_S</t>
  </si>
  <si>
    <t>RPT_F9_CashFlowY|GETSUBSIDIARYPAY</t>
  </si>
  <si>
    <t>RPT_F9_CashFlowY|ADDPLEDGETDEPOSIT</t>
  </si>
  <si>
    <t>RPT_F9_CashFlowY|OTHERINVPAY</t>
  </si>
  <si>
    <t>RPT_F9_CashFlowY|INVFLOWOUTOTHER</t>
  </si>
  <si>
    <t>RPT_F9_CashFlowY|INVFLOWOUTBALANCE</t>
  </si>
  <si>
    <t>RPT_F9_CashFlowY|SUMINVFLOWOUT</t>
  </si>
  <si>
    <t>RPT_F9_CashFlowY|INVFLOWOTHER</t>
  </si>
  <si>
    <t>RPT_F9_CashFlowY|INVFLOWBALANCE</t>
  </si>
  <si>
    <t>RPT_F9_CashFlowY|NETINVCASHFLOW</t>
  </si>
  <si>
    <t>RPT_F9_CashFlowY|ACCEPTINVREC</t>
  </si>
  <si>
    <t>RPT_F9_CashFlowY|SUBSIDIARYACCEPT</t>
  </si>
  <si>
    <t>RPT_F9_CashFlowY|LOANREC</t>
  </si>
  <si>
    <t>RPT_F9_CashFlowY|ISSUEBONDREC</t>
  </si>
  <si>
    <t>RPT_F9_CashFlowY|OTHERFINAREC</t>
  </si>
  <si>
    <t>RPT_F9_CashFlowY|FINAFLOWINOTHER</t>
  </si>
  <si>
    <t>RPT_F9_CashFlowY|FINAFLOWINBALANCE</t>
  </si>
  <si>
    <t>RPT_F9_CashFlowY|SUMFINAFLOWIN</t>
  </si>
  <si>
    <t>RPT_F9_CashFlowY|REPAYDEBTPAY</t>
  </si>
  <si>
    <t>RPT_F9_CashFlowY|DIVIPROFITORINTPAY</t>
  </si>
  <si>
    <t>RPT_F9_CashFlowY|SUBSIDIARYPAY</t>
  </si>
  <si>
    <t>RPT_F9_CashFlowY|BUYSUBSIDIARYPAY</t>
  </si>
  <si>
    <t>RPT_F9_CashFlowY|OTHERFINAPAY</t>
  </si>
  <si>
    <t>RPT_F9_CashFlowY|SUBSIDIARYREDUCTCAPITAL</t>
  </si>
  <si>
    <t>RPT_F9_CashFlowY|FINAFLOWOUTOTHER</t>
  </si>
  <si>
    <t>RPT_F9_CashFlowY|FINAFLOWOUTBALANCE</t>
  </si>
  <si>
    <t>RPT_F9_CashFlowY|SUMFINAFLOWOUT</t>
  </si>
  <si>
    <t>RPT_F9_CashFlowY|FINAFLOWOTHER</t>
  </si>
  <si>
    <t>RPT_F9_CashFlowY|FINAFLOWBALANCE</t>
  </si>
  <si>
    <t>RPT_F9_CashFlowY|NETFINACASHFLOW</t>
  </si>
  <si>
    <t>RPT_F9_CashFlowY|EFFECTEXCHANGERATE</t>
  </si>
  <si>
    <t>RPT_F9_CashFlowY|NICASHEQUIOTHER</t>
  </si>
  <si>
    <t>RPT_F9_CashFlowY|NICASHEQUIBALANCE</t>
  </si>
  <si>
    <t>RPT_F9_CashFlowY|NICASHEQUI</t>
  </si>
  <si>
    <t>RPT_F9_CashFlowY|CASHEQUIBEGINNING</t>
  </si>
  <si>
    <t>RPT_F9_CashFlowY|CASHEQUIENDINGOTHER</t>
  </si>
  <si>
    <t>RPT_F9_CashFlowY|CASHEQUIENDINGBALANCE</t>
  </si>
  <si>
    <t>RPT_F9_CashFlowY|CASHEQUIENDING</t>
  </si>
  <si>
    <t>RPT_F9_CashFlowY|NETPROFIT</t>
  </si>
  <si>
    <t>RPT_F9_CashFlowY|ASSETDEVALUE</t>
  </si>
  <si>
    <t>RPT_F9_CashFlowY|FIXANDESTATEDEPR</t>
  </si>
  <si>
    <t>RPT_F9_CashFlowY|FIXEDASSETETCDEPR</t>
  </si>
  <si>
    <t>RPT_F9_CashFlowY|ESTATEINVESTDEPR</t>
  </si>
  <si>
    <t>RPT_F9_CashFlowY|INTANGIBLEASSETAMOR</t>
  </si>
  <si>
    <t>RPT_F9_CashFlowY|LTDEFEREXPAMOR</t>
  </si>
  <si>
    <t>RPT_F9_CashFlowY|DEFERINCOMEAMOR</t>
  </si>
  <si>
    <t>RPT_F9_CashFlowY|DEFEREXPREDUCE</t>
  </si>
  <si>
    <t>RPT_F9_CashFlowY|DRAWINGEXPADD</t>
  </si>
  <si>
    <t>RPT_F9_CashFlowY|DISPFILASSETLOSS</t>
  </si>
  <si>
    <t>RPT_F9_CashFlowY|FIXEDASSETLOSS</t>
  </si>
  <si>
    <t>RPT_F9_CashFlowY|FVALUELOSS</t>
  </si>
  <si>
    <t>RPT_F9_CashFlowY|FINANCEEXP</t>
  </si>
  <si>
    <t>RPT_F9_CashFlowY|INVLOSS</t>
  </si>
  <si>
    <t>RPT_F9_CashFlowY|DEFERTAX</t>
  </si>
  <si>
    <t>RPT_F9_CashFlowY|DEFERTAXASSETREDUCE</t>
  </si>
  <si>
    <t>RPT_F9_CashFlowY|DEFERTAXLIABADD</t>
  </si>
  <si>
    <t>RPT_F9_CashFlowY|ANTICIPATELIABADD</t>
  </si>
  <si>
    <t>RPT_F9_CashFlowY|INVENTORYREDUCE</t>
  </si>
  <si>
    <t>RPT_F9_CashFlowY|OPERATERECREDUCE</t>
  </si>
  <si>
    <t>RPT_F9_CashFlowY|OPERATEPAYADD</t>
  </si>
  <si>
    <t>RPT_F9_CashFlowY|OTHER</t>
  </si>
  <si>
    <t>RPT_F9_CashFlowY|DEC_JYHDCSDXJLLJEQT</t>
  </si>
  <si>
    <t>RPT_F9_CashFlowY|DEC_JYHDCSDXJLLJEPH</t>
  </si>
  <si>
    <t>RPT_F9_CashFlowY|DEC_JYHDCSDXJLLJE</t>
  </si>
  <si>
    <t>RPT_F9_CashFlowY|DEBTTOCAPITAL</t>
  </si>
  <si>
    <t>RPT_F9_CashFlowY|CBONEYEAR</t>
  </si>
  <si>
    <t>RPT_F9_CashFlowY|FINALEASEFIXEDASSET</t>
  </si>
  <si>
    <t>RPT_F9_CashFlowY|NOREFERCASHOTHER</t>
  </si>
  <si>
    <t>RPT_F9_CashFlowY|DEC_XJDQMYE</t>
  </si>
  <si>
    <t>RPT_F9_CashFlowY|DEC_XJDQCYE</t>
  </si>
  <si>
    <t>RPT_F9_CashFlowY|DEC_XJDJWQMYE</t>
  </si>
  <si>
    <t>RPT_F9_CashFlowY|DEC_XJDJWQCYE</t>
  </si>
  <si>
    <t>RPT_F9_CashFlowY|DEC_XJJZJECETS</t>
  </si>
  <si>
    <t>RPT_F9_CashFlowY|DEC_XJJZJECEHJ</t>
  </si>
  <si>
    <t>RPT_F9_CashFlowY|DEC_XJJXJDJWJZJ</t>
  </si>
  <si>
    <t>欢迎使用Choice数据财务估值模板V2.0</t>
  </si>
  <si>
    <t>本估值平台使用范围：</t>
  </si>
  <si>
    <r>
      <rPr>
        <sz val="10"/>
        <color indexed="8"/>
        <rFont val="Calibri"/>
        <family val="2"/>
      </rPr>
      <t>1</t>
    </r>
    <r>
      <rPr>
        <sz val="10"/>
        <color indexed="8"/>
        <rFont val="宋体"/>
        <family val="3"/>
        <charset val="134"/>
      </rPr>
      <t>、适用于生产性行业公司（银行、保险、证券除外）</t>
    </r>
  </si>
  <si>
    <r>
      <rPr>
        <sz val="10"/>
        <color indexed="8"/>
        <rFont val="Calibri"/>
        <family val="2"/>
      </rPr>
      <t>2</t>
    </r>
    <r>
      <rPr>
        <sz val="10"/>
        <color indexed="8"/>
        <rFont val="宋体"/>
        <family val="3"/>
        <charset val="134"/>
      </rPr>
      <t>、公司经营情况在常规条件下设计的，并不能解决所有问题。</t>
    </r>
  </si>
  <si>
    <t>Excel引擎的相关设置（模版正常工作的前提）：</t>
  </si>
  <si>
    <t>1、确认“自动报表运行期环境”软件安装。
2、确认Excel主菜单“工具→宏→安全性”选项框，安全级别设为“中”，并在打开估值模版时，选择“启用宏”。
3、确认Excel主菜单“工具→选项→重新计算”选项框，选择“自动重算”，保证参数改变时，表格自动更新数据。</t>
  </si>
  <si>
    <t>数据输入和引用说明：</t>
  </si>
  <si>
    <t>1、此模版的所有表格中，“橙色背景”的单元格是客户考虑可自定义亦可用默认数据，“黄色背景”的单元格是客户必须手动填入的数据，无背景色的带公式的单元格不可修改。
2、绝对估值和相对估值页中，“红色背景”的单元格，为估值的结果，让您一目了然。
3、数据的引用--模板中所有数据都可引用到其他excel数据簿，将绝对引用引用通过F4改为相对引用，拉拽选择框可完成成片数据引用。</t>
  </si>
  <si>
    <t>估值模板的结构说明（参照右图）：</t>
  </si>
  <si>
    <t>1、“历史年度”表中历史数据直接来自东财数据库。
2、根据“历史年度”生成“财务分析”表中的财务指标比例，用于参考预测。
3、由1,2和“假设”页数据自动生成“预测利润表”“预测资产负债表”“预测现金流量表”。                
4、根据三大报表生成财务分析中财务指标，同时生成图形分析页面图形。                                                                                                  5、根据以上预测出的表数据，进行绝对估值和相对估值并自动生成图形辅助分析。
6、“输出报告”页输出预测年份的数据。</t>
  </si>
  <si>
    <t>估值模型的设计原则：</t>
  </si>
  <si>
    <t>1、在数据的使用上，力求精确，没有忽略财务历史数据中的任何项目。
2、在计算的方法上，力求合理，使用经典估值理论，符合国内最新财务规范。
3、在结构的设计上，力求严谨，表格之间层层相连，逻辑准确严密，牵一发动全身，改变一个预测参数，其他相关数据都会随之更新。</t>
  </si>
  <si>
    <t>重要名词缩写的解释：</t>
  </si>
  <si>
    <t>DCF（Discounted Cash Flow）现金流折现模型</t>
  </si>
  <si>
    <t>FCFF（Free Cash Flow for Firm）公司自由现金流</t>
  </si>
  <si>
    <t>FCFE（Free Cash Flow for Equity）股东自由现金流</t>
  </si>
  <si>
    <t>DDM（Dividend Discounted Model）股利折现模型</t>
  </si>
  <si>
    <t>EVA（Economic Value Added）经济附加值</t>
  </si>
  <si>
    <t>AE（Abnormal Earning）超额利润</t>
  </si>
  <si>
    <t>WACC（Weighted Average Cost of Capital）加权平均资本成本</t>
  </si>
  <si>
    <t>流动资产</t>
  </si>
  <si>
    <t>新准则利润表</t>
  </si>
  <si>
    <t>一、营业总收入</t>
  </si>
  <si>
    <t xml:space="preserve">                营业收入</t>
  </si>
  <si>
    <t xml:space="preserve">                利息收入</t>
  </si>
  <si>
    <t xml:space="preserve">                已赚保费</t>
  </si>
  <si>
    <r>
      <rPr>
        <sz val="9"/>
        <rFont val="Arial"/>
        <family val="2"/>
      </rPr>
      <t xml:space="preserve">                </t>
    </r>
    <r>
      <rPr>
        <sz val="9"/>
        <rFont val="宋体"/>
        <family val="3"/>
        <charset val="134"/>
      </rPr>
      <t>手续费及佣金收入</t>
    </r>
  </si>
  <si>
    <r>
      <rPr>
        <sz val="9"/>
        <rFont val="Arial"/>
        <family val="2"/>
      </rPr>
      <t xml:space="preserve">                </t>
    </r>
    <r>
      <rPr>
        <sz val="9"/>
        <rFont val="宋体"/>
        <family val="3"/>
        <charset val="134"/>
      </rPr>
      <t>其他业务收入</t>
    </r>
  </si>
  <si>
    <t xml:space="preserve">        营业总收入其他项目</t>
  </si>
  <si>
    <t>二、营业总成本</t>
  </si>
  <si>
    <t xml:space="preserve">                营业成本</t>
  </si>
  <si>
    <t xml:space="preserve">                利息支出</t>
  </si>
  <si>
    <t xml:space="preserve">                手续费及佣金支出</t>
  </si>
  <si>
    <t xml:space="preserve">        研发费用</t>
  </si>
  <si>
    <t xml:space="preserve">                退保金</t>
  </si>
  <si>
    <t xml:space="preserve">                赔付支出净额</t>
  </si>
  <si>
    <t xml:space="preserve">                提取保险合同准备金净额</t>
  </si>
  <si>
    <t xml:space="preserve">                保单红利支出</t>
  </si>
  <si>
    <t xml:space="preserve">                分保费用</t>
  </si>
  <si>
    <t xml:space="preserve">        其他业务成本</t>
  </si>
  <si>
    <t xml:space="preserve">                营业税金及附加</t>
  </si>
  <si>
    <t xml:space="preserve">                销售费用</t>
  </si>
  <si>
    <t xml:space="preserve">                管理费用</t>
  </si>
  <si>
    <t xml:space="preserve">                财务费用</t>
  </si>
  <si>
    <r>
      <rPr>
        <sz val="9"/>
        <rFont val="Arial"/>
        <family val="2"/>
      </rPr>
      <t xml:space="preserve">                </t>
    </r>
    <r>
      <rPr>
        <sz val="9"/>
        <rFont val="宋体"/>
        <family val="3"/>
        <charset val="134"/>
      </rPr>
      <t>其中：利息费用</t>
    </r>
  </si>
  <si>
    <t xml:space="preserve">              利息收入</t>
  </si>
  <si>
    <r>
      <rPr>
        <sz val="9"/>
        <rFont val="Arial"/>
        <family val="2"/>
      </rPr>
      <t xml:space="preserve">                </t>
    </r>
    <r>
      <rPr>
        <sz val="9"/>
        <rFont val="宋体"/>
        <family val="3"/>
        <charset val="134"/>
      </rPr>
      <t>资产减值损失</t>
    </r>
  </si>
  <si>
    <r>
      <rPr>
        <sz val="9"/>
        <rFont val="Arial"/>
        <family val="2"/>
      </rPr>
      <t xml:space="preserve">                </t>
    </r>
    <r>
      <rPr>
        <sz val="9"/>
        <rFont val="宋体"/>
        <family val="3"/>
        <charset val="134"/>
      </rPr>
      <t>信用减值损失</t>
    </r>
  </si>
  <si>
    <t xml:space="preserve">        营业总成本其他项目</t>
  </si>
  <si>
    <t>三、其他经营收益</t>
  </si>
  <si>
    <r>
      <rPr>
        <sz val="9"/>
        <rFont val="Arial"/>
        <family val="2"/>
      </rPr>
      <t xml:space="preserve">                </t>
    </r>
    <r>
      <rPr>
        <sz val="9"/>
        <rFont val="宋体"/>
        <family val="3"/>
        <charset val="134"/>
      </rPr>
      <t>公允价值变动收益</t>
    </r>
  </si>
  <si>
    <r>
      <rPr>
        <sz val="9"/>
        <rFont val="Arial"/>
        <family val="2"/>
      </rPr>
      <t xml:space="preserve">                </t>
    </r>
    <r>
      <rPr>
        <sz val="9"/>
        <rFont val="宋体"/>
        <family val="3"/>
        <charset val="134"/>
      </rPr>
      <t>投资收益</t>
    </r>
  </si>
  <si>
    <r>
      <rPr>
        <sz val="9"/>
        <rFont val="Arial"/>
        <family val="2"/>
      </rPr>
      <t xml:space="preserve">                </t>
    </r>
    <r>
      <rPr>
        <sz val="9"/>
        <rFont val="宋体"/>
        <family val="3"/>
        <charset val="134"/>
      </rPr>
      <t>其中：对联营企业和合营企业的投资收益</t>
    </r>
  </si>
  <si>
    <t xml:space="preserve">        净敞口套期收益</t>
  </si>
  <si>
    <r>
      <rPr>
        <sz val="9"/>
        <rFont val="Arial"/>
        <family val="2"/>
      </rPr>
      <t xml:space="preserve">                </t>
    </r>
    <r>
      <rPr>
        <sz val="9"/>
        <rFont val="宋体"/>
        <family val="3"/>
        <charset val="134"/>
      </rPr>
      <t>汇兑收益</t>
    </r>
  </si>
  <si>
    <r>
      <rPr>
        <sz val="9"/>
        <rFont val="Arial"/>
        <family val="2"/>
      </rPr>
      <t xml:space="preserve">                </t>
    </r>
    <r>
      <rPr>
        <sz val="9"/>
        <rFont val="宋体"/>
        <family val="3"/>
        <charset val="134"/>
      </rPr>
      <t>资产处置收益</t>
    </r>
  </si>
  <si>
    <r>
      <rPr>
        <sz val="9"/>
        <rFont val="Arial"/>
        <family val="2"/>
      </rPr>
      <t xml:space="preserve">                </t>
    </r>
    <r>
      <rPr>
        <sz val="9"/>
        <rFont val="宋体"/>
        <family val="3"/>
        <charset val="134"/>
      </rPr>
      <t>其他收益</t>
    </r>
  </si>
  <si>
    <t xml:space="preserve">        营业利润其他项目</t>
  </si>
  <si>
    <t xml:space="preserve">        营业利润平衡项目</t>
  </si>
  <si>
    <t>四、营业利润</t>
  </si>
  <si>
    <r>
      <rPr>
        <sz val="9"/>
        <rFont val="Arial"/>
        <family val="2"/>
      </rPr>
      <t xml:space="preserve">                </t>
    </r>
    <r>
      <rPr>
        <sz val="9"/>
        <rFont val="宋体"/>
        <family val="3"/>
        <charset val="134"/>
      </rPr>
      <t>加：营业外收入</t>
    </r>
  </si>
  <si>
    <r>
      <rPr>
        <sz val="9"/>
        <rFont val="Arial"/>
        <family val="2"/>
      </rPr>
      <t xml:space="preserve">                </t>
    </r>
    <r>
      <rPr>
        <sz val="9"/>
        <rFont val="宋体"/>
        <family val="3"/>
        <charset val="134"/>
      </rPr>
      <t>其中</t>
    </r>
    <r>
      <rPr>
        <sz val="9"/>
        <rFont val="Arial"/>
        <family val="2"/>
      </rPr>
      <t>:</t>
    </r>
    <r>
      <rPr>
        <sz val="9"/>
        <rFont val="宋体"/>
        <family val="3"/>
        <charset val="134"/>
      </rPr>
      <t>非流动资产处置利得</t>
    </r>
  </si>
  <si>
    <t xml:space="preserve">                减：营业外支出</t>
  </si>
  <si>
    <t xml:space="preserve">                其中：非流动资产处置净损失</t>
  </si>
  <si>
    <r>
      <rPr>
        <sz val="9"/>
        <rFont val="Arial"/>
        <family val="2"/>
      </rPr>
      <t xml:space="preserve">                </t>
    </r>
    <r>
      <rPr>
        <sz val="9"/>
        <rFont val="宋体"/>
        <family val="3"/>
        <charset val="134"/>
      </rPr>
      <t>影响利润总额的其他项目</t>
    </r>
  </si>
  <si>
    <r>
      <rPr>
        <sz val="9"/>
        <rFont val="Arial"/>
        <family val="2"/>
      </rPr>
      <t xml:space="preserve">                </t>
    </r>
    <r>
      <rPr>
        <sz val="9"/>
        <rFont val="宋体"/>
        <family val="3"/>
        <charset val="134"/>
      </rPr>
      <t>利润总额平衡项目</t>
    </r>
  </si>
  <si>
    <t>五、利润总额</t>
  </si>
  <si>
    <t xml:space="preserve">                减：所得税</t>
  </si>
  <si>
    <t xml:space="preserve">                加：未确认的投资损失</t>
  </si>
  <si>
    <r>
      <rPr>
        <sz val="9"/>
        <rFont val="Arial"/>
        <family val="2"/>
      </rPr>
      <t xml:space="preserve">                </t>
    </r>
    <r>
      <rPr>
        <sz val="9"/>
        <rFont val="宋体"/>
        <family val="3"/>
        <charset val="134"/>
      </rPr>
      <t>加：影响净利润的其他项目</t>
    </r>
  </si>
  <si>
    <t xml:space="preserve">                加：净利润差额（合计平衡项目）</t>
  </si>
  <si>
    <t>六、净利润</t>
  </si>
  <si>
    <t xml:space="preserve">                减：少数股东损益</t>
  </si>
  <si>
    <t xml:space="preserve">                归属母公司所有者的净利润</t>
  </si>
  <si>
    <t>七、每股收益：</t>
  </si>
  <si>
    <t xml:space="preserve">                （一）基本每股收益（元）</t>
  </si>
  <si>
    <t xml:space="preserve">                （二）稀释每股收益（元）</t>
  </si>
  <si>
    <t>新准则资产负债表</t>
  </si>
  <si>
    <t>流动资产：</t>
  </si>
  <si>
    <t xml:space="preserve">                货币资金</t>
  </si>
  <si>
    <t xml:space="preserve">                结算备付金</t>
  </si>
  <si>
    <t xml:space="preserve">                拆出资金</t>
  </si>
  <si>
    <r>
      <rPr>
        <sz val="9"/>
        <rFont val="Arial"/>
        <family val="2"/>
      </rPr>
      <t xml:space="preserve">                </t>
    </r>
    <r>
      <rPr>
        <sz val="9"/>
        <rFont val="宋体"/>
        <family val="3"/>
        <charset val="134"/>
      </rPr>
      <t>融出资金</t>
    </r>
  </si>
  <si>
    <r>
      <rPr>
        <sz val="9"/>
        <rFont val="Arial"/>
        <family val="2"/>
      </rPr>
      <t xml:space="preserve">                </t>
    </r>
    <r>
      <rPr>
        <sz val="9"/>
        <rFont val="宋体"/>
        <family val="3"/>
        <charset val="134"/>
      </rPr>
      <t>以公允价值计量且其变动计入当期损益的金融资产</t>
    </r>
  </si>
  <si>
    <r>
      <rPr>
        <sz val="9"/>
        <rFont val="Arial"/>
        <family val="2"/>
      </rPr>
      <t xml:space="preserve">                </t>
    </r>
    <r>
      <rPr>
        <sz val="9"/>
        <rFont val="宋体"/>
        <family val="3"/>
        <charset val="134"/>
      </rPr>
      <t>其中：交易性金融资产</t>
    </r>
  </si>
  <si>
    <r>
      <rPr>
        <sz val="9"/>
        <rFont val="Arial"/>
        <family val="2"/>
      </rPr>
      <t xml:space="preserve">                           </t>
    </r>
    <r>
      <rPr>
        <sz val="9"/>
        <rFont val="宋体"/>
        <family val="3"/>
        <charset val="134"/>
      </rPr>
      <t>指定为以公允价值计量且其变动计入当期损益的金融资产</t>
    </r>
  </si>
  <si>
    <r>
      <rPr>
        <sz val="9"/>
        <rFont val="Arial"/>
        <family val="2"/>
      </rPr>
      <t xml:space="preserve">                </t>
    </r>
    <r>
      <rPr>
        <sz val="9"/>
        <rFont val="宋体"/>
        <family val="3"/>
        <charset val="134"/>
      </rPr>
      <t>衍生金融资产</t>
    </r>
  </si>
  <si>
    <t xml:space="preserve">        应收票据及应收账款</t>
  </si>
  <si>
    <r>
      <rPr>
        <sz val="9"/>
        <rFont val="Arial"/>
        <family val="2"/>
      </rPr>
      <t xml:space="preserve">                </t>
    </r>
    <r>
      <rPr>
        <sz val="9"/>
        <rFont val="宋体"/>
        <family val="3"/>
        <charset val="134"/>
      </rPr>
      <t>其中：应收票据</t>
    </r>
  </si>
  <si>
    <r>
      <rPr>
        <sz val="9"/>
        <rFont val="Arial"/>
        <family val="2"/>
      </rPr>
      <t xml:space="preserve">                            </t>
    </r>
    <r>
      <rPr>
        <sz val="9"/>
        <rFont val="宋体"/>
        <family val="3"/>
        <charset val="134"/>
      </rPr>
      <t>应收账款</t>
    </r>
  </si>
  <si>
    <t xml:space="preserve">                预付款项</t>
  </si>
  <si>
    <t xml:space="preserve">                应收保费</t>
  </si>
  <si>
    <t xml:space="preserve">                应收分保账款</t>
  </si>
  <si>
    <t xml:space="preserve">                应收分保合同准备金</t>
  </si>
  <si>
    <t xml:space="preserve">                应收利息</t>
  </si>
  <si>
    <r>
      <rPr>
        <sz val="9"/>
        <rFont val="Arial"/>
        <family val="2"/>
      </rPr>
      <t xml:space="preserve">                </t>
    </r>
    <r>
      <rPr>
        <sz val="9"/>
        <rFont val="宋体"/>
        <family val="3"/>
        <charset val="134"/>
      </rPr>
      <t>应收股利</t>
    </r>
  </si>
  <si>
    <r>
      <rPr>
        <sz val="9"/>
        <rFont val="Arial"/>
        <family val="2"/>
      </rPr>
      <t xml:space="preserve">                </t>
    </r>
    <r>
      <rPr>
        <sz val="9"/>
        <rFont val="宋体"/>
        <family val="3"/>
        <charset val="134"/>
      </rPr>
      <t>其他应收款</t>
    </r>
  </si>
  <si>
    <r>
      <rPr>
        <sz val="9"/>
        <rFont val="Arial"/>
        <family val="2"/>
      </rPr>
      <t xml:space="preserve">                </t>
    </r>
    <r>
      <rPr>
        <sz val="9"/>
        <rFont val="宋体"/>
        <family val="3"/>
        <charset val="134"/>
      </rPr>
      <t>应收出口退税</t>
    </r>
  </si>
  <si>
    <r>
      <rPr>
        <sz val="9"/>
        <rFont val="Arial"/>
        <family val="2"/>
      </rPr>
      <t xml:space="preserve">                </t>
    </r>
    <r>
      <rPr>
        <sz val="9"/>
        <rFont val="宋体"/>
        <family val="3"/>
        <charset val="134"/>
      </rPr>
      <t>应收补贴款</t>
    </r>
  </si>
  <si>
    <r>
      <rPr>
        <sz val="9"/>
        <rFont val="Arial"/>
        <family val="2"/>
      </rPr>
      <t xml:space="preserve">                </t>
    </r>
    <r>
      <rPr>
        <sz val="9"/>
        <rFont val="宋体"/>
        <family val="3"/>
        <charset val="134"/>
      </rPr>
      <t>内部应收款</t>
    </r>
  </si>
  <si>
    <r>
      <rPr>
        <sz val="9"/>
        <rFont val="Arial"/>
        <family val="2"/>
      </rPr>
      <t xml:space="preserve">                </t>
    </r>
    <r>
      <rPr>
        <sz val="9"/>
        <rFont val="宋体"/>
        <family val="3"/>
        <charset val="134"/>
      </rPr>
      <t>买入反售金融资产</t>
    </r>
  </si>
  <si>
    <r>
      <rPr>
        <sz val="9"/>
        <rFont val="Arial"/>
        <family val="2"/>
      </rPr>
      <t xml:space="preserve">                </t>
    </r>
    <r>
      <rPr>
        <sz val="9"/>
        <rFont val="宋体"/>
        <family val="3"/>
        <charset val="134"/>
      </rPr>
      <t>以摊余成本计量的金融资产</t>
    </r>
  </si>
  <si>
    <r>
      <rPr>
        <sz val="9"/>
        <rFont val="Arial"/>
        <family val="2"/>
      </rPr>
      <t xml:space="preserve">                </t>
    </r>
    <r>
      <rPr>
        <sz val="9"/>
        <rFont val="宋体"/>
        <family val="3"/>
        <charset val="134"/>
      </rPr>
      <t>以公允价值计量且其变动计入其他综合收益的金融资产</t>
    </r>
  </si>
  <si>
    <r>
      <rPr>
        <sz val="9"/>
        <rFont val="Arial"/>
        <family val="2"/>
      </rPr>
      <t xml:space="preserve">                </t>
    </r>
    <r>
      <rPr>
        <sz val="9"/>
        <rFont val="宋体"/>
        <family val="3"/>
        <charset val="134"/>
      </rPr>
      <t>存货</t>
    </r>
  </si>
  <si>
    <r>
      <rPr>
        <sz val="9"/>
        <rFont val="Arial"/>
        <family val="2"/>
      </rPr>
      <t xml:space="preserve">                </t>
    </r>
    <r>
      <rPr>
        <sz val="9"/>
        <rFont val="宋体"/>
        <family val="3"/>
        <charset val="134"/>
      </rPr>
      <t>合同资产</t>
    </r>
  </si>
  <si>
    <r>
      <rPr>
        <sz val="9"/>
        <rFont val="Arial"/>
        <family val="2"/>
      </rPr>
      <t xml:space="preserve">                </t>
    </r>
    <r>
      <rPr>
        <sz val="9"/>
        <rFont val="宋体"/>
        <family val="3"/>
        <charset val="134"/>
      </rPr>
      <t>划分为持有待售的资产</t>
    </r>
  </si>
  <si>
    <t xml:space="preserve">                一年内到期的非流动资产</t>
  </si>
  <si>
    <r>
      <rPr>
        <sz val="9"/>
        <rFont val="Arial"/>
        <family val="2"/>
      </rPr>
      <t xml:space="preserve">                </t>
    </r>
    <r>
      <rPr>
        <sz val="9"/>
        <rFont val="宋体"/>
        <family val="3"/>
        <charset val="134"/>
      </rPr>
      <t>代理业务资产</t>
    </r>
  </si>
  <si>
    <t xml:space="preserve">                其他流动资产</t>
  </si>
  <si>
    <r>
      <rPr>
        <sz val="9"/>
        <rFont val="Arial"/>
        <family val="2"/>
      </rPr>
      <t xml:space="preserve">                </t>
    </r>
    <r>
      <rPr>
        <sz val="9"/>
        <rFont val="宋体"/>
        <family val="3"/>
        <charset val="134"/>
      </rPr>
      <t>流动资产其他项目</t>
    </r>
  </si>
  <si>
    <r>
      <rPr>
        <sz val="9"/>
        <rFont val="Arial"/>
        <family val="2"/>
      </rPr>
      <t xml:space="preserve">                </t>
    </r>
    <r>
      <rPr>
        <sz val="9"/>
        <rFont val="宋体"/>
        <family val="3"/>
        <charset val="134"/>
      </rPr>
      <t>流动资产平衡项目</t>
    </r>
  </si>
  <si>
    <t xml:space="preserve">                流动资产合计</t>
  </si>
  <si>
    <t>非流动资产：</t>
  </si>
  <si>
    <r>
      <rPr>
        <sz val="9"/>
        <rFont val="Arial"/>
        <family val="2"/>
      </rPr>
      <t xml:space="preserve">                </t>
    </r>
    <r>
      <rPr>
        <sz val="9"/>
        <rFont val="宋体"/>
        <family val="3"/>
        <charset val="134"/>
      </rPr>
      <t>发放贷款及垫款</t>
    </r>
  </si>
  <si>
    <r>
      <rPr>
        <sz val="9"/>
        <rFont val="Arial"/>
        <family val="2"/>
      </rPr>
      <t xml:space="preserve">                </t>
    </r>
    <r>
      <rPr>
        <sz val="9"/>
        <rFont val="宋体"/>
        <family val="3"/>
        <charset val="134"/>
      </rPr>
      <t>债权投资</t>
    </r>
  </si>
  <si>
    <r>
      <rPr>
        <sz val="9"/>
        <rFont val="Arial"/>
        <family val="2"/>
      </rPr>
      <t xml:space="preserve">                </t>
    </r>
    <r>
      <rPr>
        <sz val="9"/>
        <rFont val="宋体"/>
        <family val="3"/>
        <charset val="134"/>
      </rPr>
      <t>其他债权投资</t>
    </r>
  </si>
  <si>
    <r>
      <rPr>
        <sz val="9"/>
        <rFont val="Arial"/>
        <family val="2"/>
      </rPr>
      <t xml:space="preserve">                </t>
    </r>
    <r>
      <rPr>
        <sz val="9"/>
        <rFont val="宋体"/>
        <family val="3"/>
        <charset val="134"/>
      </rPr>
      <t>以摊余成本计量的金融资产（非流动）</t>
    </r>
  </si>
  <si>
    <r>
      <rPr>
        <sz val="9"/>
        <rFont val="Arial"/>
        <family val="2"/>
      </rPr>
      <t xml:space="preserve">                </t>
    </r>
    <r>
      <rPr>
        <sz val="9"/>
        <rFont val="宋体"/>
        <family val="3"/>
        <charset val="134"/>
      </rPr>
      <t>以公允价值计量且其变动计入其他综合收益的金融资产（非流动）</t>
    </r>
  </si>
  <si>
    <t xml:space="preserve">                可供出售金融资产</t>
  </si>
  <si>
    <t xml:space="preserve">                持有至到期投资</t>
  </si>
  <si>
    <t xml:space="preserve">                长期应收款</t>
  </si>
  <si>
    <r>
      <rPr>
        <sz val="9"/>
        <rFont val="Arial"/>
        <family val="2"/>
      </rPr>
      <t xml:space="preserve">                </t>
    </r>
    <r>
      <rPr>
        <sz val="9"/>
        <rFont val="宋体"/>
        <family val="3"/>
        <charset val="134"/>
      </rPr>
      <t>长期股权投资</t>
    </r>
  </si>
  <si>
    <r>
      <rPr>
        <sz val="9"/>
        <rFont val="Arial"/>
        <family val="2"/>
      </rPr>
      <t xml:space="preserve">                </t>
    </r>
    <r>
      <rPr>
        <sz val="9"/>
        <rFont val="宋体"/>
        <family val="3"/>
        <charset val="134"/>
      </rPr>
      <t>其他权益工具投资</t>
    </r>
  </si>
  <si>
    <t xml:space="preserve">        其他非流动金融资产</t>
  </si>
  <si>
    <t xml:space="preserve">                投资性房地产</t>
  </si>
  <si>
    <t xml:space="preserve">                固定资产</t>
  </si>
  <si>
    <t xml:space="preserve">                在建工程</t>
  </si>
  <si>
    <t xml:space="preserve">                工程物资</t>
  </si>
  <si>
    <t xml:space="preserve">                固定资产清理</t>
  </si>
  <si>
    <t xml:space="preserve">                生产性生物资产</t>
  </si>
  <si>
    <t xml:space="preserve">                油气资产</t>
  </si>
  <si>
    <t xml:space="preserve">                无形资产</t>
  </si>
  <si>
    <t xml:space="preserve">                开发支出</t>
  </si>
  <si>
    <t xml:space="preserve">                商誉</t>
  </si>
  <si>
    <t xml:space="preserve">                长期待摊费用</t>
  </si>
  <si>
    <t xml:space="preserve">                递延所得税资产</t>
  </si>
  <si>
    <t xml:space="preserve">                其他非流动资产</t>
  </si>
  <si>
    <r>
      <rPr>
        <sz val="9"/>
        <rFont val="Arial"/>
        <family val="2"/>
      </rPr>
      <t xml:space="preserve">                </t>
    </r>
    <r>
      <rPr>
        <sz val="9"/>
        <rFont val="宋体"/>
        <family val="3"/>
        <charset val="134"/>
      </rPr>
      <t>非流动资产其他项目</t>
    </r>
  </si>
  <si>
    <r>
      <rPr>
        <sz val="9"/>
        <rFont val="Arial"/>
        <family val="2"/>
      </rPr>
      <t xml:space="preserve">                </t>
    </r>
    <r>
      <rPr>
        <sz val="9"/>
        <rFont val="宋体"/>
        <family val="3"/>
        <charset val="134"/>
      </rPr>
      <t>非流动资产平衡项目</t>
    </r>
  </si>
  <si>
    <t xml:space="preserve">                非流动资产合计</t>
  </si>
  <si>
    <r>
      <rPr>
        <sz val="9"/>
        <rFont val="Arial"/>
        <family val="2"/>
      </rPr>
      <t xml:space="preserve">                </t>
    </r>
    <r>
      <rPr>
        <sz val="9"/>
        <rFont val="宋体"/>
        <family val="3"/>
        <charset val="134"/>
      </rPr>
      <t>资产其他项目</t>
    </r>
  </si>
  <si>
    <r>
      <rPr>
        <sz val="9"/>
        <rFont val="Arial"/>
        <family val="2"/>
      </rPr>
      <t xml:space="preserve">                </t>
    </r>
    <r>
      <rPr>
        <sz val="9"/>
        <rFont val="宋体"/>
        <family val="3"/>
        <charset val="134"/>
      </rPr>
      <t>资产平衡项目</t>
    </r>
  </si>
  <si>
    <t xml:space="preserve">                资产总计</t>
  </si>
  <si>
    <t>流动负债：</t>
  </si>
  <si>
    <t xml:space="preserve">                短期借贷</t>
  </si>
  <si>
    <t xml:space="preserve">                向中央应行借款</t>
  </si>
  <si>
    <r>
      <rPr>
        <sz val="9"/>
        <rFont val="Arial"/>
        <family val="2"/>
      </rPr>
      <t xml:space="preserve">                </t>
    </r>
    <r>
      <rPr>
        <sz val="9"/>
        <rFont val="宋体"/>
        <family val="3"/>
        <charset val="134"/>
      </rPr>
      <t>吸收存款及同业存放</t>
    </r>
  </si>
  <si>
    <t xml:space="preserve">                拆入资金</t>
  </si>
  <si>
    <r>
      <rPr>
        <sz val="9"/>
        <rFont val="Arial"/>
        <family val="2"/>
      </rPr>
      <t xml:space="preserve">                </t>
    </r>
    <r>
      <rPr>
        <sz val="9"/>
        <rFont val="宋体"/>
        <family val="3"/>
        <charset val="134"/>
      </rPr>
      <t>以公允价值计量且其变动计入当期损益的金融负债</t>
    </r>
  </si>
  <si>
    <r>
      <rPr>
        <sz val="9"/>
        <rFont val="Arial"/>
        <family val="2"/>
      </rPr>
      <t xml:space="preserve">                </t>
    </r>
    <r>
      <rPr>
        <sz val="9"/>
        <rFont val="宋体"/>
        <family val="3"/>
        <charset val="134"/>
      </rPr>
      <t>其中：交易性金融负债</t>
    </r>
  </si>
  <si>
    <r>
      <rPr>
        <sz val="9"/>
        <rFont val="Arial"/>
        <family val="2"/>
      </rPr>
      <t xml:space="preserve">                            </t>
    </r>
    <r>
      <rPr>
        <sz val="9"/>
        <rFont val="宋体"/>
        <family val="3"/>
        <charset val="134"/>
      </rPr>
      <t>指定以公允价值计量且其变动计入当期损益的金融负债</t>
    </r>
  </si>
  <si>
    <r>
      <rPr>
        <sz val="9"/>
        <rFont val="Arial"/>
        <family val="2"/>
      </rPr>
      <t xml:space="preserve">                </t>
    </r>
    <r>
      <rPr>
        <sz val="9"/>
        <rFont val="宋体"/>
        <family val="3"/>
        <charset val="134"/>
      </rPr>
      <t>衍生金融负债</t>
    </r>
  </si>
  <si>
    <r>
      <rPr>
        <sz val="9"/>
        <rFont val="Arial"/>
        <family val="2"/>
      </rPr>
      <t xml:space="preserve">                </t>
    </r>
    <r>
      <rPr>
        <sz val="9"/>
        <rFont val="宋体"/>
        <family val="3"/>
        <charset val="134"/>
      </rPr>
      <t>应付票据及应付账款</t>
    </r>
  </si>
  <si>
    <r>
      <rPr>
        <sz val="9"/>
        <rFont val="Arial"/>
        <family val="2"/>
      </rPr>
      <t xml:space="preserve">                </t>
    </r>
    <r>
      <rPr>
        <sz val="9"/>
        <rFont val="宋体"/>
        <family val="3"/>
        <charset val="134"/>
      </rPr>
      <t>其中：应付票据</t>
    </r>
  </si>
  <si>
    <r>
      <rPr>
        <sz val="9"/>
        <rFont val="Arial"/>
        <family val="2"/>
      </rPr>
      <t xml:space="preserve">                            </t>
    </r>
    <r>
      <rPr>
        <sz val="9"/>
        <rFont val="宋体"/>
        <family val="3"/>
        <charset val="134"/>
      </rPr>
      <t>应付账款</t>
    </r>
  </si>
  <si>
    <t xml:space="preserve">                预收款项</t>
  </si>
  <si>
    <r>
      <rPr>
        <sz val="9"/>
        <rFont val="Arial"/>
        <family val="2"/>
      </rPr>
      <t xml:space="preserve">                </t>
    </r>
    <r>
      <rPr>
        <sz val="9"/>
        <rFont val="宋体"/>
        <family val="3"/>
        <charset val="134"/>
      </rPr>
      <t>合同负债</t>
    </r>
  </si>
  <si>
    <r>
      <rPr>
        <sz val="9"/>
        <rFont val="Arial"/>
        <family val="2"/>
      </rPr>
      <t xml:space="preserve">                </t>
    </r>
    <r>
      <rPr>
        <sz val="9"/>
        <rFont val="宋体"/>
        <family val="3"/>
        <charset val="134"/>
      </rPr>
      <t>卖出回购金融资产款</t>
    </r>
  </si>
  <si>
    <r>
      <rPr>
        <sz val="9"/>
        <rFont val="Arial"/>
        <family val="2"/>
      </rPr>
      <t xml:space="preserve">                </t>
    </r>
    <r>
      <rPr>
        <sz val="9"/>
        <rFont val="宋体"/>
        <family val="3"/>
        <charset val="134"/>
      </rPr>
      <t>应付手续费及佣金</t>
    </r>
  </si>
  <si>
    <t xml:space="preserve">                应付职工薪酬</t>
  </si>
  <si>
    <t xml:space="preserve">                应交税费</t>
  </si>
  <si>
    <t xml:space="preserve">                应付利息</t>
  </si>
  <si>
    <t xml:space="preserve">                应付股利</t>
  </si>
  <si>
    <r>
      <rPr>
        <sz val="9"/>
        <rFont val="Arial"/>
        <family val="2"/>
      </rPr>
      <t xml:space="preserve">                </t>
    </r>
    <r>
      <rPr>
        <sz val="9"/>
        <rFont val="宋体"/>
        <family val="3"/>
        <charset val="134"/>
      </rPr>
      <t>应付分保账款</t>
    </r>
  </si>
  <si>
    <r>
      <rPr>
        <sz val="9"/>
        <rFont val="Arial"/>
        <family val="2"/>
      </rPr>
      <t xml:space="preserve">                </t>
    </r>
    <r>
      <rPr>
        <sz val="9"/>
        <rFont val="宋体"/>
        <family val="3"/>
        <charset val="134"/>
      </rPr>
      <t>内部应付款</t>
    </r>
  </si>
  <si>
    <t xml:space="preserve">                其他应付款</t>
  </si>
  <si>
    <r>
      <rPr>
        <sz val="9"/>
        <rFont val="Arial"/>
        <family val="2"/>
      </rPr>
      <t xml:space="preserve">                </t>
    </r>
    <r>
      <rPr>
        <sz val="9"/>
        <rFont val="宋体"/>
        <family val="3"/>
        <charset val="134"/>
      </rPr>
      <t>预计流动负债</t>
    </r>
  </si>
  <si>
    <r>
      <rPr>
        <sz val="9"/>
        <rFont val="Arial"/>
        <family val="2"/>
      </rPr>
      <t xml:space="preserve">                </t>
    </r>
    <r>
      <rPr>
        <sz val="9"/>
        <rFont val="宋体"/>
        <family val="3"/>
        <charset val="134"/>
      </rPr>
      <t>保险合同准备金</t>
    </r>
  </si>
  <si>
    <r>
      <rPr>
        <sz val="9"/>
        <rFont val="Arial"/>
        <family val="2"/>
      </rPr>
      <t xml:space="preserve">                </t>
    </r>
    <r>
      <rPr>
        <sz val="9"/>
        <rFont val="宋体"/>
        <family val="3"/>
        <charset val="134"/>
      </rPr>
      <t>代理买卖证券款</t>
    </r>
  </si>
  <si>
    <r>
      <rPr>
        <sz val="9"/>
        <rFont val="Arial"/>
        <family val="2"/>
      </rPr>
      <t xml:space="preserve">                </t>
    </r>
    <r>
      <rPr>
        <sz val="9"/>
        <rFont val="宋体"/>
        <family val="3"/>
        <charset val="134"/>
      </rPr>
      <t>代理承销证券款</t>
    </r>
  </si>
  <si>
    <r>
      <rPr>
        <sz val="9"/>
        <rFont val="Arial"/>
        <family val="2"/>
      </rPr>
      <t xml:space="preserve">                </t>
    </r>
    <r>
      <rPr>
        <sz val="9"/>
        <rFont val="宋体"/>
        <family val="3"/>
        <charset val="134"/>
      </rPr>
      <t>一年内的递延收益</t>
    </r>
  </si>
  <si>
    <r>
      <rPr>
        <sz val="9"/>
        <rFont val="Arial"/>
        <family val="2"/>
      </rPr>
      <t xml:space="preserve">                </t>
    </r>
    <r>
      <rPr>
        <sz val="9"/>
        <rFont val="宋体"/>
        <family val="3"/>
        <charset val="134"/>
      </rPr>
      <t>以摊余成本计量的金融负债</t>
    </r>
  </si>
  <si>
    <r>
      <rPr>
        <sz val="9"/>
        <rFont val="Arial"/>
        <family val="2"/>
      </rPr>
      <t xml:space="preserve">                </t>
    </r>
    <r>
      <rPr>
        <sz val="9"/>
        <rFont val="宋体"/>
        <family val="3"/>
        <charset val="134"/>
      </rPr>
      <t>应付短期债券</t>
    </r>
  </si>
  <si>
    <r>
      <rPr>
        <sz val="9"/>
        <rFont val="Arial"/>
        <family val="2"/>
      </rPr>
      <t xml:space="preserve">                </t>
    </r>
    <r>
      <rPr>
        <sz val="9"/>
        <rFont val="宋体"/>
        <family val="3"/>
        <charset val="134"/>
      </rPr>
      <t>划分为持有待售的负债</t>
    </r>
  </si>
  <si>
    <t xml:space="preserve">                一年内到期的非流动负债</t>
  </si>
  <si>
    <r>
      <rPr>
        <sz val="9"/>
        <rFont val="Arial"/>
        <family val="2"/>
      </rPr>
      <t xml:space="preserve">                </t>
    </r>
    <r>
      <rPr>
        <sz val="9"/>
        <rFont val="宋体"/>
        <family val="3"/>
        <charset val="134"/>
      </rPr>
      <t>代理业务负债</t>
    </r>
  </si>
  <si>
    <t xml:space="preserve">                其他流动负债</t>
  </si>
  <si>
    <r>
      <rPr>
        <sz val="9"/>
        <rFont val="Arial"/>
        <family val="2"/>
      </rPr>
      <t xml:space="preserve">                </t>
    </r>
    <r>
      <rPr>
        <sz val="9"/>
        <rFont val="宋体"/>
        <family val="3"/>
        <charset val="134"/>
      </rPr>
      <t>流动负债其他项目</t>
    </r>
  </si>
  <si>
    <r>
      <rPr>
        <sz val="9"/>
        <rFont val="Arial"/>
        <family val="2"/>
      </rPr>
      <t xml:space="preserve">                </t>
    </r>
    <r>
      <rPr>
        <sz val="9"/>
        <rFont val="宋体"/>
        <family val="3"/>
        <charset val="134"/>
      </rPr>
      <t>流动负债平衡项目</t>
    </r>
  </si>
  <si>
    <t xml:space="preserve">                流动负债合计</t>
  </si>
  <si>
    <t>非流动负债：</t>
  </si>
  <si>
    <t xml:space="preserve">                长期借款</t>
  </si>
  <si>
    <r>
      <rPr>
        <sz val="9"/>
        <rFont val="Arial"/>
        <family val="2"/>
      </rPr>
      <t xml:space="preserve">                </t>
    </r>
    <r>
      <rPr>
        <sz val="9"/>
        <rFont val="宋体"/>
        <family val="3"/>
        <charset val="134"/>
      </rPr>
      <t>以摊余成本计量的金融负债（非流动）</t>
    </r>
  </si>
  <si>
    <t xml:space="preserve">                应付债券</t>
  </si>
  <si>
    <r>
      <rPr>
        <sz val="9"/>
        <rFont val="Arial"/>
        <family val="2"/>
      </rPr>
      <t xml:space="preserve">                      </t>
    </r>
    <r>
      <rPr>
        <sz val="9"/>
        <rFont val="宋体"/>
        <family val="3"/>
        <charset val="134"/>
      </rPr>
      <t>优先股</t>
    </r>
  </si>
  <si>
    <r>
      <rPr>
        <sz val="9"/>
        <rFont val="Arial"/>
        <family val="2"/>
      </rPr>
      <t xml:space="preserve">                      </t>
    </r>
    <r>
      <rPr>
        <sz val="9"/>
        <rFont val="宋体"/>
        <family val="3"/>
        <charset val="134"/>
      </rPr>
      <t>永续债</t>
    </r>
  </si>
  <si>
    <t xml:space="preserve">                长期应付款</t>
  </si>
  <si>
    <r>
      <rPr>
        <sz val="9"/>
        <rFont val="Arial"/>
        <family val="2"/>
      </rPr>
      <t xml:space="preserve">                </t>
    </r>
    <r>
      <rPr>
        <sz val="9"/>
        <rFont val="宋体"/>
        <family val="3"/>
        <charset val="134"/>
      </rPr>
      <t>长期应付职工薪酬</t>
    </r>
  </si>
  <si>
    <t xml:space="preserve">                专项应付款</t>
  </si>
  <si>
    <t xml:space="preserve">                预计负债</t>
  </si>
  <si>
    <t xml:space="preserve">                递延所得税负债</t>
  </si>
  <si>
    <r>
      <rPr>
        <sz val="9"/>
        <rFont val="Arial"/>
        <family val="2"/>
      </rPr>
      <t xml:space="preserve">                </t>
    </r>
    <r>
      <rPr>
        <sz val="9"/>
        <rFont val="宋体"/>
        <family val="3"/>
        <charset val="134"/>
      </rPr>
      <t>递延收益</t>
    </r>
  </si>
  <si>
    <t xml:space="preserve">                其他非流动负债</t>
  </si>
  <si>
    <r>
      <rPr>
        <sz val="9"/>
        <rFont val="Arial"/>
        <family val="2"/>
      </rPr>
      <t xml:space="preserve">                </t>
    </r>
    <r>
      <rPr>
        <sz val="9"/>
        <rFont val="宋体"/>
        <family val="3"/>
        <charset val="134"/>
      </rPr>
      <t>非流动负债其他项目</t>
    </r>
  </si>
  <si>
    <r>
      <rPr>
        <sz val="9"/>
        <rFont val="Arial"/>
        <family val="2"/>
      </rPr>
      <t xml:space="preserve">                </t>
    </r>
    <r>
      <rPr>
        <sz val="9"/>
        <rFont val="宋体"/>
        <family val="3"/>
        <charset val="134"/>
      </rPr>
      <t>非流动负债平衡项目</t>
    </r>
  </si>
  <si>
    <t xml:space="preserve">                非流动负债合计</t>
  </si>
  <si>
    <r>
      <rPr>
        <sz val="9"/>
        <rFont val="Arial"/>
        <family val="2"/>
      </rPr>
      <t xml:space="preserve">                </t>
    </r>
    <r>
      <rPr>
        <sz val="9"/>
        <rFont val="宋体"/>
        <family val="3"/>
        <charset val="134"/>
      </rPr>
      <t>负债其他项目</t>
    </r>
  </si>
  <si>
    <r>
      <rPr>
        <sz val="9"/>
        <rFont val="Arial"/>
        <family val="2"/>
      </rPr>
      <t xml:space="preserve">                </t>
    </r>
    <r>
      <rPr>
        <sz val="9"/>
        <rFont val="宋体"/>
        <family val="3"/>
        <charset val="134"/>
      </rPr>
      <t>负债平衡项目</t>
    </r>
  </si>
  <si>
    <t xml:space="preserve">                负债合计</t>
  </si>
  <si>
    <t>所有者权益（或股东权益）：</t>
  </si>
  <si>
    <t xml:space="preserve">                实收资本（或股本）</t>
  </si>
  <si>
    <r>
      <rPr>
        <sz val="9"/>
        <rFont val="Arial"/>
        <family val="2"/>
      </rPr>
      <t xml:space="preserve">                </t>
    </r>
    <r>
      <rPr>
        <sz val="9"/>
        <rFont val="宋体"/>
        <family val="3"/>
        <charset val="134"/>
      </rPr>
      <t>其他权益工具</t>
    </r>
  </si>
  <si>
    <r>
      <rPr>
        <sz val="9"/>
        <rFont val="Arial"/>
        <family val="2"/>
      </rPr>
      <t xml:space="preserve">        	             </t>
    </r>
    <r>
      <rPr>
        <sz val="9"/>
        <rFont val="宋体"/>
        <family val="3"/>
        <charset val="134"/>
      </rPr>
      <t>优先股</t>
    </r>
  </si>
  <si>
    <r>
      <rPr>
        <sz val="9"/>
        <rFont val="Arial"/>
        <family val="2"/>
      </rPr>
      <t xml:space="preserve">        	             </t>
    </r>
    <r>
      <rPr>
        <sz val="9"/>
        <rFont val="宋体"/>
        <family val="3"/>
        <charset val="134"/>
      </rPr>
      <t>永续债</t>
    </r>
  </si>
  <si>
    <r>
      <rPr>
        <sz val="9"/>
        <rFont val="Arial"/>
        <family val="2"/>
      </rPr>
      <t xml:space="preserve">        	             </t>
    </r>
    <r>
      <rPr>
        <sz val="9"/>
        <rFont val="宋体"/>
        <family val="3"/>
        <charset val="134"/>
      </rPr>
      <t>其他</t>
    </r>
  </si>
  <si>
    <t xml:space="preserve">                资本公积金</t>
  </si>
  <si>
    <t xml:space="preserve">                减：库存股</t>
  </si>
  <si>
    <r>
      <rPr>
        <sz val="9"/>
        <rFont val="Arial"/>
        <family val="2"/>
      </rPr>
      <t xml:space="preserve">                </t>
    </r>
    <r>
      <rPr>
        <sz val="9"/>
        <rFont val="宋体"/>
        <family val="3"/>
        <charset val="134"/>
      </rPr>
      <t>其他综合收益</t>
    </r>
  </si>
  <si>
    <r>
      <rPr>
        <sz val="9"/>
        <rFont val="Arial"/>
        <family val="2"/>
      </rPr>
      <t xml:space="preserve">                </t>
    </r>
    <r>
      <rPr>
        <sz val="9"/>
        <rFont val="宋体"/>
        <family val="3"/>
        <charset val="134"/>
      </rPr>
      <t>专项储备</t>
    </r>
  </si>
  <si>
    <t xml:space="preserve">                盈余公积金</t>
  </si>
  <si>
    <t xml:space="preserve">                一般风险准备</t>
  </si>
  <si>
    <t xml:space="preserve">                未确认的投资损失</t>
  </si>
  <si>
    <t xml:space="preserve">                未分配利润</t>
  </si>
  <si>
    <r>
      <rPr>
        <sz val="9"/>
        <rFont val="Arial"/>
        <family val="2"/>
      </rPr>
      <t xml:space="preserve">                </t>
    </r>
    <r>
      <rPr>
        <sz val="9"/>
        <rFont val="宋体"/>
        <family val="3"/>
        <charset val="134"/>
      </rPr>
      <t>拟分配现金股利</t>
    </r>
  </si>
  <si>
    <t xml:space="preserve">                外币报表折算差额</t>
  </si>
  <si>
    <r>
      <rPr>
        <sz val="9"/>
        <rFont val="Arial"/>
        <family val="2"/>
      </rPr>
      <t xml:space="preserve">                </t>
    </r>
    <r>
      <rPr>
        <sz val="9"/>
        <rFont val="宋体"/>
        <family val="3"/>
        <charset val="134"/>
      </rPr>
      <t>归属于母公司股东权益其他项目</t>
    </r>
  </si>
  <si>
    <r>
      <rPr>
        <sz val="9"/>
        <rFont val="Arial"/>
        <family val="2"/>
      </rPr>
      <t xml:space="preserve">                </t>
    </r>
    <r>
      <rPr>
        <sz val="9"/>
        <rFont val="宋体"/>
        <family val="3"/>
        <charset val="134"/>
      </rPr>
      <t>归属于母公司股东权益平衡项目</t>
    </r>
  </si>
  <si>
    <t xml:space="preserve">                归属母公司所有者权益合计</t>
  </si>
  <si>
    <t xml:space="preserve">                少数股东权益</t>
  </si>
  <si>
    <r>
      <rPr>
        <sz val="9"/>
        <rFont val="Arial"/>
        <family val="2"/>
      </rPr>
      <t xml:space="preserve">                </t>
    </r>
    <r>
      <rPr>
        <sz val="9"/>
        <rFont val="宋体"/>
        <family val="3"/>
        <charset val="134"/>
      </rPr>
      <t>股东权益其他项目</t>
    </r>
  </si>
  <si>
    <r>
      <rPr>
        <sz val="9"/>
        <rFont val="Arial"/>
        <family val="2"/>
      </rPr>
      <t xml:space="preserve">                </t>
    </r>
    <r>
      <rPr>
        <sz val="9"/>
        <rFont val="宋体"/>
        <family val="3"/>
        <charset val="134"/>
      </rPr>
      <t>股东权益平衡项目</t>
    </r>
  </si>
  <si>
    <r>
      <rPr>
        <b/>
        <sz val="9"/>
        <rFont val="Arial"/>
        <family val="2"/>
      </rPr>
      <t xml:space="preserve">                </t>
    </r>
    <r>
      <rPr>
        <b/>
        <sz val="9"/>
        <rFont val="宋体"/>
        <family val="3"/>
        <charset val="134"/>
      </rPr>
      <t>股东权益合计</t>
    </r>
  </si>
  <si>
    <r>
      <rPr>
        <sz val="9"/>
        <rFont val="Arial"/>
        <family val="2"/>
      </rPr>
      <t xml:space="preserve">                </t>
    </r>
    <r>
      <rPr>
        <sz val="9"/>
        <rFont val="宋体"/>
        <family val="3"/>
        <charset val="134"/>
      </rPr>
      <t>负债及股东权益其他项目</t>
    </r>
  </si>
  <si>
    <r>
      <rPr>
        <sz val="9"/>
        <rFont val="Arial"/>
        <family val="2"/>
      </rPr>
      <t xml:space="preserve">                </t>
    </r>
    <r>
      <rPr>
        <sz val="9"/>
        <rFont val="宋体"/>
        <family val="3"/>
        <charset val="134"/>
      </rPr>
      <t>负债及股东权益平衡项目</t>
    </r>
  </si>
  <si>
    <r>
      <rPr>
        <b/>
        <sz val="9"/>
        <rFont val="Arial"/>
        <family val="2"/>
      </rPr>
      <t xml:space="preserve">                </t>
    </r>
    <r>
      <rPr>
        <b/>
        <sz val="9"/>
        <rFont val="宋体"/>
        <family val="3"/>
        <charset val="134"/>
      </rPr>
      <t>负债和股东权益合计</t>
    </r>
  </si>
  <si>
    <t>新准则现金流量表</t>
  </si>
  <si>
    <t>一、经营活动产生的现金流量：</t>
  </si>
  <si>
    <t xml:space="preserve">                销售商品、提供劳务收到的现金</t>
  </si>
  <si>
    <r>
      <rPr>
        <sz val="9"/>
        <rFont val="Arial"/>
        <family val="2"/>
      </rPr>
      <t xml:space="preserve">                </t>
    </r>
    <r>
      <rPr>
        <sz val="9"/>
        <rFont val="宋体"/>
        <family val="3"/>
        <charset val="134"/>
      </rPr>
      <t>客户存款和同业存放款项净增加额</t>
    </r>
  </si>
  <si>
    <r>
      <rPr>
        <sz val="9"/>
        <rFont val="Arial"/>
        <family val="2"/>
      </rPr>
      <t xml:space="preserve">                </t>
    </r>
    <r>
      <rPr>
        <sz val="9"/>
        <rFont val="宋体"/>
        <family val="3"/>
        <charset val="134"/>
      </rPr>
      <t>向中央银行借款净增加额</t>
    </r>
  </si>
  <si>
    <r>
      <rPr>
        <sz val="9"/>
        <rFont val="Arial"/>
        <family val="2"/>
      </rPr>
      <t xml:space="preserve">                </t>
    </r>
    <r>
      <rPr>
        <sz val="9"/>
        <rFont val="宋体"/>
        <family val="3"/>
        <charset val="134"/>
      </rPr>
      <t>向其他金融机构拆入资金净增加额</t>
    </r>
  </si>
  <si>
    <r>
      <rPr>
        <sz val="9"/>
        <rFont val="Arial"/>
        <family val="2"/>
      </rPr>
      <t xml:space="preserve">                </t>
    </r>
    <r>
      <rPr>
        <sz val="9"/>
        <rFont val="宋体"/>
        <family val="3"/>
        <charset val="134"/>
      </rPr>
      <t>收到原保险合同保费取得的现金</t>
    </r>
  </si>
  <si>
    <r>
      <rPr>
        <sz val="9"/>
        <rFont val="Arial"/>
        <family val="2"/>
      </rPr>
      <t xml:space="preserve">                </t>
    </r>
    <r>
      <rPr>
        <sz val="9"/>
        <rFont val="宋体"/>
        <family val="3"/>
        <charset val="134"/>
      </rPr>
      <t>收到再保险业务现金净额</t>
    </r>
  </si>
  <si>
    <r>
      <rPr>
        <sz val="9"/>
        <rFont val="Arial"/>
        <family val="2"/>
      </rPr>
      <t xml:space="preserve">                </t>
    </r>
    <r>
      <rPr>
        <sz val="9"/>
        <rFont val="宋体"/>
        <family val="3"/>
        <charset val="134"/>
      </rPr>
      <t>保户储金及投资款净增加额</t>
    </r>
  </si>
  <si>
    <r>
      <rPr>
        <sz val="9"/>
        <rFont val="Arial"/>
        <family val="2"/>
      </rPr>
      <t xml:space="preserve">                </t>
    </r>
    <r>
      <rPr>
        <sz val="9"/>
        <rFont val="宋体"/>
        <family val="3"/>
        <charset val="134"/>
      </rPr>
      <t>处置交易性金融资产净增加额</t>
    </r>
  </si>
  <si>
    <r>
      <rPr>
        <sz val="9"/>
        <rFont val="Arial"/>
        <family val="2"/>
      </rPr>
      <t xml:space="preserve">                </t>
    </r>
    <r>
      <rPr>
        <sz val="9"/>
        <rFont val="宋体"/>
        <family val="3"/>
        <charset val="134"/>
      </rPr>
      <t>收取利息、手续费及佣金的现金</t>
    </r>
  </si>
  <si>
    <r>
      <rPr>
        <sz val="9"/>
        <rFont val="Arial"/>
        <family val="2"/>
      </rPr>
      <t xml:space="preserve">                </t>
    </r>
    <r>
      <rPr>
        <sz val="9"/>
        <rFont val="宋体"/>
        <family val="3"/>
        <charset val="134"/>
      </rPr>
      <t>拆入资金净增加额</t>
    </r>
  </si>
  <si>
    <r>
      <rPr>
        <sz val="9"/>
        <rFont val="Arial"/>
        <family val="2"/>
      </rPr>
      <t xml:space="preserve">                </t>
    </r>
    <r>
      <rPr>
        <sz val="9"/>
        <rFont val="宋体"/>
        <family val="3"/>
        <charset val="134"/>
      </rPr>
      <t>发放贷款及垫款的净减少额</t>
    </r>
  </si>
  <si>
    <r>
      <rPr>
        <sz val="9"/>
        <rFont val="Arial"/>
        <family val="2"/>
      </rPr>
      <t xml:space="preserve">                </t>
    </r>
    <r>
      <rPr>
        <sz val="9"/>
        <rFont val="宋体"/>
        <family val="3"/>
        <charset val="134"/>
      </rPr>
      <t>回购业务资金净增加额</t>
    </r>
  </si>
  <si>
    <r>
      <rPr>
        <sz val="9"/>
        <rFont val="Arial"/>
        <family val="2"/>
      </rPr>
      <t xml:space="preserve">                </t>
    </r>
    <r>
      <rPr>
        <sz val="9"/>
        <rFont val="宋体"/>
        <family val="3"/>
        <charset val="134"/>
      </rPr>
      <t>收到的税费返还</t>
    </r>
  </si>
  <si>
    <t xml:space="preserve">                收到其他与经营活动有关的现金</t>
  </si>
  <si>
    <r>
      <rPr>
        <sz val="9"/>
        <rFont val="Arial"/>
        <family val="2"/>
      </rPr>
      <t xml:space="preserve">                </t>
    </r>
    <r>
      <rPr>
        <sz val="9"/>
        <rFont val="宋体"/>
        <family val="3"/>
        <charset val="134"/>
      </rPr>
      <t>经营活动现金流入其他项目</t>
    </r>
  </si>
  <si>
    <r>
      <rPr>
        <sz val="9"/>
        <rFont val="Arial"/>
        <family val="2"/>
      </rPr>
      <t xml:space="preserve">                </t>
    </r>
    <r>
      <rPr>
        <sz val="9"/>
        <rFont val="宋体"/>
        <family val="3"/>
        <charset val="134"/>
      </rPr>
      <t>经营活动现金流入平衡项目</t>
    </r>
  </si>
  <si>
    <t xml:space="preserve">                经营活动现金流入小计</t>
  </si>
  <si>
    <t xml:space="preserve">                购买商品、接受劳务支付的现金</t>
  </si>
  <si>
    <r>
      <rPr>
        <sz val="9"/>
        <rFont val="Arial"/>
        <family val="2"/>
      </rPr>
      <t xml:space="preserve">                </t>
    </r>
    <r>
      <rPr>
        <sz val="9"/>
        <rFont val="宋体"/>
        <family val="3"/>
        <charset val="134"/>
      </rPr>
      <t>客户贷款及垫款净增加额</t>
    </r>
  </si>
  <si>
    <r>
      <rPr>
        <sz val="9"/>
        <rFont val="Arial"/>
        <family val="2"/>
      </rPr>
      <t xml:space="preserve">                </t>
    </r>
    <r>
      <rPr>
        <sz val="9"/>
        <rFont val="宋体"/>
        <family val="3"/>
        <charset val="134"/>
      </rPr>
      <t>存放中央银行和同业款项净增加额</t>
    </r>
  </si>
  <si>
    <r>
      <rPr>
        <sz val="9"/>
        <rFont val="Arial"/>
        <family val="2"/>
      </rPr>
      <t xml:space="preserve">                </t>
    </r>
    <r>
      <rPr>
        <sz val="9"/>
        <rFont val="宋体"/>
        <family val="3"/>
        <charset val="134"/>
      </rPr>
      <t>支付原保险合同赔付款项的现金</t>
    </r>
  </si>
  <si>
    <r>
      <rPr>
        <sz val="9"/>
        <rFont val="Arial"/>
        <family val="2"/>
      </rPr>
      <t xml:space="preserve">                </t>
    </r>
    <r>
      <rPr>
        <sz val="9"/>
        <rFont val="宋体"/>
        <family val="3"/>
        <charset val="134"/>
      </rPr>
      <t>支付利息、手续费及佣金的现金</t>
    </r>
  </si>
  <si>
    <r>
      <rPr>
        <sz val="9"/>
        <rFont val="Arial"/>
        <family val="2"/>
      </rPr>
      <t xml:space="preserve">                </t>
    </r>
    <r>
      <rPr>
        <sz val="9"/>
        <rFont val="宋体"/>
        <family val="3"/>
        <charset val="134"/>
      </rPr>
      <t>支付保单红利的现金</t>
    </r>
  </si>
  <si>
    <t xml:space="preserve">                支付给职工以及为职工支付的现金</t>
  </si>
  <si>
    <t xml:space="preserve">                支付的各项税费</t>
  </si>
  <si>
    <t xml:space="preserve">                支付其他与经营活动有关的现金</t>
  </si>
  <si>
    <r>
      <rPr>
        <sz val="9"/>
        <rFont val="Arial"/>
        <family val="2"/>
      </rPr>
      <t xml:space="preserve">                </t>
    </r>
    <r>
      <rPr>
        <sz val="9"/>
        <rFont val="宋体"/>
        <family val="3"/>
        <charset val="134"/>
      </rPr>
      <t>经营活动现金流出其他项目</t>
    </r>
  </si>
  <si>
    <r>
      <rPr>
        <sz val="9"/>
        <rFont val="Arial"/>
        <family val="2"/>
      </rPr>
      <t xml:space="preserve">                </t>
    </r>
    <r>
      <rPr>
        <sz val="9"/>
        <rFont val="宋体"/>
        <family val="3"/>
        <charset val="134"/>
      </rPr>
      <t>经营活动现金流出平衡项目</t>
    </r>
  </si>
  <si>
    <t xml:space="preserve">                经营活动现金流出小计</t>
  </si>
  <si>
    <r>
      <rPr>
        <sz val="9"/>
        <rFont val="Arial"/>
        <family val="2"/>
      </rPr>
      <t xml:space="preserve">                </t>
    </r>
    <r>
      <rPr>
        <sz val="9"/>
        <rFont val="宋体"/>
        <family val="3"/>
        <charset val="134"/>
      </rPr>
      <t>经营活动产生的现金流量净额其他项目</t>
    </r>
  </si>
  <si>
    <r>
      <rPr>
        <sz val="9"/>
        <rFont val="Arial"/>
        <family val="2"/>
      </rPr>
      <t xml:space="preserve">                </t>
    </r>
    <r>
      <rPr>
        <sz val="9"/>
        <rFont val="宋体"/>
        <family val="3"/>
        <charset val="134"/>
      </rPr>
      <t>经营活动产生的现金流量净额平衡项目</t>
    </r>
  </si>
  <si>
    <r>
      <rPr>
        <b/>
        <sz val="9"/>
        <rFont val="Arial"/>
        <family val="2"/>
      </rPr>
      <t xml:space="preserve">                </t>
    </r>
    <r>
      <rPr>
        <b/>
        <sz val="9"/>
        <rFont val="宋体"/>
        <family val="3"/>
        <charset val="134"/>
      </rPr>
      <t>经营活动产生的现金流量净额</t>
    </r>
  </si>
  <si>
    <t>二、投资活动产生的现金流量</t>
  </si>
  <si>
    <t xml:space="preserve">                收回投资收到的现金</t>
  </si>
  <si>
    <t xml:space="preserve">                取得投资收益收到的现金</t>
  </si>
  <si>
    <r>
      <rPr>
        <sz val="9"/>
        <rFont val="Arial"/>
        <family val="2"/>
      </rPr>
      <t xml:space="preserve">                </t>
    </r>
    <r>
      <rPr>
        <sz val="9"/>
        <rFont val="宋体"/>
        <family val="3"/>
        <charset val="134"/>
      </rPr>
      <t>处置固定资产、无形资产和其他长期资产收到的现金净额</t>
    </r>
  </si>
  <si>
    <t xml:space="preserve">                处置子公司及其他经营单位收到的现金净额</t>
  </si>
  <si>
    <r>
      <rPr>
        <sz val="9"/>
        <rFont val="Arial"/>
        <family val="2"/>
      </rPr>
      <t xml:space="preserve">                </t>
    </r>
    <r>
      <rPr>
        <sz val="9"/>
        <rFont val="宋体"/>
        <family val="3"/>
        <charset val="134"/>
      </rPr>
      <t>减少质押和定期存款所收到的现金</t>
    </r>
  </si>
  <si>
    <r>
      <rPr>
        <sz val="9"/>
        <rFont val="Arial"/>
        <family val="2"/>
      </rPr>
      <t xml:space="preserve">                </t>
    </r>
    <r>
      <rPr>
        <sz val="9"/>
        <rFont val="宋体"/>
        <family val="3"/>
        <charset val="134"/>
      </rPr>
      <t>收到其他与投资活动有关的现金</t>
    </r>
  </si>
  <si>
    <r>
      <rPr>
        <sz val="9"/>
        <rFont val="Arial"/>
        <family val="2"/>
      </rPr>
      <t xml:space="preserve">                </t>
    </r>
    <r>
      <rPr>
        <sz val="9"/>
        <rFont val="宋体"/>
        <family val="3"/>
        <charset val="134"/>
      </rPr>
      <t>投资活动现金流入其他项目</t>
    </r>
  </si>
  <si>
    <r>
      <rPr>
        <sz val="9"/>
        <rFont val="Arial"/>
        <family val="2"/>
      </rPr>
      <t xml:space="preserve">                </t>
    </r>
    <r>
      <rPr>
        <sz val="9"/>
        <rFont val="宋体"/>
        <family val="3"/>
        <charset val="134"/>
      </rPr>
      <t>投资活动现金流入平衡项目</t>
    </r>
  </si>
  <si>
    <t xml:space="preserve">                投资活动现金流入小计</t>
  </si>
  <si>
    <t xml:space="preserve">                购建固定资产、无形资产和其他长期资产支付的现金</t>
  </si>
  <si>
    <r>
      <rPr>
        <sz val="9"/>
        <rFont val="Arial"/>
        <family val="2"/>
      </rPr>
      <t xml:space="preserve">                </t>
    </r>
    <r>
      <rPr>
        <sz val="9"/>
        <rFont val="宋体"/>
        <family val="3"/>
        <charset val="134"/>
      </rPr>
      <t>投资支付的现金</t>
    </r>
  </si>
  <si>
    <r>
      <rPr>
        <sz val="9"/>
        <rFont val="Arial"/>
        <family val="2"/>
      </rPr>
      <t xml:space="preserve">                </t>
    </r>
    <r>
      <rPr>
        <sz val="9"/>
        <rFont val="宋体"/>
        <family val="3"/>
        <charset val="134"/>
      </rPr>
      <t>质押贷款净增加额</t>
    </r>
  </si>
  <si>
    <r>
      <rPr>
        <sz val="9"/>
        <rFont val="Arial"/>
        <family val="2"/>
      </rPr>
      <t xml:space="preserve">                </t>
    </r>
    <r>
      <rPr>
        <sz val="9"/>
        <rFont val="宋体"/>
        <family val="3"/>
        <charset val="134"/>
      </rPr>
      <t>取得子公司及其他营业单位支付的现金净额</t>
    </r>
  </si>
  <si>
    <r>
      <rPr>
        <sz val="9"/>
        <rFont val="Arial"/>
        <family val="2"/>
      </rPr>
      <t xml:space="preserve">                </t>
    </r>
    <r>
      <rPr>
        <sz val="9"/>
        <rFont val="宋体"/>
        <family val="3"/>
        <charset val="134"/>
      </rPr>
      <t>增加质押和定期存款所支付的现金</t>
    </r>
  </si>
  <si>
    <r>
      <rPr>
        <sz val="9"/>
        <rFont val="Arial"/>
        <family val="2"/>
      </rPr>
      <t xml:space="preserve">                </t>
    </r>
    <r>
      <rPr>
        <sz val="9"/>
        <rFont val="宋体"/>
        <family val="3"/>
        <charset val="134"/>
      </rPr>
      <t>支付其他与投资活动有关的现金</t>
    </r>
  </si>
  <si>
    <r>
      <rPr>
        <sz val="9"/>
        <rFont val="Arial"/>
        <family val="2"/>
      </rPr>
      <t xml:space="preserve">                </t>
    </r>
    <r>
      <rPr>
        <sz val="9"/>
        <rFont val="宋体"/>
        <family val="3"/>
        <charset val="134"/>
      </rPr>
      <t>投资活动现金流出其他项目</t>
    </r>
  </si>
  <si>
    <r>
      <rPr>
        <sz val="9"/>
        <rFont val="Arial"/>
        <family val="2"/>
      </rPr>
      <t xml:space="preserve">                </t>
    </r>
    <r>
      <rPr>
        <sz val="9"/>
        <rFont val="宋体"/>
        <family val="3"/>
        <charset val="134"/>
      </rPr>
      <t>投资活动现金流出平衡项目</t>
    </r>
  </si>
  <si>
    <t xml:space="preserve">                投资活动现金流出小计</t>
  </si>
  <si>
    <r>
      <rPr>
        <sz val="9"/>
        <rFont val="Arial"/>
        <family val="2"/>
      </rPr>
      <t xml:space="preserve">                </t>
    </r>
    <r>
      <rPr>
        <sz val="9"/>
        <rFont val="宋体"/>
        <family val="3"/>
        <charset val="134"/>
      </rPr>
      <t>投资活动产生的现金流量净额其他项目</t>
    </r>
  </si>
  <si>
    <r>
      <rPr>
        <sz val="9"/>
        <rFont val="Arial"/>
        <family val="2"/>
      </rPr>
      <t xml:space="preserve">                </t>
    </r>
    <r>
      <rPr>
        <sz val="9"/>
        <rFont val="宋体"/>
        <family val="3"/>
        <charset val="134"/>
      </rPr>
      <t>投资活动产生的现金流量净额平衡项目</t>
    </r>
  </si>
  <si>
    <t xml:space="preserve">                投资活动产生的现金流量净额</t>
  </si>
  <si>
    <t>三、筹资活动产生的现金流量</t>
  </si>
  <si>
    <t xml:space="preserve">                吸收投资收到的现金</t>
  </si>
  <si>
    <t xml:space="preserve">                其中：子公司吸收少数股东投资收到的现金</t>
  </si>
  <si>
    <r>
      <rPr>
        <sz val="9"/>
        <rFont val="Arial"/>
        <family val="2"/>
      </rPr>
      <t xml:space="preserve">                </t>
    </r>
    <r>
      <rPr>
        <sz val="9"/>
        <rFont val="宋体"/>
        <family val="3"/>
        <charset val="134"/>
      </rPr>
      <t>取得借款收到的现金</t>
    </r>
  </si>
  <si>
    <r>
      <rPr>
        <sz val="9"/>
        <rFont val="Arial"/>
        <family val="2"/>
      </rPr>
      <t xml:space="preserve">                </t>
    </r>
    <r>
      <rPr>
        <sz val="9"/>
        <rFont val="宋体"/>
        <family val="3"/>
        <charset val="134"/>
      </rPr>
      <t>发行债券收到的现金</t>
    </r>
  </si>
  <si>
    <r>
      <rPr>
        <sz val="9"/>
        <rFont val="Arial"/>
        <family val="2"/>
      </rPr>
      <t xml:space="preserve">                </t>
    </r>
    <r>
      <rPr>
        <sz val="9"/>
        <rFont val="宋体"/>
        <family val="3"/>
        <charset val="134"/>
      </rPr>
      <t>收到其他与筹资活动有关的现金</t>
    </r>
  </si>
  <si>
    <r>
      <rPr>
        <sz val="9"/>
        <rFont val="Arial"/>
        <family val="2"/>
      </rPr>
      <t xml:space="preserve">                </t>
    </r>
    <r>
      <rPr>
        <sz val="9"/>
        <rFont val="宋体"/>
        <family val="3"/>
        <charset val="134"/>
      </rPr>
      <t>筹资活动现金流入其他项目</t>
    </r>
  </si>
  <si>
    <r>
      <rPr>
        <sz val="9"/>
        <rFont val="Arial"/>
        <family val="2"/>
      </rPr>
      <t xml:space="preserve">                </t>
    </r>
    <r>
      <rPr>
        <sz val="9"/>
        <rFont val="宋体"/>
        <family val="3"/>
        <charset val="134"/>
      </rPr>
      <t>筹资活动现金流入</t>
    </r>
    <r>
      <rPr>
        <sz val="9"/>
        <rFont val="宋体"/>
        <family val="3"/>
        <charset val="134"/>
      </rPr>
      <t>平衡项目</t>
    </r>
  </si>
  <si>
    <t xml:space="preserve">                筹资活动现金流入小计</t>
  </si>
  <si>
    <t xml:space="preserve">                偿还债务支付的现金</t>
  </si>
  <si>
    <t xml:space="preserve">                分配股利、利润或偿付利息支付的现金</t>
  </si>
  <si>
    <t xml:space="preserve">                其中：子公司支付给少数股东的股利、利润</t>
  </si>
  <si>
    <r>
      <rPr>
        <sz val="9"/>
        <rFont val="Arial"/>
        <family val="2"/>
      </rPr>
      <t xml:space="preserve">                </t>
    </r>
    <r>
      <rPr>
        <sz val="9"/>
        <rFont val="宋体"/>
        <family val="3"/>
        <charset val="134"/>
      </rPr>
      <t>购买子公司少数股权而支付的现金</t>
    </r>
  </si>
  <si>
    <r>
      <rPr>
        <sz val="9"/>
        <rFont val="Arial"/>
        <family val="2"/>
      </rPr>
      <t xml:space="preserve">                </t>
    </r>
    <r>
      <rPr>
        <sz val="9"/>
        <rFont val="宋体"/>
        <family val="3"/>
        <charset val="134"/>
      </rPr>
      <t>支付其他与筹资活动有关的现金</t>
    </r>
  </si>
  <si>
    <r>
      <rPr>
        <sz val="9"/>
        <rFont val="Arial"/>
        <family val="2"/>
      </rPr>
      <t xml:space="preserve">                </t>
    </r>
    <r>
      <rPr>
        <sz val="9"/>
        <rFont val="宋体"/>
        <family val="3"/>
        <charset val="134"/>
      </rPr>
      <t>其中：子公司减资支付给少数股东的现金</t>
    </r>
  </si>
  <si>
    <r>
      <rPr>
        <sz val="9"/>
        <rFont val="Arial"/>
        <family val="2"/>
      </rPr>
      <t xml:space="preserve">                </t>
    </r>
    <r>
      <rPr>
        <sz val="9"/>
        <rFont val="宋体"/>
        <family val="3"/>
        <charset val="134"/>
      </rPr>
      <t>筹资活动现金流出其他项目</t>
    </r>
  </si>
  <si>
    <r>
      <rPr>
        <sz val="9"/>
        <rFont val="Arial"/>
        <family val="2"/>
      </rPr>
      <t xml:space="preserve">                </t>
    </r>
    <r>
      <rPr>
        <sz val="9"/>
        <rFont val="宋体"/>
        <family val="3"/>
        <charset val="134"/>
      </rPr>
      <t>筹资活动现金流出</t>
    </r>
    <r>
      <rPr>
        <sz val="9"/>
        <rFont val="宋体"/>
        <family val="3"/>
        <charset val="134"/>
      </rPr>
      <t>平衡项目</t>
    </r>
  </si>
  <si>
    <t xml:space="preserve">                筹资活动现金流出小计</t>
  </si>
  <si>
    <r>
      <rPr>
        <sz val="9"/>
        <rFont val="Arial"/>
        <family val="2"/>
      </rPr>
      <t xml:space="preserve">                </t>
    </r>
    <r>
      <rPr>
        <sz val="9"/>
        <rFont val="宋体"/>
        <family val="3"/>
        <charset val="134"/>
      </rPr>
      <t>筹资活动产生的现金流量净额其他项目</t>
    </r>
  </si>
  <si>
    <r>
      <rPr>
        <sz val="9"/>
        <rFont val="Arial"/>
        <family val="2"/>
      </rPr>
      <t xml:space="preserve">                </t>
    </r>
    <r>
      <rPr>
        <sz val="9"/>
        <rFont val="宋体"/>
        <family val="3"/>
        <charset val="134"/>
      </rPr>
      <t>筹资活动产生的现金流量净额</t>
    </r>
    <r>
      <rPr>
        <sz val="9"/>
        <rFont val="宋体"/>
        <family val="3"/>
        <charset val="134"/>
      </rPr>
      <t>平衡项目</t>
    </r>
  </si>
  <si>
    <t xml:space="preserve">                筹资活动产生的现金流量净额</t>
  </si>
  <si>
    <t>四、现金及现金等价物净增加：</t>
  </si>
  <si>
    <t xml:space="preserve">                汇率变动对现金的影响</t>
  </si>
  <si>
    <r>
      <rPr>
        <sz val="9"/>
        <rFont val="Arial"/>
        <family val="2"/>
      </rPr>
      <t xml:space="preserve">                </t>
    </r>
    <r>
      <rPr>
        <sz val="9"/>
        <rFont val="宋体"/>
        <family val="3"/>
        <charset val="134"/>
      </rPr>
      <t>现金及现金等价物净增加额其他项目</t>
    </r>
  </si>
  <si>
    <r>
      <rPr>
        <sz val="9"/>
        <rFont val="Arial"/>
        <family val="2"/>
      </rPr>
      <t xml:space="preserve">                </t>
    </r>
    <r>
      <rPr>
        <sz val="9"/>
        <rFont val="宋体"/>
        <family val="3"/>
        <charset val="134"/>
      </rPr>
      <t>现金及现金等价物净增加额</t>
    </r>
    <r>
      <rPr>
        <sz val="9"/>
        <rFont val="宋体"/>
        <family val="3"/>
        <charset val="134"/>
      </rPr>
      <t>平衡项目</t>
    </r>
  </si>
  <si>
    <t xml:space="preserve">                现金及现金等价物净增加额</t>
  </si>
  <si>
    <t xml:space="preserve">                期初现金及现金等价物余额</t>
  </si>
  <si>
    <r>
      <rPr>
        <sz val="9"/>
        <rFont val="Arial"/>
        <family val="2"/>
      </rPr>
      <t xml:space="preserve">                </t>
    </r>
    <r>
      <rPr>
        <sz val="9"/>
        <rFont val="宋体"/>
        <family val="3"/>
        <charset val="134"/>
      </rPr>
      <t>期末现金及现金等价物余额其他项目</t>
    </r>
  </si>
  <si>
    <r>
      <rPr>
        <sz val="9"/>
        <rFont val="Arial"/>
        <family val="2"/>
      </rPr>
      <t xml:space="preserve">                </t>
    </r>
    <r>
      <rPr>
        <sz val="9"/>
        <rFont val="宋体"/>
        <family val="3"/>
        <charset val="134"/>
      </rPr>
      <t>期末现金及现金等价物余额平衡项目</t>
    </r>
  </si>
  <si>
    <t xml:space="preserve">                期末现金及现金等价物余额</t>
  </si>
  <si>
    <t>补充资料：</t>
  </si>
  <si>
    <t xml:space="preserve">                净利润</t>
  </si>
  <si>
    <t xml:space="preserve">                加：资产减值准备</t>
  </si>
  <si>
    <r>
      <rPr>
        <sz val="9"/>
        <rFont val="Arial"/>
        <family val="2"/>
      </rPr>
      <t xml:space="preserve">                </t>
    </r>
    <r>
      <rPr>
        <sz val="9"/>
        <rFont val="宋体"/>
        <family val="3"/>
        <charset val="134"/>
      </rPr>
      <t>固定资产和投资性房地产折旧</t>
    </r>
  </si>
  <si>
    <r>
      <rPr>
        <sz val="9"/>
        <rFont val="Arial"/>
        <family val="2"/>
      </rPr>
      <t xml:space="preserve">                </t>
    </r>
    <r>
      <rPr>
        <sz val="9"/>
        <rFont val="宋体"/>
        <family val="3"/>
        <charset val="134"/>
      </rPr>
      <t>其中：固定资产折旧、油气资产折耗、生产性生物资产折旧</t>
    </r>
  </si>
  <si>
    <r>
      <rPr>
        <sz val="9"/>
        <rFont val="Arial"/>
        <family val="2"/>
      </rPr>
      <t xml:space="preserve">                           </t>
    </r>
    <r>
      <rPr>
        <sz val="9"/>
        <rFont val="宋体"/>
        <family val="3"/>
        <charset val="134"/>
      </rPr>
      <t>投资性房地产折旧</t>
    </r>
  </si>
  <si>
    <r>
      <rPr>
        <sz val="9"/>
        <rFont val="Arial"/>
        <family val="2"/>
      </rPr>
      <t xml:space="preserve">                </t>
    </r>
    <r>
      <rPr>
        <sz val="9"/>
        <rFont val="宋体"/>
        <family val="3"/>
        <charset val="134"/>
      </rPr>
      <t>无形资产摊销</t>
    </r>
  </si>
  <si>
    <t xml:space="preserve">                长期待摊费用摊销</t>
  </si>
  <si>
    <r>
      <rPr>
        <sz val="9"/>
        <rFont val="Arial"/>
        <family val="2"/>
      </rPr>
      <t xml:space="preserve">                </t>
    </r>
    <r>
      <rPr>
        <sz val="9"/>
        <rFont val="宋体"/>
        <family val="3"/>
        <charset val="134"/>
      </rPr>
      <t>递延收益摊销</t>
    </r>
  </si>
  <si>
    <r>
      <rPr>
        <sz val="9"/>
        <rFont val="Arial"/>
        <family val="2"/>
      </rPr>
      <t xml:space="preserve">                </t>
    </r>
    <r>
      <rPr>
        <sz val="9"/>
        <rFont val="宋体"/>
        <family val="3"/>
        <charset val="134"/>
      </rPr>
      <t>待摊费用减少</t>
    </r>
  </si>
  <si>
    <r>
      <rPr>
        <sz val="9"/>
        <rFont val="Arial"/>
        <family val="2"/>
      </rPr>
      <t xml:space="preserve">                </t>
    </r>
    <r>
      <rPr>
        <sz val="9"/>
        <rFont val="宋体"/>
        <family val="3"/>
        <charset val="134"/>
      </rPr>
      <t>预提费用增加</t>
    </r>
  </si>
  <si>
    <r>
      <rPr>
        <sz val="9"/>
        <rFont val="Arial"/>
        <family val="2"/>
      </rPr>
      <t xml:space="preserve">                </t>
    </r>
    <r>
      <rPr>
        <sz val="9"/>
        <rFont val="宋体"/>
        <family val="3"/>
        <charset val="134"/>
      </rPr>
      <t>处置固定资产、无形资产和其他长期资产的损失</t>
    </r>
  </si>
  <si>
    <t xml:space="preserve">                固定资产报废损失</t>
  </si>
  <si>
    <t xml:space="preserve">                公允价值变动损失</t>
  </si>
  <si>
    <t xml:space="preserve">                投资损失</t>
  </si>
  <si>
    <r>
      <rPr>
        <sz val="9"/>
        <rFont val="Arial"/>
        <family val="2"/>
      </rPr>
      <t xml:space="preserve">                </t>
    </r>
    <r>
      <rPr>
        <sz val="9"/>
        <rFont val="宋体"/>
        <family val="3"/>
        <charset val="134"/>
      </rPr>
      <t>递延所得税</t>
    </r>
  </si>
  <si>
    <r>
      <rPr>
        <sz val="9"/>
        <rFont val="Arial"/>
        <family val="2"/>
      </rPr>
      <t xml:space="preserve">                        </t>
    </r>
    <r>
      <rPr>
        <sz val="9"/>
        <rFont val="宋体"/>
        <family val="3"/>
        <charset val="134"/>
      </rPr>
      <t>递延所得税资产减少</t>
    </r>
  </si>
  <si>
    <r>
      <rPr>
        <sz val="9"/>
        <rFont val="Arial"/>
        <family val="2"/>
      </rPr>
      <t xml:space="preserve">                        </t>
    </r>
    <r>
      <rPr>
        <sz val="9"/>
        <rFont val="宋体"/>
        <family val="3"/>
        <charset val="134"/>
      </rPr>
      <t>递延所得税负债增加</t>
    </r>
  </si>
  <si>
    <r>
      <rPr>
        <sz val="9"/>
        <rFont val="Arial"/>
        <family val="2"/>
      </rPr>
      <t xml:space="preserve">                </t>
    </r>
    <r>
      <rPr>
        <sz val="9"/>
        <rFont val="宋体"/>
        <family val="3"/>
        <charset val="134"/>
      </rPr>
      <t>预计负债的增加</t>
    </r>
  </si>
  <si>
    <r>
      <rPr>
        <sz val="9"/>
        <rFont val="Arial"/>
        <family val="2"/>
      </rPr>
      <t xml:space="preserve">                </t>
    </r>
    <r>
      <rPr>
        <sz val="9"/>
        <rFont val="宋体"/>
        <family val="3"/>
        <charset val="134"/>
      </rPr>
      <t>存货的减少</t>
    </r>
  </si>
  <si>
    <t xml:space="preserve">                经营性应收项目的减少</t>
  </si>
  <si>
    <t xml:space="preserve">                经营性应付项目的增加</t>
  </si>
  <si>
    <r>
      <rPr>
        <sz val="9"/>
        <rFont val="Arial"/>
        <family val="2"/>
      </rPr>
      <t xml:space="preserve">                </t>
    </r>
    <r>
      <rPr>
        <sz val="9"/>
        <rFont val="宋体"/>
        <family val="3"/>
        <charset val="134"/>
      </rPr>
      <t>其他</t>
    </r>
  </si>
  <si>
    <r>
      <rPr>
        <sz val="9"/>
        <rFont val="Arial"/>
        <family val="2"/>
      </rPr>
      <t xml:space="preserve">                </t>
    </r>
    <r>
      <rPr>
        <sz val="9"/>
        <rFont val="宋体"/>
        <family val="3"/>
        <charset val="134"/>
      </rPr>
      <t>经营活动现金流量净额其他项目</t>
    </r>
  </si>
  <si>
    <r>
      <rPr>
        <sz val="9"/>
        <rFont val="Arial"/>
        <family val="2"/>
      </rPr>
      <t xml:space="preserve">                </t>
    </r>
    <r>
      <rPr>
        <sz val="9"/>
        <rFont val="宋体"/>
        <family val="3"/>
        <charset val="134"/>
      </rPr>
      <t>经营活动现金流量净额</t>
    </r>
    <r>
      <rPr>
        <sz val="9"/>
        <rFont val="宋体"/>
        <family val="3"/>
        <charset val="134"/>
      </rPr>
      <t>平衡项目</t>
    </r>
  </si>
  <si>
    <t xml:space="preserve">                经营活动产生的现金流量净额</t>
  </si>
  <si>
    <t xml:space="preserve">                债务转为资本</t>
  </si>
  <si>
    <t xml:space="preserve">                一年内到期的可转换公司债券</t>
  </si>
  <si>
    <t xml:space="preserve">                融资租入固定资产</t>
  </si>
  <si>
    <r>
      <rPr>
        <sz val="9"/>
        <rFont val="Arial"/>
        <family val="2"/>
      </rPr>
      <t xml:space="preserve">                </t>
    </r>
    <r>
      <rPr>
        <sz val="9"/>
        <rFont val="宋体"/>
        <family val="3"/>
        <charset val="134"/>
      </rPr>
      <t>不涉及现金收支的投资和筹资活动金额其他项目</t>
    </r>
  </si>
  <si>
    <t xml:space="preserve">                现金的期末余额</t>
  </si>
  <si>
    <t xml:space="preserve">                减：现金的期初余额</t>
  </si>
  <si>
    <t xml:space="preserve">                加：现金等价物的期末余额</t>
  </si>
  <si>
    <t xml:space="preserve">                减：现金等价物的期初余额</t>
  </si>
  <si>
    <r>
      <rPr>
        <sz val="9"/>
        <rFont val="Arial"/>
        <family val="2"/>
      </rPr>
      <t xml:space="preserve">                </t>
    </r>
    <r>
      <rPr>
        <sz val="9"/>
        <rFont val="宋体"/>
        <family val="3"/>
        <charset val="134"/>
      </rPr>
      <t>加：现金及现金等价物净增加额其他项目</t>
    </r>
  </si>
  <si>
    <r>
      <rPr>
        <sz val="9"/>
        <rFont val="Arial"/>
        <family val="2"/>
      </rPr>
      <t xml:space="preserve">                </t>
    </r>
    <r>
      <rPr>
        <sz val="9"/>
        <rFont val="宋体"/>
        <family val="3"/>
        <charset val="134"/>
      </rPr>
      <t>加：现金及现金等价物净增加额平衡项目</t>
    </r>
  </si>
  <si>
    <r>
      <rPr>
        <sz val="9"/>
        <rFont val="Arial"/>
        <family val="2"/>
      </rPr>
      <t xml:space="preserve">                </t>
    </r>
    <r>
      <rPr>
        <sz val="9"/>
        <rFont val="宋体"/>
        <family val="3"/>
        <charset val="134"/>
      </rPr>
      <t>现金及现金等价物净增加额</t>
    </r>
  </si>
  <si>
    <t>利润表</t>
  </si>
  <si>
    <t>1、经营活动收益</t>
  </si>
  <si>
    <t>营业收入</t>
  </si>
  <si>
    <t>减：</t>
  </si>
  <si>
    <t>营业成本</t>
  </si>
  <si>
    <t>营业税金及附加</t>
  </si>
  <si>
    <t>销售费用</t>
  </si>
  <si>
    <t>管理费用</t>
  </si>
  <si>
    <t>利息费用</t>
  </si>
  <si>
    <t>资产减值损失</t>
  </si>
  <si>
    <t>加：</t>
  </si>
  <si>
    <t>其他经营性损益</t>
  </si>
  <si>
    <t>税前经营利润</t>
  </si>
  <si>
    <t>经营活动所得税</t>
  </si>
  <si>
    <t>税后经营利润</t>
  </si>
  <si>
    <t>所得税率</t>
  </si>
  <si>
    <t>2、非经营活动收益</t>
  </si>
  <si>
    <t>投资收益-对联营和合营企业的投资收益</t>
  </si>
  <si>
    <t>投资收益-其他</t>
  </si>
  <si>
    <t>公允价值变动收益</t>
  </si>
  <si>
    <t>资产处置收益</t>
  </si>
  <si>
    <t>其他非经营性损益</t>
  </si>
  <si>
    <t>税前非经营利润</t>
  </si>
  <si>
    <t>非经营利润所得税</t>
  </si>
  <si>
    <t>税收减免或返还</t>
  </si>
  <si>
    <t>税后非经营利润</t>
  </si>
  <si>
    <t>3、利润分配</t>
  </si>
  <si>
    <t>税后利润合计</t>
  </si>
  <si>
    <t>少数股东损益</t>
  </si>
  <si>
    <t>归属母公司股东的净利润</t>
  </si>
  <si>
    <t>计算值</t>
  </si>
  <si>
    <t>实际值</t>
  </si>
  <si>
    <t>差额</t>
  </si>
  <si>
    <t>普通股股利</t>
  </si>
  <si>
    <t>本期留存收益</t>
  </si>
  <si>
    <t>资产负债表</t>
  </si>
  <si>
    <t>1、资产</t>
  </si>
  <si>
    <t>货币资金</t>
  </si>
  <si>
    <t>以公允价值计量且其变动计入当期损益的金融资产</t>
  </si>
  <si>
    <t>应收票据及账款</t>
  </si>
  <si>
    <t>预付账款</t>
  </si>
  <si>
    <t>其他应收款</t>
  </si>
  <si>
    <t>存货</t>
  </si>
  <si>
    <t>混业经营金融类资产</t>
  </si>
  <si>
    <t>其他流动资产</t>
  </si>
  <si>
    <t>流动资产合计</t>
  </si>
  <si>
    <t>长期应收款</t>
  </si>
  <si>
    <t>长期股权投资</t>
  </si>
  <si>
    <t>金融资产投资</t>
  </si>
  <si>
    <t>投资性房地产</t>
  </si>
  <si>
    <t>固定资产、生物资产、油气资产</t>
  </si>
  <si>
    <t>在建工程、工程物资</t>
  </si>
  <si>
    <t>无形资产</t>
  </si>
  <si>
    <t>开发支出</t>
  </si>
  <si>
    <t>商誉</t>
  </si>
  <si>
    <t>长期待摊费用</t>
  </si>
  <si>
    <t>其他非流动资产</t>
  </si>
  <si>
    <t>非流动资产合计</t>
  </si>
  <si>
    <t>资产总计</t>
  </si>
  <si>
    <t>2、负债</t>
  </si>
  <si>
    <t>短期借款</t>
  </si>
  <si>
    <t>以公允价值计量且其变动计入当期损益的金融负债</t>
  </si>
  <si>
    <t>应付票据及账款</t>
  </si>
  <si>
    <t>预收账款</t>
  </si>
  <si>
    <t>其他应付款</t>
  </si>
  <si>
    <t>混业经营金融类负债</t>
  </si>
  <si>
    <t>其他流动负债</t>
  </si>
  <si>
    <t>流动负债合计</t>
  </si>
  <si>
    <t>长期借款</t>
  </si>
  <si>
    <t>应付债券</t>
  </si>
  <si>
    <t>长期应付款</t>
  </si>
  <si>
    <t>专项应付款</t>
  </si>
  <si>
    <t>预计负债</t>
  </si>
  <si>
    <t>其他非流动负债</t>
  </si>
  <si>
    <t>非流动负债合计</t>
  </si>
  <si>
    <t>负债合计</t>
  </si>
  <si>
    <t>3、股东权益</t>
  </si>
  <si>
    <t>股本</t>
  </si>
  <si>
    <t>资本公积金</t>
  </si>
  <si>
    <t>历史期累积留存收益</t>
  </si>
  <si>
    <t>归属母公司股东的权益</t>
  </si>
  <si>
    <t>少数股东权益</t>
  </si>
  <si>
    <t>股东权益合计</t>
  </si>
  <si>
    <t>负债和股东权益合计</t>
  </si>
  <si>
    <t>与资产总计的差额</t>
  </si>
  <si>
    <t>现金流量表</t>
  </si>
  <si>
    <t>1、将净利润调节为经营活动的现金流量</t>
  </si>
  <si>
    <t>折旧与摊销</t>
  </si>
  <si>
    <t>资产减值准备</t>
  </si>
  <si>
    <t>利息费用(收益以“-”填列)</t>
  </si>
  <si>
    <t>其他财务费用</t>
  </si>
  <si>
    <t>存货的减少(增加以“-”填列)</t>
  </si>
  <si>
    <t>经营性应收项目的减少(增加以“-”填列)</t>
  </si>
  <si>
    <t>经营性应付项目的增加(减少以“-”填列)</t>
  </si>
  <si>
    <t>其他</t>
  </si>
  <si>
    <t>经营活动产生的现金流量净额</t>
  </si>
  <si>
    <t>与实际差额</t>
  </si>
  <si>
    <t>2、投资活动产生的现金流量</t>
  </si>
  <si>
    <t>收回投资收到的现金</t>
  </si>
  <si>
    <t>取得投资收益收到的现金</t>
  </si>
  <si>
    <t>收到的其他与投资活动有关的现金</t>
  </si>
  <si>
    <t>购建固定资产、无形资产和其他长期资产所支付的现金</t>
  </si>
  <si>
    <t>长期股权投资支付的现金</t>
  </si>
  <si>
    <t>金融资产的增加</t>
  </si>
  <si>
    <t>金融资产投资增加(减少以“-”填列)</t>
  </si>
  <si>
    <t>支付其他与投资活动有关的现金</t>
  </si>
  <si>
    <t>投资活动产生的现金流量净额</t>
  </si>
  <si>
    <r>
      <rPr>
        <b/>
        <sz val="9"/>
        <rFont val="Arial"/>
        <family val="2"/>
      </rPr>
      <t>3</t>
    </r>
    <r>
      <rPr>
        <b/>
        <sz val="9"/>
        <rFont val="宋体"/>
        <family val="3"/>
        <charset val="134"/>
      </rPr>
      <t>、筹资活动产生的现金流量</t>
    </r>
  </si>
  <si>
    <t>吸收投资所收到的现金</t>
  </si>
  <si>
    <t>借款收到的现金</t>
  </si>
  <si>
    <t>收到的其他与筹资活动有关的现金</t>
  </si>
  <si>
    <t>偿还债务所支付的现金</t>
  </si>
  <si>
    <t>分配股利、利润或偿付利息所支付的现金</t>
  </si>
  <si>
    <t>支付其他与筹资活动有关的现金</t>
  </si>
  <si>
    <t>筹资活动产生的现金流量净额</t>
  </si>
  <si>
    <t>汇率变动对现金及现金等价物的影响</t>
  </si>
  <si>
    <t>现金及现金等价物净增加额</t>
  </si>
  <si>
    <t>现金及现金等价物期初余额</t>
  </si>
  <si>
    <t>现金及现金等价物期末余额</t>
  </si>
  <si>
    <t>报表附注</t>
  </si>
  <si>
    <t>1、主要资产原值</t>
  </si>
  <si>
    <t>固定资产原值</t>
  </si>
  <si>
    <t>固定资产累计折旧</t>
  </si>
  <si>
    <t>无形资产原值</t>
  </si>
  <si>
    <t>无形资产累计摊销</t>
  </si>
  <si>
    <t>投资性房地产原值</t>
  </si>
  <si>
    <t>投资性房地产累计折旧</t>
  </si>
  <si>
    <t>2、财务费用明细</t>
  </si>
  <si>
    <t>利息支出</t>
  </si>
  <si>
    <t>利息收入</t>
  </si>
  <si>
    <t xml:space="preserve"> </t>
  </si>
  <si>
    <t>C118</t>
  </si>
  <si>
    <t>IF(OR(EM_S_STM07_BS(目录!$C$4,10,C2,iRepType)="",EM_S_STM07_BS(目录!$C$4,10,C2,iRepType)="--",EM_S_STM07_BS(目录!$C$4,10,C2,iRepType)="NULL")=TRUE,0,EM_S_STM07_BS(目录!$C$4,10,C2,iRepType))/unit-IF(OR(EM_S_STM07_BS(目录!$C$4,10,YEAR(C2)-1&amp;"-12-31",iRepType)="",EM_S_STM07_BS(目录!$C$4,10,YEAR(C2)-1&amp;"-12-31",iRepType)="--",EM_S_STM07_BS(目录!$C$4,10,YEAR(C2)-1&amp;"-12-31",iRepType)="NULL")=TRUE,0,EM_S_STM07_BS(目录!$C$4,10,YEAR(C2)-1&amp;"-12-31",iRepType))/unit+IF(OR(EM_S_STM07_BS(目录!$C$4,76,C2,iRepType)="",EM_S_STM07_BS(目录!$C$4,76,C2,iRepType)="--",EM_S_STM07_BS(目录!$C$4,76,C2,iRepType)="NULL")=TRUE,0,EM_S_STM07_BS(目录!$C$4,76,C2,iRepType))/unit-IF(OR(EM_S_STM07_BS(目录!$C$4,76,YEAR(C2)-1&amp;"-12-31",iRepType)="",EM_S_STM07_BS(目录!$C$4,76,YEAR(C2)-1&amp;"-12-31",iRepType)="--",EM_S_STM07_BS(目录!$C$4,76,YEAR(C2)-1&amp;"-12-31",iRepType)="NULL")=TRUE,0,EM_S_STM07_BS(目录!$C$4,76,YEAR(C2)-1&amp;"-12-31",iRepType))/unit</t>
  </si>
  <si>
    <t>IF(OR(EM_S_STM07_BS(目录!$C$4,10,D2,iRepType)="",EM_S_STM07_BS(目录!$C$4,10,D2,iRepType)="--",EM_S_STM07_BS(目录!$C$4,10,D2,iRepType)="NULL")=TRUE,0,EM_S_STM07_BS(目录!$C$4,10,D2,iRepType))/unit-IF(OR(EM_S_STM07_BS(目录!$C$4,10,YEAR(D2)-1&amp;"-12-31",iRepType)="",EM_S_STM07_BS(目录!$C$4,10,YEAR(D2)-1&amp;"-12-31",iRepType)="--",EM_S_STM07_BS(目录!$C$4,10,YEAR(D2)-1&amp;"-12-31",iRepType)="NULL")=TRUE,0,EM_S_STM07_BS(目录!$C$4,10,YEAR(D2)-1&amp;"-12-31",iRepType))/unit+IF(OR(EM_S_STM07_BS(目录!$C$4,76,D2,iRepType)="",EM_S_STM07_BS(目录!$C$4,76,D2,iRepType)="--",EM_S_STM07_BS(目录!$C$4,76,D2,iRepType)="NULL")=TRUE,0,EM_S_STM07_BS(目录!$C$4,76,D2,iRepType))/unit-IF(OR(EM_S_STM07_BS(目录!$C$4,76,YEAR(D2)-1&amp;"-12-31",iRepType)="",EM_S_STM07_BS(目录!$C$4,76,YEAR(D2)-1&amp;"-12-31",iRepType)="--",EM_S_STM07_BS(目录!$C$4,76,YEAR(D2)-1&amp;"-12-31",iRepType)="NULL")=TRUE,0,EM_S_STM07_BS(目录!$C$4,76,YEAR(D2)-1&amp;"-12-31",iRepType))/unit</t>
  </si>
  <si>
    <t>IF(OR(EM_S_STM07_BS(目录!$C$4,10,E2,iRepType)="",EM_S_STM07_BS(目录!$C$4,10,E2,iRepType)="--",EM_S_STM07_BS(目录!$C$4,10,E2,iRepType)="NULL")=TRUE,0,EM_S_STM07_BS(目录!$C$4,10,E2,iRepType))/unit-IF(OR(EM_S_STM07_BS(目录!$C$4,10,YEAR(E2)-1&amp;"-12-31",iRepType)="",EM_S_STM07_BS(目录!$C$4,10,YEAR(E2)-1&amp;"-12-31",iRepType)="--",EM_S_STM07_BS(目录!$C$4,10,YEAR(E2)-1&amp;"-12-31",iRepType)="NULL")=TRUE,0,EM_S_STM07_BS(目录!$C$4,10,YEAR(E2)-1&amp;"-12-31",iRepType))/unit+IF(OR(EM_S_STM07_BS(目录!$C$4,76,E2,iRepType)="",EM_S_STM07_BS(目录!$C$4,76,E2,iRepType)="--",EM_S_STM07_BS(目录!$C$4,76,E2,iRepType)="NULL")=TRUE,0,EM_S_STM07_BS(目录!$C$4,76,E2,iRepType))/unit-IF(OR(EM_S_STM07_BS(目录!$C$4,76,YEAR(E2)-1&amp;"-12-31",iRepType)="",EM_S_STM07_BS(目录!$C$4,76,YEAR(E2)-1&amp;"-12-31",iRepType)="--",EM_S_STM07_BS(目录!$C$4,76,YEAR(E2)-1&amp;"-12-31",iRepType)="NULL")=TRUE,0,EM_S_STM07_BS(目录!$C$4,76,YEAR(E2)-1&amp;"-12-31",iRepType))/unit</t>
  </si>
  <si>
    <t>IF(OR(EM_S_STM07_BS(目录!$C$4,10,F2,iRepType)="",EM_S_STM07_BS(目录!$C$4,10,F2,iRepType)="--",EM_S_STM07_BS(目录!$C$4,10,F2,iRepType)="NULL")=TRUE,0,EM_S_STM07_BS(目录!$C$4,10,F2,iRepType))/unit-IF(OR(EM_S_STM07_BS(目录!$C$4,10,YEAR(F2)-1&amp;"-12-31",iRepType)="",EM_S_STM07_BS(目录!$C$4,10,YEAR(F2)-1&amp;"-12-31",iRepType)="--",EM_S_STM07_BS(目录!$C$4,10,YEAR(F2)-1&amp;"-12-31",iRepType)="NULL")=TRUE,0,EM_S_STM07_BS(目录!$C$4,10,YEAR(F2)-1&amp;"-12-31",iRepType))/unit+IF(OR(EM_S_STM07_BS(目录!$C$4,76,F2,iRepType)="",EM_S_STM07_BS(目录!$C$4,76,F2,iRepType)="--",EM_S_STM07_BS(目录!$C$4,76,F2,iRepType)="NULL")=TRUE,0,EM_S_STM07_BS(目录!$C$4,76,F2,iRepType))/unit-IF(OR(EM_S_STM07_BS(目录!$C$4,76,YEAR(F2)-1&amp;"-12-31",iRepType)="",EM_S_STM07_BS(目录!$C$4,76,YEAR(F2)-1&amp;"-12-31",iRepType)="--",EM_S_STM07_BS(目录!$C$4,76,YEAR(F2)-1&amp;"-12-31",iRepType)="NULL")=TRUE,0,EM_S_STM07_BS(目录!$C$4,76,YEAR(F2)-1&amp;"-12-31",iRepType))/unit</t>
  </si>
  <si>
    <t>IF(OR(EM_S_STM07_BS(目录!$C$4,10,G2,iRepType)="",EM_S_STM07_BS(目录!$C$4,10,G2,iRepType)="--",EM_S_STM07_BS(目录!$C$4,10,G2,iRepType)="NULL")=TRUE,0,EM_S_STM07_BS(目录!$C$4,10,G2,iRepType))/unit-IF(OR(EM_S_STM07_BS(目录!$C$4,10,YEAR(G2)-1&amp;"-12-31",iRepType)="",EM_S_STM07_BS(目录!$C$4,10,YEAR(G2)-1&amp;"-12-31",iRepType)="--",EM_S_STM07_BS(目录!$C$4,10,YEAR(G2)-1&amp;"-12-31",iRepType)="NULL")=TRUE,0,EM_S_STM07_BS(目录!$C$4,10,YEAR(G2)-1&amp;"-12-31",iRepType))/unit+IF(OR(EM_S_STM07_BS(目录!$C$4,76,G2,iRepType)="",EM_S_STM07_BS(目录!$C$4,76,G2,iRepType)="--",EM_S_STM07_BS(目录!$C$4,76,G2,iRepType)="NULL")=TRUE,0,EM_S_STM07_BS(目录!$C$4,76,G2,iRepType))/unit-IF(OR(EM_S_STM07_BS(目录!$C$4,76,YEAR(G2)-1&amp;"-12-31",iRepType)="",EM_S_STM07_BS(目录!$C$4,76,YEAR(G2)-1&amp;"-12-31",iRepType)="--",EM_S_STM07_BS(目录!$C$4,76,YEAR(G2)-1&amp;"-12-31",iRepType)="NULL")=TRUE,0,EM_S_STM07_BS(目录!$C$4,76,YEAR(G2)-1&amp;"-12-31",iRepType))/unit</t>
  </si>
  <si>
    <t>IF(OR(EM_S_STM07_BS(目录!$C$4,10,H2,iRepType)="",EM_S_STM07_BS(目录!$C$4,10,H2,iRepType)="--",EM_S_STM07_BS(目录!$C$4,10,H2,iRepType)="NULL")=TRUE,0,EM_S_STM07_BS(目录!$C$4,10,H2,iRepType))/unit-IF(OR(EM_S_STM07_BS(目录!$C$4,10,YEAR(H2)-1&amp;"-12-31",iRepType)="",EM_S_STM07_BS(目录!$C$4,10,YEAR(H2)-1&amp;"-12-31",iRepType)="--",EM_S_STM07_BS(目录!$C$4,10,YEAR(H2)-1&amp;"-12-31",iRepType)="NULL")=TRUE,0,EM_S_STM07_BS(目录!$C$4,10,YEAR(H2)-1&amp;"-12-31",iRepType))/unit+IF(OR(EM_S_STM07_BS(目录!$C$4,76,H2,iRepType)="",EM_S_STM07_BS(目录!$C$4,76,H2,iRepType)="--",EM_S_STM07_BS(目录!$C$4,76,H2,iRepType)="NULL")=TRUE,0,EM_S_STM07_BS(目录!$C$4,76,H2,iRepType))/unit-IF(OR(EM_S_STM07_BS(目录!$C$4,76,YEAR(H2)-1&amp;"-12-31",iRepType)="",EM_S_STM07_BS(目录!$C$4,76,YEAR(H2)-1&amp;"-12-31",iRepType)="--",EM_S_STM07_BS(目录!$C$4,76,YEAR(H2)-1&amp;"-12-31",iRepType)="NULL")=TRUE,0,EM_S_STM07_BS(目录!$C$4,76,YEAR(H2)-1&amp;"-12-31",iRepType))/unit</t>
  </si>
  <si>
    <t>IF(OR(EM_S_STM07_BS(目录!$C$4,10,I2,iRepType)="",EM_S_STM07_BS(目录!$C$4,10,I2,iRepType)="--",EM_S_STM07_BS(目录!$C$4,10,I2,iRepType)="NULL")=TRUE,0,EM_S_STM07_BS(目录!$C$4,10,I2,iRepType))/unit-IF(OR(EM_S_STM07_BS(目录!$C$4,10,YEAR(I2)-1&amp;"-12-31",iRepType)="",EM_S_STM07_BS(目录!$C$4,10,YEAR(I2)-1&amp;"-12-31",iRepType)="--",EM_S_STM07_BS(目录!$C$4,10,YEAR(I2)-1&amp;"-12-31",iRepType)="NULL")=TRUE,0,EM_S_STM07_BS(目录!$C$4,10,YEAR(I2)-1&amp;"-12-31",iRepType))/unit+IF(OR(EM_S_STM07_BS(目录!$C$4,76,I2,iRepType)="",EM_S_STM07_BS(目录!$C$4,76,I2,iRepType)="--",EM_S_STM07_BS(目录!$C$4,76,I2,iRepType)="NULL")=TRUE,0,EM_S_STM07_BS(目录!$C$4,76,I2,iRepType))/unit-IF(OR(EM_S_STM07_BS(目录!$C$4,76,YEAR(I2)-1&amp;"-12-31",iRepType)="",EM_S_STM07_BS(目录!$C$4,76,YEAR(I2)-1&amp;"-12-31",iRepType)="--",EM_S_STM07_BS(目录!$C$4,76,YEAR(I2)-1&amp;"-12-31",iRepType)="NULL")=TRUE,0,EM_S_STM07_BS(目录!$C$4,76,YEAR(I2)-1&amp;"-12-31",iRepType))/unit</t>
  </si>
  <si>
    <t>IF(OR(EM_S_STM07_BS(目录!$C$4,10,J2,iRepType)="",EM_S_STM07_BS(目录!$C$4,10,J2,iRepType)="--",EM_S_STM07_BS(目录!$C$4,10,J2,iRepType)="NULL")=TRUE,0,EM_S_STM07_BS(目录!$C$4,10,J2,iRepType))/unit-IF(OR(EM_S_STM07_BS(目录!$C$4,10,YEAR(J2)-1&amp;"-12-31",iRepType)="",EM_S_STM07_BS(目录!$C$4,10,YEAR(J2)-1&amp;"-12-31",iRepType)="--",EM_S_STM07_BS(目录!$C$4,10,YEAR(J2)-1&amp;"-12-31",iRepType)="NULL")=TRUE,0,EM_S_STM07_BS(目录!$C$4,10,YEAR(J2)-1&amp;"-12-31",iRepType))/unit+IF(OR(EM_S_STM07_BS(目录!$C$4,76,J2,iRepType)="",EM_S_STM07_BS(目录!$C$4,76,J2,iRepType)="--",EM_S_STM07_BS(目录!$C$4,76,J2,iRepType)="NULL")=TRUE,0,EM_S_STM07_BS(目录!$C$4,76,J2,iRepType))/unit-IF(OR(EM_S_STM07_BS(目录!$C$4,76,YEAR(J2)-1&amp;"-12-31",iRepType)="",EM_S_STM07_BS(目录!$C$4,76,YEAR(J2)-1&amp;"-12-31",iRepType)="--",EM_S_STM07_BS(目录!$C$4,76,YEAR(J2)-1&amp;"-12-31",iRepType)="NULL")=TRUE,0,EM_S_STM07_BS(目录!$C$4,76,YEAR(J2)-1&amp;"-12-31",iRepType))/unit</t>
  </si>
  <si>
    <t>IF(OR(EM_S_STM07_BS(目录!$C$4,10,K2,iRepType)="",EM_S_STM07_BS(目录!$C$4,10,K2,iRepType)="--",EM_S_STM07_BS(目录!$C$4,10,K2,iRepType)="NULL")=TRUE,0,EM_S_STM07_BS(目录!$C$4,10,K2,iRepType))/unit-IF(OR(EM_S_STM07_BS(目录!$C$4,10,YEAR(K2)-1&amp;"-12-31",iRepType)="",EM_S_STM07_BS(目录!$C$4,10,YEAR(K2)-1&amp;"-12-31",iRepType)="--",EM_S_STM07_BS(目录!$C$4,10,YEAR(K2)-1&amp;"-12-31",iRepType)="NULL")=TRUE,0,EM_S_STM07_BS(目录!$C$4,10,YEAR(K2)-1&amp;"-12-31",iRepType))/unit+IF(OR(EM_S_STM07_BS(目录!$C$4,76,K2,iRepType)="",EM_S_STM07_BS(目录!$C$4,76,K2,iRepType)="--",EM_S_STM07_BS(目录!$C$4,76,K2,iRepType)="NULL")=TRUE,0,EM_S_STM07_BS(目录!$C$4,76,K2,iRepType))/unit-IF(OR(EM_S_STM07_BS(目录!$C$4,76,YEAR(K2)-1&amp;"-12-31",iRepType)="",EM_S_STM07_BS(目录!$C$4,76,YEAR(K2)-1&amp;"-12-31",iRepType)="--",EM_S_STM07_BS(目录!$C$4,76,YEAR(K2)-1&amp;"-12-31",iRepType)="NULL")=TRUE,0,EM_S_STM07_BS(目录!$C$4,76,YEAR(K2)-1&amp;"-12-31",iRepType))/unit</t>
  </si>
  <si>
    <t>IF(OR(EM_S_STM07_BS(目录!$C$4,10,L2,iRepType)="",EM_S_STM07_BS(目录!$C$4,10,L2,iRepType)="--",EM_S_STM07_BS(目录!$C$4,10,L2,iRepType)="NULL")=TRUE,0,EM_S_STM07_BS(目录!$C$4,10,L2,iRepType))/unit-IF(OR(EM_S_STM07_BS(目录!$C$4,10,YEAR(L2)-1&amp;"-12-31",iRepType)="",EM_S_STM07_BS(目录!$C$4,10,YEAR(L2)-1&amp;"-12-31",iRepType)="--",EM_S_STM07_BS(目录!$C$4,10,YEAR(L2)-1&amp;"-12-31",iRepType)="NULL")=TRUE,0,EM_S_STM07_BS(目录!$C$4,10,YEAR(L2)-1&amp;"-12-31",iRepType))/unit+IF(OR(EM_S_STM07_BS(目录!$C$4,76,L2,iRepType)="",EM_S_STM07_BS(目录!$C$4,76,L2,iRepType)="--",EM_S_STM07_BS(目录!$C$4,76,L2,iRepType)="NULL")=TRUE,0,EM_S_STM07_BS(目录!$C$4,76,L2,iRepType))/unit-IF(OR(EM_S_STM07_BS(目录!$C$4,76,YEAR(L2)-1&amp;"-12-31",iRepType)="",EM_S_STM07_BS(目录!$C$4,76,YEAR(L2)-1&amp;"-12-31",iRepType)="--",EM_S_STM07_BS(目录!$C$4,76,YEAR(L2)-1&amp;"-12-31",iRepType)="NULL")=TRUE,0,EM_S_STM07_BS(目录!$C$4,76,YEAR(L2)-1&amp;"-12-31",iRepType))/unit</t>
  </si>
  <si>
    <t>IF(OR(EM_S_STM07_BS(目录!$C$4,10,M2,iRepType)="",EM_S_STM07_BS(目录!$C$4,10,M2,iRepType)="--",EM_S_STM07_BS(目录!$C$4,10,M2,iRepType)="NULL")=TRUE,0,EM_S_STM07_BS(目录!$C$4,10,M2,iRepType))/unit-IF(OR(EM_S_STM07_BS(目录!$C$4,10,YEAR(M2)-1&amp;"-12-31",iRepType)="",EM_S_STM07_BS(目录!$C$4,10,YEAR(M2)-1&amp;"-12-31",iRepType)="--",EM_S_STM07_BS(目录!$C$4,10,YEAR(M2)-1&amp;"-12-31",iRepType)="NULL")=TRUE,0,EM_S_STM07_BS(目录!$C$4,10,YEAR(M2)-1&amp;"-12-31",iRepType))/unit+IF(OR(EM_S_STM07_BS(目录!$C$4,76,M2,iRepType)="",EM_S_STM07_BS(目录!$C$4,76,M2,iRepType)="--",EM_S_STM07_BS(目录!$C$4,76,M2,iRepType)="NULL")=TRUE,0,EM_S_STM07_BS(目录!$C$4,76,M2,iRepType))/unit-IF(OR(EM_S_STM07_BS(目录!$C$4,76,YEAR(M2)-1&amp;"-12-31",iRepType)="",EM_S_STM07_BS(目录!$C$4,76,YEAR(M2)-1&amp;"-12-31",iRepType)="--",EM_S_STM07_BS(目录!$C$4,76,YEAR(M2)-1&amp;"-12-31",iRepType)="NULL")=TRUE,0,EM_S_STM07_BS(目录!$C$4,76,YEAR(M2)-1&amp;"-12-31",iRepType))/unit</t>
  </si>
  <si>
    <t>IF(OR(EM_S_STM07_BS(目录!$C$4,10,N2,iRepType)="",EM_S_STM07_BS(目录!$C$4,10,N2,iRepType)="--",EM_S_STM07_BS(目录!$C$4,10,N2,iRepType)="NULL")=TRUE,0,EM_S_STM07_BS(目录!$C$4,10,N2,iRepType))/unit-IF(OR(EM_S_STM07_BS(目录!$C$4,10,YEAR(N2)-1&amp;"-12-31",iRepType)="",EM_S_STM07_BS(目录!$C$4,10,YEAR(N2)-1&amp;"-12-31",iRepType)="--",EM_S_STM07_BS(目录!$C$4,10,YEAR(N2)-1&amp;"-12-31",iRepType)="NULL")=TRUE,0,EM_S_STM07_BS(目录!$C$4,10,YEAR(N2)-1&amp;"-12-31",iRepType))/unit+IF(OR(EM_S_STM07_BS(目录!$C$4,76,N2,iRepType)="",EM_S_STM07_BS(目录!$C$4,76,N2,iRepType)="--",EM_S_STM07_BS(目录!$C$4,76,N2,iRepType)="NULL")=TRUE,0,EM_S_STM07_BS(目录!$C$4,76,N2,iRepType))/unit-IF(OR(EM_S_STM07_BS(目录!$C$4,76,YEAR(N2)-1&amp;"-12-31",iRepType)="",EM_S_STM07_BS(目录!$C$4,76,YEAR(N2)-1&amp;"-12-31",iRepType)="--",EM_S_STM07_BS(目录!$C$4,76,YEAR(N2)-1&amp;"-12-31",iRepType)="NULL")=TRUE,0,EM_S_STM07_BS(目录!$C$4,76,YEAR(N2)-1&amp;"-12-31",iRepType))/unit</t>
  </si>
  <si>
    <t>IF(OR(EM_S_STM07_BS(目录!$C$4,10,O2,iRepType)="",EM_S_STM07_BS(目录!$C$4,10,O2,iRepType)="--",EM_S_STM07_BS(目录!$C$4,10,O2,iRepType)="NULL")=TRUE,0,EM_S_STM07_BS(目录!$C$4,10,O2,iRepType))/unit-IF(OR(EM_S_STM07_BS(目录!$C$4,10,YEAR(O2)-1&amp;"-12-31",iRepType)="",EM_S_STM07_BS(目录!$C$4,10,YEAR(O2)-1&amp;"-12-31",iRepType)="--",EM_S_STM07_BS(目录!$C$4,10,YEAR(O2)-1&amp;"-12-31",iRepType)="NULL")=TRUE,0,EM_S_STM07_BS(目录!$C$4,10,YEAR(O2)-1&amp;"-12-31",iRepType))/unit+IF(OR(EM_S_STM07_BS(目录!$C$4,76,O2,iRepType)="",EM_S_STM07_BS(目录!$C$4,76,O2,iRepType)="--",EM_S_STM07_BS(目录!$C$4,76,O2,iRepType)="NULL")=TRUE,0,EM_S_STM07_BS(目录!$C$4,76,O2,iRepType))/unit-IF(OR(EM_S_STM07_BS(目录!$C$4,76,YEAR(O2)-1&amp;"-12-31",iRepType)="",EM_S_STM07_BS(目录!$C$4,76,YEAR(O2)-1&amp;"-12-31",iRepType)="--",EM_S_STM07_BS(目录!$C$4,76,YEAR(O2)-1&amp;"-12-31",iRepType)="NULL")=TRUE,0,EM_S_STM07_BS(目录!$C$4,76,YEAR(O2)-1&amp;"-12-31",iRepType))/unit</t>
  </si>
  <si>
    <t>IF(OR(EM_S_STM07_BS(目录!$C$4,10,P2,iRepType)="",EM_S_STM07_BS(目录!$C$4,10,P2,iRepType)="--",EM_S_STM07_BS(目录!$C$4,10,P2,iRepType)="NULL")=TRUE,0,EM_S_STM07_BS(目录!$C$4,10,P2,iRepType))/unit-IF(OR(EM_S_STM07_BS(目录!$C$4,10,YEAR(P2)-1&amp;"-12-31",iRepType)="",EM_S_STM07_BS(目录!$C$4,10,YEAR(P2)-1&amp;"-12-31",iRepType)="--",EM_S_STM07_BS(目录!$C$4,10,YEAR(P2)-1&amp;"-12-31",iRepType)="NULL")=TRUE,0,EM_S_STM07_BS(目录!$C$4,10,YEAR(P2)-1&amp;"-12-31",iRepType))/unit+IF(OR(EM_S_STM07_BS(目录!$C$4,76,P2,iRepType)="",EM_S_STM07_BS(目录!$C$4,76,P2,iRepType)="--",EM_S_STM07_BS(目录!$C$4,76,P2,iRepType)="NULL")=TRUE,0,EM_S_STM07_BS(目录!$C$4,76,P2,iRepType))/unit-IF(OR(EM_S_STM07_BS(目录!$C$4,76,YEAR(P2)-1&amp;"-12-31",iRepType)="",EM_S_STM07_BS(目录!$C$4,76,YEAR(P2)-1&amp;"-12-31",iRepType)="--",EM_S_STM07_BS(目录!$C$4,76,YEAR(P2)-1&amp;"-12-31",iRepType)="NULL")=TRUE,0,EM_S_STM07_BS(目录!$C$4,76,YEAR(P2)-1&amp;"-12-31",iRepType))/unit</t>
  </si>
  <si>
    <t>IF(OR(EM_S_STM07_BS(目录!$C$4,10,Q2,iRepType)="",EM_S_STM07_BS(目录!$C$4,10,Q2,iRepType)="--",EM_S_STM07_BS(目录!$C$4,10,Q2,iRepType)="NULL")=TRUE,0,EM_S_STM07_BS(目录!$C$4,10,Q2,iRepType))/unit-IF(OR(EM_S_STM07_BS(目录!$C$4,10,YEAR(Q2)-1&amp;"-12-31",iRepType)="",EM_S_STM07_BS(目录!$C$4,10,YEAR(Q2)-1&amp;"-12-31",iRepType)="--",EM_S_STM07_BS(目录!$C$4,10,YEAR(Q2)-1&amp;"-12-31",iRepType)="NULL")=TRUE,0,EM_S_STM07_BS(目录!$C$4,10,YEAR(Q2)-1&amp;"-12-31",iRepType))/unit+IF(OR(EM_S_STM07_BS(目录!$C$4,76,Q2,iRepType)="",EM_S_STM07_BS(目录!$C$4,76,Q2,iRepType)="--",EM_S_STM07_BS(目录!$C$4,76,Q2,iRepType)="NULL")=TRUE,0,EM_S_STM07_BS(目录!$C$4,76,Q2,iRepType))/unit-IF(OR(EM_S_STM07_BS(目录!$C$4,76,YEAR(Q2)-1&amp;"-12-31",iRepType)="",EM_S_STM07_BS(目录!$C$4,76,YEAR(Q2)-1&amp;"-12-31",iRepType)="--",EM_S_STM07_BS(目录!$C$4,76,YEAR(Q2)-1&amp;"-12-31",iRepType)="NULL")=TRUE,0,EM_S_STM07_BS(目录!$C$4,76,YEAR(Q2)-1&amp;"-12-31",iRepType))/unit</t>
  </si>
  <si>
    <t>IF(OR(EM_S_STM07_BS(目录!$C$4,10,R2,iRepType)="",EM_S_STM07_BS(目录!$C$4,10,R2,iRepType)="--",EM_S_STM07_BS(目录!$C$4,10,R2,iRepType)="NULL")=TRUE,0,EM_S_STM07_BS(目录!$C$4,10,R2,iRepType))/unit-IF(OR(EM_S_STM07_BS(目录!$C$4,10,YEAR(R2)-1&amp;"-12-31",iRepType)="",EM_S_STM07_BS(目录!$C$4,10,YEAR(R2)-1&amp;"-12-31",iRepType)="--",EM_S_STM07_BS(目录!$C$4,10,YEAR(R2)-1&amp;"-12-31",iRepType)="NULL")=TRUE,0,EM_S_STM07_BS(目录!$C$4,10,YEAR(R2)-1&amp;"-12-31",iRepType))/unit+IF(OR(EM_S_STM07_BS(目录!$C$4,76,R2,iRepType)="",EM_S_STM07_BS(目录!$C$4,76,R2,iRepType)="--",EM_S_STM07_BS(目录!$C$4,76,R2,iRepType)="NULL")=TRUE,0,EM_S_STM07_BS(目录!$C$4,76,R2,iRepType))/unit-IF(OR(EM_S_STM07_BS(目录!$C$4,76,YEAR(R2)-1&amp;"-12-31",iRepType)="",EM_S_STM07_BS(目录!$C$4,76,YEAR(R2)-1&amp;"-12-31",iRepType)="--",EM_S_STM07_BS(目录!$C$4,76,YEAR(R2)-1&amp;"-12-31",iRepType)="NULL")=TRUE,0,EM_S_STM07_BS(目录!$C$4,76,YEAR(R2)-1&amp;"-12-31",iRepType))/unit</t>
  </si>
  <si>
    <t>IF(OR(EM_S_STM07_BS(目录!$C$4,10,S2,iRepType)="",EM_S_STM07_BS(目录!$C$4,10,S2,iRepType)="--",EM_S_STM07_BS(目录!$C$4,10,S2,iRepType)="NULL")=TRUE,0,EM_S_STM07_BS(目录!$C$4,10,S2,iRepType))/unit-IF(OR(EM_S_STM07_BS(目录!$C$4,10,YEAR(S2)-1&amp;"-12-31",iRepType)="",EM_S_STM07_BS(目录!$C$4,10,YEAR(S2)-1&amp;"-12-31",iRepType)="--",EM_S_STM07_BS(目录!$C$4,10,YEAR(S2)-1&amp;"-12-31",iRepType)="NULL")=TRUE,0,EM_S_STM07_BS(目录!$C$4,10,YEAR(S2)-1&amp;"-12-31",iRepType))/unit+IF(OR(EM_S_STM07_BS(目录!$C$4,76,S2,iRepType)="",EM_S_STM07_BS(目录!$C$4,76,S2,iRepType)="--",EM_S_STM07_BS(目录!$C$4,76,S2,iRepType)="NULL")=TRUE,0,EM_S_STM07_BS(目录!$C$4,76,S2,iRepType))/unit-IF(OR(EM_S_STM07_BS(目录!$C$4,76,YEAR(S2)-1&amp;"-12-31",iRepType)="",EM_S_STM07_BS(目录!$C$4,76,YEAR(S2)-1&amp;"-12-31",iRepType)="--",EM_S_STM07_BS(目录!$C$4,76,YEAR(S2)-1&amp;"-12-31",iRepType)="NULL")=TRUE,0,EM_S_STM07_BS(目录!$C$4,76,YEAR(S2)-1&amp;"-12-31",iRepType))/unit</t>
  </si>
  <si>
    <t>IF(OR(EM_S_STM07_BS(目录!$C$4,10,T2,iRepType)="",EM_S_STM07_BS(目录!$C$4,10,T2,iRepType)="--",EM_S_STM07_BS(目录!$C$4,10,T2,iRepType)="NULL")=TRUE,0,EM_S_STM07_BS(目录!$C$4,10,T2,iRepType))/unit-IF(OR(EM_S_STM07_BS(目录!$C$4,10,YEAR(T2)-1&amp;"-12-31",iRepType)="",EM_S_STM07_BS(目录!$C$4,10,YEAR(T2)-1&amp;"-12-31",iRepType)="--",EM_S_STM07_BS(目录!$C$4,10,YEAR(T2)-1&amp;"-12-31",iRepType)="NULL")=TRUE,0,EM_S_STM07_BS(目录!$C$4,10,YEAR(T2)-1&amp;"-12-31",iRepType))/unit+IF(OR(EM_S_STM07_BS(目录!$C$4,76,T2,iRepType)="",EM_S_STM07_BS(目录!$C$4,76,T2,iRepType)="--",EM_S_STM07_BS(目录!$C$4,76,T2,iRepType)="NULL")=TRUE,0,EM_S_STM07_BS(目录!$C$4,76,T2,iRepType))/unit-IF(OR(EM_S_STM07_BS(目录!$C$4,76,YEAR(T2)-1&amp;"-12-31",iRepType)="",EM_S_STM07_BS(目录!$C$4,76,YEAR(T2)-1&amp;"-12-31",iRepType)="--",EM_S_STM07_BS(目录!$C$4,76,YEAR(T2)-1&amp;"-12-31",iRepType)="NULL")=TRUE,0,EM_S_STM07_BS(目录!$C$4,76,YEAR(T2)-1&amp;"-12-31",iRepType))/unit</t>
  </si>
  <si>
    <t>IF(OR(EM_S_STM07_BS(目录!$C$4,10,U2,iRepType)="",EM_S_STM07_BS(目录!$C$4,10,U2,iRepType)="--",EM_S_STM07_BS(目录!$C$4,10,U2,iRepType)="NULL")=TRUE,0,EM_S_STM07_BS(目录!$C$4,10,U2,iRepType))/unit-IF(OR(EM_S_STM07_BS(目录!$C$4,10,YEAR(U2)-1&amp;"-12-31",iRepType)="",EM_S_STM07_BS(目录!$C$4,10,YEAR(U2)-1&amp;"-12-31",iRepType)="--",EM_S_STM07_BS(目录!$C$4,10,YEAR(U2)-1&amp;"-12-31",iRepType)="NULL")=TRUE,0,EM_S_STM07_BS(目录!$C$4,10,YEAR(U2)-1&amp;"-12-31",iRepType))/unit+IF(OR(EM_S_STM07_BS(目录!$C$4,76,U2,iRepType)="",EM_S_STM07_BS(目录!$C$4,76,U2,iRepType)="--",EM_S_STM07_BS(目录!$C$4,76,U2,iRepType)="NULL")=TRUE,0,EM_S_STM07_BS(目录!$C$4,76,U2,iRepType))/unit-IF(OR(EM_S_STM07_BS(目录!$C$4,76,YEAR(U2)-1&amp;"-12-31",iRepType)="",EM_S_STM07_BS(目录!$C$4,76,YEAR(U2)-1&amp;"-12-31",iRepType)="--",EM_S_STM07_BS(目录!$C$4,76,YEAR(U2)-1&amp;"-12-31",iRepType)="NULL")=TRUE,0,EM_S_STM07_BS(目录!$C$4,76,YEAR(U2)-1&amp;"-12-31",iRepType))/unit</t>
  </si>
  <si>
    <t>IF(OR(EM_S_STM07_BS(目录!$C$4,10,V2,iRepType)="",EM_S_STM07_BS(目录!$C$4,10,V2,iRepType)="--",EM_S_STM07_BS(目录!$C$4,10,V2,iRepType)="NULL")=TRUE,0,EM_S_STM07_BS(目录!$C$4,10,V2,iRepType))/unit-IF(OR(EM_S_STM07_BS(目录!$C$4,10,YEAR(V2)-1&amp;"-12-31",iRepType)="",EM_S_STM07_BS(目录!$C$4,10,YEAR(V2)-1&amp;"-12-31",iRepType)="--",EM_S_STM07_BS(目录!$C$4,10,YEAR(V2)-1&amp;"-12-31",iRepType)="NULL")=TRUE,0,EM_S_STM07_BS(目录!$C$4,10,YEAR(V2)-1&amp;"-12-31",iRepType))/unit+IF(OR(EM_S_STM07_BS(目录!$C$4,76,V2,iRepType)="",EM_S_STM07_BS(目录!$C$4,76,V2,iRepType)="--",EM_S_STM07_BS(目录!$C$4,76,V2,iRepType)="NULL")=TRUE,0,EM_S_STM07_BS(目录!$C$4,76,V2,iRepType))/unit-IF(OR(EM_S_STM07_BS(目录!$C$4,76,YEAR(V2)-1&amp;"-12-31",iRepType)="",EM_S_STM07_BS(目录!$C$4,76,YEAR(V2)-1&amp;"-12-31",iRepType)="--",EM_S_STM07_BS(目录!$C$4,76,YEAR(V2)-1&amp;"-12-31",iRepType)="NULL")=TRUE,0,EM_S_STM07_BS(目录!$C$4,76,YEAR(V2)-1&amp;"-12-31",iRepType))/unit</t>
  </si>
  <si>
    <t>IF(OR(EM_S_STM07_BS(目录!$C$4,10,W2,iRepType)="",EM_S_STM07_BS(目录!$C$4,10,W2,iRepType)="--",EM_S_STM07_BS(目录!$C$4,10,W2,iRepType)="NULL")=TRUE,0,EM_S_STM07_BS(目录!$C$4,10,W2,iRepType))/unit-IF(OR(EM_S_STM07_BS(目录!$C$4,10,YEAR(W2)-1&amp;"-12-31",iRepType)="",EM_S_STM07_BS(目录!$C$4,10,YEAR(W2)-1&amp;"-12-31",iRepType)="--",EM_S_STM07_BS(目录!$C$4,10,YEAR(W2)-1&amp;"-12-31",iRepType)="NULL")=TRUE,0,EM_S_STM07_BS(目录!$C$4,10,YEAR(W2)-1&amp;"-12-31",iRepType))/unit+IF(OR(EM_S_STM07_BS(目录!$C$4,76,W2,iRepType)="",EM_S_STM07_BS(目录!$C$4,76,W2,iRepType)="--",EM_S_STM07_BS(目录!$C$4,76,W2,iRepType)="NULL")=TRUE,0,EM_S_STM07_BS(目录!$C$4,76,W2,iRepType))/unit-IF(OR(EM_S_STM07_BS(目录!$C$4,76,YEAR(W2)-1&amp;"-12-31",iRepType)="",EM_S_STM07_BS(目录!$C$4,76,YEAR(W2)-1&amp;"-12-31",iRepType)="--",EM_S_STM07_BS(目录!$C$4,76,YEAR(W2)-1&amp;"-12-31",iRepType)="NULL")=TRUE,0,EM_S_STM07_BS(目录!$C$4,76,YEAR(W2)-1&amp;"-12-31",iRepType))/unit</t>
  </si>
  <si>
    <t>IF(OR(EM_S_STM07_BS(目录!$C$4,10,X2,iRepType)="",EM_S_STM07_BS(目录!$C$4,10,X2,iRepType)="--",EM_S_STM07_BS(目录!$C$4,10,X2,iRepType)="NULL")=TRUE,0,EM_S_STM07_BS(目录!$C$4,10,X2,iRepType))/unit-IF(OR(EM_S_STM07_BS(目录!$C$4,10,YEAR(X2)-1&amp;"-12-31",iRepType)="",EM_S_STM07_BS(目录!$C$4,10,YEAR(X2)-1&amp;"-12-31",iRepType)="--",EM_S_STM07_BS(目录!$C$4,10,YEAR(X2)-1&amp;"-12-31",iRepType)="NULL")=TRUE,0,EM_S_STM07_BS(目录!$C$4,10,YEAR(X2)-1&amp;"-12-31",iRepType))/unit+IF(OR(EM_S_STM07_BS(目录!$C$4,76,X2,iRepType)="",EM_S_STM07_BS(目录!$C$4,76,X2,iRepType)="--",EM_S_STM07_BS(目录!$C$4,76,X2,iRepType)="NULL")=TRUE,0,EM_S_STM07_BS(目录!$C$4,76,X2,iRepType))/unit-IF(OR(EM_S_STM07_BS(目录!$C$4,76,YEAR(X2)-1&amp;"-12-31",iRepType)="",EM_S_STM07_BS(目录!$C$4,76,YEAR(X2)-1&amp;"-12-31",iRepType)="--",EM_S_STM07_BS(目录!$C$4,76,YEAR(X2)-1&amp;"-12-31",iRepType)="NULL")=TRUE,0,EM_S_STM07_BS(目录!$C$4,76,YEAR(X2)-1&amp;"-12-31",iRepType))/unit</t>
  </si>
  <si>
    <t>IF(OR(EM_S_STM07_BS(目录!$C$4,10,Y2,iRepType)="",EM_S_STM07_BS(目录!$C$4,10,Y2,iRepType)="--",EM_S_STM07_BS(目录!$C$4,10,Y2,iRepType)="NULL")=TRUE,0,EM_S_STM07_BS(目录!$C$4,10,Y2,iRepType))/unit-IF(OR(EM_S_STM07_BS(目录!$C$4,10,YEAR(Y2)-1&amp;"-12-31",iRepType)="",EM_S_STM07_BS(目录!$C$4,10,YEAR(Y2)-1&amp;"-12-31",iRepType)="--",EM_S_STM07_BS(目录!$C$4,10,YEAR(Y2)-1&amp;"-12-31",iRepType)="NULL")=TRUE,0,EM_S_STM07_BS(目录!$C$4,10,YEAR(Y2)-1&amp;"-12-31",iRepType))/unit+IF(OR(EM_S_STM07_BS(目录!$C$4,76,Y2,iRepType)="",EM_S_STM07_BS(目录!$C$4,76,Y2,iRepType)="--",EM_S_STM07_BS(目录!$C$4,76,Y2,iRepType)="NULL")=TRUE,0,EM_S_STM07_BS(目录!$C$4,76,Y2,iRepType))/unit-IF(OR(EM_S_STM07_BS(目录!$C$4,76,YEAR(Y2)-1&amp;"-12-31",iRepType)="",EM_S_STM07_BS(目录!$C$4,76,YEAR(Y2)-1&amp;"-12-31",iRepType)="--",EM_S_STM07_BS(目录!$C$4,76,YEAR(Y2)-1&amp;"-12-31",iRepType)="NULL")=TRUE,0,EM_S_STM07_BS(目录!$C$4,76,YEAR(Y2)-1&amp;"-12-31",iRepType))/unit</t>
  </si>
  <si>
    <t>IF(OR(EM_S_STM07_BS(目录!$C$4,10,Z2,iRepType)="",EM_S_STM07_BS(目录!$C$4,10,Z2,iRepType)="--",EM_S_STM07_BS(目录!$C$4,10,Z2,iRepType)="NULL")=TRUE,0,EM_S_STM07_BS(目录!$C$4,10,Z2,iRepType))/unit-IF(OR(EM_S_STM07_BS(目录!$C$4,10,YEAR(Z2)-1&amp;"-12-31",iRepType)="",EM_S_STM07_BS(目录!$C$4,10,YEAR(Z2)-1&amp;"-12-31",iRepType)="--",EM_S_STM07_BS(目录!$C$4,10,YEAR(Z2)-1&amp;"-12-31",iRepType)="NULL")=TRUE,0,EM_S_STM07_BS(目录!$C$4,10,YEAR(Z2)-1&amp;"-12-31",iRepType))/unit+IF(OR(EM_S_STM07_BS(目录!$C$4,76,Z2,iRepType)="",EM_S_STM07_BS(目录!$C$4,76,Z2,iRepType)="--",EM_S_STM07_BS(目录!$C$4,76,Z2,iRepType)="NULL")=TRUE,0,EM_S_STM07_BS(目录!$C$4,76,Z2,iRepType))/unit-IF(OR(EM_S_STM07_BS(目录!$C$4,76,YEAR(Z2)-1&amp;"-12-31",iRepType)="",EM_S_STM07_BS(目录!$C$4,76,YEAR(Z2)-1&amp;"-12-31",iRepType)="--",EM_S_STM07_BS(目录!$C$4,76,YEAR(Z2)-1&amp;"-12-31",iRepType)="NULL")=TRUE,0,EM_S_STM07_BS(目录!$C$4,76,YEAR(Z2)-1&amp;"-12-31",iRepType))/unit</t>
  </si>
  <si>
    <t>IF(OR(EM_S_STM07_BS(目录!$C$4,10,AA2,iRepType)="",EM_S_STM07_BS(目录!$C$4,10,AA2,iRepType)="--",EM_S_STM07_BS(目录!$C$4,10,AA2,iRepType)="NULL")=TRUE,0,EM_S_STM07_BS(目录!$C$4,10,AA2,iRepType))/unit-IF(OR(EM_S_STM07_BS(目录!$C$4,10,YEAR(AA2)-1&amp;"-12-31",iRepType)="",EM_S_STM07_BS(目录!$C$4,10,YEAR(AA2)-1&amp;"-12-31",iRepType)="--",EM_S_STM07_BS(目录!$C$4,10,YEAR(AA2)-1&amp;"-12-31",iRepType)="NULL")=TRUE,0,EM_S_STM07_BS(目录!$C$4,10,YEAR(AA2)-1&amp;"-12-31",iRepType))/unit+IF(OR(EM_S_STM07_BS(目录!$C$4,76,AA2,iRepType)="",EM_S_STM07_BS(目录!$C$4,76,AA2,iRepType)="--",EM_S_STM07_BS(目录!$C$4,76,AA2,iRepType)="NULL")=TRUE,0,EM_S_STM07_BS(目录!$C$4,76,AA2,iRepType))/unit-IF(OR(EM_S_STM07_BS(目录!$C$4,76,YEAR(AA2)-1&amp;"-12-31",iRepType)="",EM_S_STM07_BS(目录!$C$4,76,YEAR(AA2)-1&amp;"-12-31",iRepType)="--",EM_S_STM07_BS(目录!$C$4,76,YEAR(AA2)-1&amp;"-12-31",iRepType)="NULL")=TRUE,0,EM_S_STM07_BS(目录!$C$4,76,YEAR(AA2)-1&amp;"-12-31",iRepType))/unit</t>
  </si>
  <si>
    <t>C119</t>
  </si>
  <si>
    <t>(IF(OR(EM_S_STM07_BS(目录!$C$4,53,C2,iRepType)="--",EM_S_STM07_BS(目录!$C$4,53,C2,iRepType)="",EM_S_STM07_BS(目录!$C$4,53,C2,iRepType)="NULL")=TRUE,0,EM_S_STM07_BS(目录!$C$4,53,C2,iRepType))/unit+IF(OR(EM_S_STM07_BS(目录!$C$4,26,C2,iRepType)="--",EM_S_STM07_BS(目录!$C$4,26,C2,iRepType)="",EM_S_STM07_BS(目录!$C$4,26,C2,iRepType)="NULL")=TRUE,0,EM_S_STM07_BS(目录!$C$4,26,C2,iRepType))/unit+IF(OR(EM_S_STM07_BS(目录!$C$4,27,C2,iRepType)="--",EM_S_STM07_BS(目录!$C$4,27,C2,iRepType)="",EM_S_STM07_BS(目录!$C$4,27,C2,iRepType)="NULL")=TRUE,0,EM_S_STM07_BS(目录!$C$4,27,C2,iRepType))/unit-(IF(OR(EM_S_STM07_BS(目录!$C$4,53,YEAR(C2)-1&amp;"-12-31",iRepType)="--",EM_S_STM07_BS(目录!$C$4,53,YEAR(C2)-1&amp;"-12-31",iRepType)="",EM_S_STM07_BS(目录!$C$4,53,YEAR(C2)-1&amp;"-12-31",iRepType)="NULL")=TRUE,0,EM_S_STM07_BS(目录!$C$4,53,YEAR(C2)-1&amp;"-12-31",iRepType))/unit+IF(OR(EM_S_STM07_BS(目录!$C$4,26,YEAR(C2)-1&amp;"-12-31",iRepType)="--",EM_S_STM07_BS(目录!$C$4,26,YEAR(C2)-1&amp;"-12-31",iRepType)="",EM_S_STM07_BS(目录!$C$4,26,YEAR(C2)-1&amp;"-12-31",iRepType)="NULL")=TRUE,0,EM_S_STM07_BS(目录!$C$4,26,YEAR(C2)-1&amp;"-12-31",iRepType))/unit+IF(OR(EM_S_STM07_BS(目录!$C$4,27,YEAR(C2)-1&amp;"-12-31",iRepType)="--",EM_S_STM07_BS(目录!$C$4,27,YEAR(C2)-1&amp;"-12-31",iRepType)="",EM_S_STM07_BS(目录!$C$4,27,YEAR(C2)-1&amp;"-12-31",iRepType)="NULL")=TRUE,0,EM_S_STM07_BS(目录!$C$4,27,YEAR(C2)-1&amp;"-12-31",iRepType))/unit))</t>
  </si>
  <si>
    <t>(IF(OR(EM_S_STM07_BS(目录!$C$4,53,D2,iRepType)="--",EM_S_STM07_BS(目录!$C$4,53,D2,iRepType)="",EM_S_STM07_BS(目录!$C$4,53,D2,iRepType)="NULL")=TRUE,0,EM_S_STM07_BS(目录!$C$4,53,D2,iRepType))/unit+IF(OR(EM_S_STM07_BS(目录!$C$4,26,D2,iRepType)="--",EM_S_STM07_BS(目录!$C$4,26,D2,iRepType)="",EM_S_STM07_BS(目录!$C$4,26,D2,iRepType)="NULL")=TRUE,0,EM_S_STM07_BS(目录!$C$4,26,D2,iRepType))/unit+IF(OR(EM_S_STM07_BS(目录!$C$4,27,D2,iRepType)="--",EM_S_STM07_BS(目录!$C$4,27,D2,iRepType)="",EM_S_STM07_BS(目录!$C$4,27,D2,iRepType)="NULL")=TRUE,0,EM_S_STM07_BS(目录!$C$4,27,D2,iRepType))/unit-(IF(OR(EM_S_STM07_BS(目录!$C$4,53,YEAR(D2)-1&amp;"-12-31",iRepType)="--",EM_S_STM07_BS(目录!$C$4,53,YEAR(D2)-1&amp;"-12-31",iRepType)="",EM_S_STM07_BS(目录!$C$4,53,YEAR(D2)-1&amp;"-12-31",iRepType)="NULL")=TRUE,0,EM_S_STM07_BS(目录!$C$4,53,YEAR(D2)-1&amp;"-12-31",iRepType))/unit+IF(OR(EM_S_STM07_BS(目录!$C$4,26,YEAR(D2)-1&amp;"-12-31",iRepType)="--",EM_S_STM07_BS(目录!$C$4,26,YEAR(D2)-1&amp;"-12-31",iRepType)="",EM_S_STM07_BS(目录!$C$4,26,YEAR(D2)-1&amp;"-12-31",iRepType)="NULL")=TRUE,0,EM_S_STM07_BS(目录!$C$4,26,YEAR(D2)-1&amp;"-12-31",iRepType))/unit+IF(OR(EM_S_STM07_BS(目录!$C$4,27,YEAR(D2)-1&amp;"-12-31",iRepType)="--",EM_S_STM07_BS(目录!$C$4,27,YEAR(D2)-1&amp;"-12-31",iRepType)="",EM_S_STM07_BS(目录!$C$4,27,YEAR(D2)-1&amp;"-12-31",iRepType)="NULL")=TRUE,0,EM_S_STM07_BS(目录!$C$4,27,YEAR(D2)-1&amp;"-12-31",iRepType))/unit))</t>
  </si>
  <si>
    <t>(IF(OR(EM_S_STM07_BS(目录!$C$4,53,E2,iRepType)="--",EM_S_STM07_BS(目录!$C$4,53,E2,iRepType)="",EM_S_STM07_BS(目录!$C$4,53,E2,iRepType)="NULL")=TRUE,0,EM_S_STM07_BS(目录!$C$4,53,E2,iRepType))/unit+IF(OR(EM_S_STM07_BS(目录!$C$4,26,E2,iRepType)="--",EM_S_STM07_BS(目录!$C$4,26,E2,iRepType)="",EM_S_STM07_BS(目录!$C$4,26,E2,iRepType)="NULL")=TRUE,0,EM_S_STM07_BS(目录!$C$4,26,E2,iRepType))/unit+IF(OR(EM_S_STM07_BS(目录!$C$4,27,E2,iRepType)="--",EM_S_STM07_BS(目录!$C$4,27,E2,iRepType)="",EM_S_STM07_BS(目录!$C$4,27,E2,iRepType)="NULL")=TRUE,0,EM_S_STM07_BS(目录!$C$4,27,E2,iRepType))/unit-(IF(OR(EM_S_STM07_BS(目录!$C$4,53,YEAR(E2)-1&amp;"-12-31",iRepType)="--",EM_S_STM07_BS(目录!$C$4,53,YEAR(E2)-1&amp;"-12-31",iRepType)="",EM_S_STM07_BS(目录!$C$4,53,YEAR(E2)-1&amp;"-12-31",iRepType)="NULL")=TRUE,0,EM_S_STM07_BS(目录!$C$4,53,YEAR(E2)-1&amp;"-12-31",iRepType))/unit+IF(OR(EM_S_STM07_BS(目录!$C$4,26,YEAR(E2)-1&amp;"-12-31",iRepType)="--",EM_S_STM07_BS(目录!$C$4,26,YEAR(E2)-1&amp;"-12-31",iRepType)="",EM_S_STM07_BS(目录!$C$4,26,YEAR(E2)-1&amp;"-12-31",iRepType)="NULL")=TRUE,0,EM_S_STM07_BS(目录!$C$4,26,YEAR(E2)-1&amp;"-12-31",iRepType))/unit+IF(OR(EM_S_STM07_BS(目录!$C$4,27,YEAR(E2)-1&amp;"-12-31",iRepType)="--",EM_S_STM07_BS(目录!$C$4,27,YEAR(E2)-1&amp;"-12-31",iRepType)="",EM_S_STM07_BS(目录!$C$4,27,YEAR(E2)-1&amp;"-12-31",iRepType)="NULL")=TRUE,0,EM_S_STM07_BS(目录!$C$4,27,YEAR(E2)-1&amp;"-12-31",iRepType))/unit))</t>
  </si>
  <si>
    <t>(IF(OR(EM_S_STM07_BS(目录!$C$4,53,F2,iRepType)="--",EM_S_STM07_BS(目录!$C$4,53,F2,iRepType)="",EM_S_STM07_BS(目录!$C$4,53,F2,iRepType)="NULL")=TRUE,0,EM_S_STM07_BS(目录!$C$4,53,F2,iRepType))/unit+IF(OR(EM_S_STM07_BS(目录!$C$4,26,F2,iRepType)="--",EM_S_STM07_BS(目录!$C$4,26,F2,iRepType)="",EM_S_STM07_BS(目录!$C$4,26,F2,iRepType)="NULL")=TRUE,0,EM_S_STM07_BS(目录!$C$4,26,F2,iRepType))/unit+IF(OR(EM_S_STM07_BS(目录!$C$4,27,F2,iRepType)="--",EM_S_STM07_BS(目录!$C$4,27,F2,iRepType)="",EM_S_STM07_BS(目录!$C$4,27,F2,iRepType)="NULL")=TRUE,0,EM_S_STM07_BS(目录!$C$4,27,F2,iRepType))/unit-(IF(OR(EM_S_STM07_BS(目录!$C$4,53,YEAR(F2)-1&amp;"-12-31",iRepType)="--",EM_S_STM07_BS(目录!$C$4,53,YEAR(F2)-1&amp;"-12-31",iRepType)="",EM_S_STM07_BS(目录!$C$4,53,YEAR(F2)-1&amp;"-12-31",iRepType)="NULL")=TRUE,0,EM_S_STM07_BS(目录!$C$4,53,YEAR(F2)-1&amp;"-12-31",iRepType))/unit+IF(OR(EM_S_STM07_BS(目录!$C$4,26,YEAR(F2)-1&amp;"-12-31",iRepType)="--",EM_S_STM07_BS(目录!$C$4,26,YEAR(F2)-1&amp;"-12-31",iRepType)="",EM_S_STM07_BS(目录!$C$4,26,YEAR(F2)-1&amp;"-12-31",iRepType)="NULL")=TRUE,0,EM_S_STM07_BS(目录!$C$4,26,YEAR(F2)-1&amp;"-12-31",iRepType))/unit+IF(OR(EM_S_STM07_BS(目录!$C$4,27,YEAR(F2)-1&amp;"-12-31",iRepType)="--",EM_S_STM07_BS(目录!$C$4,27,YEAR(F2)-1&amp;"-12-31",iRepType)="",EM_S_STM07_BS(目录!$C$4,27,YEAR(F2)-1&amp;"-12-31",iRepType)="NULL")=TRUE,0,EM_S_STM07_BS(目录!$C$4,27,YEAR(F2)-1&amp;"-12-31",iRepType))/unit))</t>
  </si>
  <si>
    <t>(IF(OR(EM_S_STM07_BS(目录!$C$4,53,G2,iRepType)="--",EM_S_STM07_BS(目录!$C$4,53,G2,iRepType)="",EM_S_STM07_BS(目录!$C$4,53,G2,iRepType)="NULL")=TRUE,0,EM_S_STM07_BS(目录!$C$4,53,G2,iRepType))/unit+IF(OR(EM_S_STM07_BS(目录!$C$4,26,G2,iRepType)="--",EM_S_STM07_BS(目录!$C$4,26,G2,iRepType)="",EM_S_STM07_BS(目录!$C$4,26,G2,iRepType)="NULL")=TRUE,0,EM_S_STM07_BS(目录!$C$4,26,G2,iRepType))/unit+IF(OR(EM_S_STM07_BS(目录!$C$4,27,G2,iRepType)="--",EM_S_STM07_BS(目录!$C$4,27,G2,iRepType)="",EM_S_STM07_BS(目录!$C$4,27,G2,iRepType)="NULL")=TRUE,0,EM_S_STM07_BS(目录!$C$4,27,G2,iRepType))/unit-(IF(OR(EM_S_STM07_BS(目录!$C$4,53,YEAR(G2)-1&amp;"-12-31",iRepType)="--",EM_S_STM07_BS(目录!$C$4,53,YEAR(G2)-1&amp;"-12-31",iRepType)="",EM_S_STM07_BS(目录!$C$4,53,YEAR(G2)-1&amp;"-12-31",iRepType)="NULL")=TRUE,0,EM_S_STM07_BS(目录!$C$4,53,YEAR(G2)-1&amp;"-12-31",iRepType))/unit+IF(OR(EM_S_STM07_BS(目录!$C$4,26,YEAR(G2)-1&amp;"-12-31",iRepType)="--",EM_S_STM07_BS(目录!$C$4,26,YEAR(G2)-1&amp;"-12-31",iRepType)="",EM_S_STM07_BS(目录!$C$4,26,YEAR(G2)-1&amp;"-12-31",iRepType)="NULL")=TRUE,0,EM_S_STM07_BS(目录!$C$4,26,YEAR(G2)-1&amp;"-12-31",iRepType))/unit+IF(OR(EM_S_STM07_BS(目录!$C$4,27,YEAR(G2)-1&amp;"-12-31",iRepType)="--",EM_S_STM07_BS(目录!$C$4,27,YEAR(G2)-1&amp;"-12-31",iRepType)="",EM_S_STM07_BS(目录!$C$4,27,YEAR(G2)-1&amp;"-12-31",iRepType)="NULL")=TRUE,0,EM_S_STM07_BS(目录!$C$4,27,YEAR(G2)-1&amp;"-12-31",iRepType))/unit))</t>
  </si>
  <si>
    <t>(IF(OR(EM_S_STM07_BS(目录!$C$4,53,H2,iRepType)="--",EM_S_STM07_BS(目录!$C$4,53,H2,iRepType)="",EM_S_STM07_BS(目录!$C$4,53,H2,iRepType)="NULL")=TRUE,0,EM_S_STM07_BS(目录!$C$4,53,H2,iRepType))/unit+IF(OR(EM_S_STM07_BS(目录!$C$4,26,H2,iRepType)="--",EM_S_STM07_BS(目录!$C$4,26,H2,iRepType)="",EM_S_STM07_BS(目录!$C$4,26,H2,iRepType)="NULL")=TRUE,0,EM_S_STM07_BS(目录!$C$4,26,H2,iRepType))/unit+IF(OR(EM_S_STM07_BS(目录!$C$4,27,H2,iRepType)="--",EM_S_STM07_BS(目录!$C$4,27,H2,iRepType)="",EM_S_STM07_BS(目录!$C$4,27,H2,iRepType)="NULL")=TRUE,0,EM_S_STM07_BS(目录!$C$4,27,H2,iRepType))/unit-(IF(OR(EM_S_STM07_BS(目录!$C$4,53,YEAR(H2)-1&amp;"-12-31",iRepType)="--",EM_S_STM07_BS(目录!$C$4,53,YEAR(H2)-1&amp;"-12-31",iRepType)="",EM_S_STM07_BS(目录!$C$4,53,YEAR(H2)-1&amp;"-12-31",iRepType)="NULL")=TRUE,0,EM_S_STM07_BS(目录!$C$4,53,YEAR(H2)-1&amp;"-12-31",iRepType))/unit+IF(OR(EM_S_STM07_BS(目录!$C$4,26,YEAR(H2)-1&amp;"-12-31",iRepType)="--",EM_S_STM07_BS(目录!$C$4,26,YEAR(H2)-1&amp;"-12-31",iRepType)="",EM_S_STM07_BS(目录!$C$4,26,YEAR(H2)-1&amp;"-12-31",iRepType)="NULL")=TRUE,0,EM_S_STM07_BS(目录!$C$4,26,YEAR(H2)-1&amp;"-12-31",iRepType))/unit+IF(OR(EM_S_STM07_BS(目录!$C$4,27,YEAR(H2)-1&amp;"-12-31",iRepType)="--",EM_S_STM07_BS(目录!$C$4,27,YEAR(H2)-1&amp;"-12-31",iRepType)="",EM_S_STM07_BS(目录!$C$4,27,YEAR(H2)-1&amp;"-12-31",iRepType)="NULL")=TRUE,0,EM_S_STM07_BS(目录!$C$4,27,YEAR(H2)-1&amp;"-12-31",iRepType))/unit))</t>
  </si>
  <si>
    <t>(IF(OR(EM_S_STM07_BS(目录!$C$4,53,I2,iRepType)="--",EM_S_STM07_BS(目录!$C$4,53,I2,iRepType)="",EM_S_STM07_BS(目录!$C$4,53,I2,iRepType)="NULL")=TRUE,0,EM_S_STM07_BS(目录!$C$4,53,I2,iRepType))/unit+IF(OR(EM_S_STM07_BS(目录!$C$4,26,I2,iRepType)="--",EM_S_STM07_BS(目录!$C$4,26,I2,iRepType)="",EM_S_STM07_BS(目录!$C$4,26,I2,iRepType)="NULL")=TRUE,0,EM_S_STM07_BS(目录!$C$4,26,I2,iRepType))/unit+IF(OR(EM_S_STM07_BS(目录!$C$4,27,I2,iRepType)="--",EM_S_STM07_BS(目录!$C$4,27,I2,iRepType)="",EM_S_STM07_BS(目录!$C$4,27,I2,iRepType)="NULL")=TRUE,0,EM_S_STM07_BS(目录!$C$4,27,I2,iRepType))/unit-(IF(OR(EM_S_STM07_BS(目录!$C$4,53,YEAR(I2)-1&amp;"-12-31",iRepType)="--",EM_S_STM07_BS(目录!$C$4,53,YEAR(I2)-1&amp;"-12-31",iRepType)="",EM_S_STM07_BS(目录!$C$4,53,YEAR(I2)-1&amp;"-12-31",iRepType)="NULL")=TRUE,0,EM_S_STM07_BS(目录!$C$4,53,YEAR(I2)-1&amp;"-12-31",iRepType))/unit+IF(OR(EM_S_STM07_BS(目录!$C$4,26,YEAR(I2)-1&amp;"-12-31",iRepType)="--",EM_S_STM07_BS(目录!$C$4,26,YEAR(I2)-1&amp;"-12-31",iRepType)="",EM_S_STM07_BS(目录!$C$4,26,YEAR(I2)-1&amp;"-12-31",iRepType)="NULL")=TRUE,0,EM_S_STM07_BS(目录!$C$4,26,YEAR(I2)-1&amp;"-12-31",iRepType))/unit+IF(OR(EM_S_STM07_BS(目录!$C$4,27,YEAR(I2)-1&amp;"-12-31",iRepType)="--",EM_S_STM07_BS(目录!$C$4,27,YEAR(I2)-1&amp;"-12-31",iRepType)="",EM_S_STM07_BS(目录!$C$4,27,YEAR(I2)-1&amp;"-12-31",iRepType)="NULL")=TRUE,0,EM_S_STM07_BS(目录!$C$4,27,YEAR(I2)-1&amp;"-12-31",iRepType))/unit))</t>
  </si>
  <si>
    <t>(IF(OR(EM_S_STM07_BS(目录!$C$4,53,J2,iRepType)="--",EM_S_STM07_BS(目录!$C$4,53,J2,iRepType)="",EM_S_STM07_BS(目录!$C$4,53,J2,iRepType)="NULL")=TRUE,0,EM_S_STM07_BS(目录!$C$4,53,J2,iRepType))/unit+IF(OR(EM_S_STM07_BS(目录!$C$4,26,J2,iRepType)="--",EM_S_STM07_BS(目录!$C$4,26,J2,iRepType)="",EM_S_STM07_BS(目录!$C$4,26,J2,iRepType)="NULL")=TRUE,0,EM_S_STM07_BS(目录!$C$4,26,J2,iRepType))/unit+IF(OR(EM_S_STM07_BS(目录!$C$4,27,J2,iRepType)="--",EM_S_STM07_BS(目录!$C$4,27,J2,iRepType)="",EM_S_STM07_BS(目录!$C$4,27,J2,iRepType)="NULL")=TRUE,0,EM_S_STM07_BS(目录!$C$4,27,J2,iRepType))/unit-(IF(OR(EM_S_STM07_BS(目录!$C$4,53,YEAR(J2)-1&amp;"-12-31",iRepType)="--",EM_S_STM07_BS(目录!$C$4,53,YEAR(J2)-1&amp;"-12-31",iRepType)="",EM_S_STM07_BS(目录!$C$4,53,YEAR(J2)-1&amp;"-12-31",iRepType)="NULL")=TRUE,0,EM_S_STM07_BS(目录!$C$4,53,YEAR(J2)-1&amp;"-12-31",iRepType))/unit+IF(OR(EM_S_STM07_BS(目录!$C$4,26,YEAR(J2)-1&amp;"-12-31",iRepType)="--",EM_S_STM07_BS(目录!$C$4,26,YEAR(J2)-1&amp;"-12-31",iRepType)="",EM_S_STM07_BS(目录!$C$4,26,YEAR(J2)-1&amp;"-12-31",iRepType)="NULL")=TRUE,0,EM_S_STM07_BS(目录!$C$4,26,YEAR(J2)-1&amp;"-12-31",iRepType))/unit+IF(OR(EM_S_STM07_BS(目录!$C$4,27,YEAR(J2)-1&amp;"-12-31",iRepType)="--",EM_S_STM07_BS(目录!$C$4,27,YEAR(J2)-1&amp;"-12-31",iRepType)="",EM_S_STM07_BS(目录!$C$4,27,YEAR(J2)-1&amp;"-12-31",iRepType)="NULL")=TRUE,0,EM_S_STM07_BS(目录!$C$4,27,YEAR(J2)-1&amp;"-12-31",iRepType))/unit))</t>
  </si>
  <si>
    <t>(IF(OR(EM_S_STM07_BS(目录!$C$4,53,K2,iRepType)="--",EM_S_STM07_BS(目录!$C$4,53,K2,iRepType)="",EM_S_STM07_BS(目录!$C$4,53,K2,iRepType)="NULL")=TRUE,0,EM_S_STM07_BS(目录!$C$4,53,K2,iRepType))/unit+IF(OR(EM_S_STM07_BS(目录!$C$4,26,K2,iRepType)="--",EM_S_STM07_BS(目录!$C$4,26,K2,iRepType)="",EM_S_STM07_BS(目录!$C$4,26,K2,iRepType)="NULL")=TRUE,0,EM_S_STM07_BS(目录!$C$4,26,K2,iRepType))/unit+IF(OR(EM_S_STM07_BS(目录!$C$4,27,K2,iRepType)="--",EM_S_STM07_BS(目录!$C$4,27,K2,iRepType)="",EM_S_STM07_BS(目录!$C$4,27,K2,iRepType)="NULL")=TRUE,0,EM_S_STM07_BS(目录!$C$4,27,K2,iRepType))/unit-(IF(OR(EM_S_STM07_BS(目录!$C$4,53,YEAR(K2)-1&amp;"-12-31",iRepType)="--",EM_S_STM07_BS(目录!$C$4,53,YEAR(K2)-1&amp;"-12-31",iRepType)="",EM_S_STM07_BS(目录!$C$4,53,YEAR(K2)-1&amp;"-12-31",iRepType)="NULL")=TRUE,0,EM_S_STM07_BS(目录!$C$4,53,YEAR(K2)-1&amp;"-12-31",iRepType))/unit+IF(OR(EM_S_STM07_BS(目录!$C$4,26,YEAR(K2)-1&amp;"-12-31",iRepType)="--",EM_S_STM07_BS(目录!$C$4,26,YEAR(K2)-1&amp;"-12-31",iRepType)="",EM_S_STM07_BS(目录!$C$4,26,YEAR(K2)-1&amp;"-12-31",iRepType)="NULL")=TRUE,0,EM_S_STM07_BS(目录!$C$4,26,YEAR(K2)-1&amp;"-12-31",iRepType))/unit+IF(OR(EM_S_STM07_BS(目录!$C$4,27,YEAR(K2)-1&amp;"-12-31",iRepType)="--",EM_S_STM07_BS(目录!$C$4,27,YEAR(K2)-1&amp;"-12-31",iRepType)="",EM_S_STM07_BS(目录!$C$4,27,YEAR(K2)-1&amp;"-12-31",iRepType)="NULL")=TRUE,0,EM_S_STM07_BS(目录!$C$4,27,YEAR(K2)-1&amp;"-12-31",iRepType))/unit))</t>
  </si>
  <si>
    <t>(IF(OR(EM_S_STM07_BS(目录!$C$4,53,L2,iRepType)="--",EM_S_STM07_BS(目录!$C$4,53,L2,iRepType)="",EM_S_STM07_BS(目录!$C$4,53,L2,iRepType)="NULL")=TRUE,0,EM_S_STM07_BS(目录!$C$4,53,L2,iRepType))/unit+IF(OR(EM_S_STM07_BS(目录!$C$4,26,L2,iRepType)="--",EM_S_STM07_BS(目录!$C$4,26,L2,iRepType)="",EM_S_STM07_BS(目录!$C$4,26,L2,iRepType)="NULL")=TRUE,0,EM_S_STM07_BS(目录!$C$4,26,L2,iRepType))/unit+IF(OR(EM_S_STM07_BS(目录!$C$4,27,L2,iRepType)="--",EM_S_STM07_BS(目录!$C$4,27,L2,iRepType)="",EM_S_STM07_BS(目录!$C$4,27,L2,iRepType)="NULL")=TRUE,0,EM_S_STM07_BS(目录!$C$4,27,L2,iRepType))/unit-(IF(OR(EM_S_STM07_BS(目录!$C$4,53,YEAR(L2)-1&amp;"-12-31",iRepType)="--",EM_S_STM07_BS(目录!$C$4,53,YEAR(L2)-1&amp;"-12-31",iRepType)="",EM_S_STM07_BS(目录!$C$4,53,YEAR(L2)-1&amp;"-12-31",iRepType)="NULL")=TRUE,0,EM_S_STM07_BS(目录!$C$4,53,YEAR(L2)-1&amp;"-12-31",iRepType))/unit+IF(OR(EM_S_STM07_BS(目录!$C$4,26,YEAR(L2)-1&amp;"-12-31",iRepType)="--",EM_S_STM07_BS(目录!$C$4,26,YEAR(L2)-1&amp;"-12-31",iRepType)="",EM_S_STM07_BS(目录!$C$4,26,YEAR(L2)-1&amp;"-12-31",iRepType)="NULL")=TRUE,0,EM_S_STM07_BS(目录!$C$4,26,YEAR(L2)-1&amp;"-12-31",iRepType))/unit+IF(OR(EM_S_STM07_BS(目录!$C$4,27,YEAR(L2)-1&amp;"-12-31",iRepType)="--",EM_S_STM07_BS(目录!$C$4,27,YEAR(L2)-1&amp;"-12-31",iRepType)="",EM_S_STM07_BS(目录!$C$4,27,YEAR(L2)-1&amp;"-12-31",iRepType)="NULL")=TRUE,0,EM_S_STM07_BS(目录!$C$4,27,YEAR(L2)-1&amp;"-12-31",iRepType))/unit))</t>
  </si>
  <si>
    <t>(IF(OR(EM_S_STM07_BS(目录!$C$4,53,M2,iRepType)="--",EM_S_STM07_BS(目录!$C$4,53,M2,iRepType)="",EM_S_STM07_BS(目录!$C$4,53,M2,iRepType)="NULL")=TRUE,0,EM_S_STM07_BS(目录!$C$4,53,M2,iRepType))/unit+IF(OR(EM_S_STM07_BS(目录!$C$4,26,M2,iRepType)="--",EM_S_STM07_BS(目录!$C$4,26,M2,iRepType)="",EM_S_STM07_BS(目录!$C$4,26,M2,iRepType)="NULL")=TRUE,0,EM_S_STM07_BS(目录!$C$4,26,M2,iRepType))/unit+IF(OR(EM_S_STM07_BS(目录!$C$4,27,M2,iRepType)="--",EM_S_STM07_BS(目录!$C$4,27,M2,iRepType)="",EM_S_STM07_BS(目录!$C$4,27,M2,iRepType)="NULL")=TRUE,0,EM_S_STM07_BS(目录!$C$4,27,M2,iRepType))/unit-(IF(OR(EM_S_STM07_BS(目录!$C$4,53,YEAR(M2)-1&amp;"-12-31",iRepType)="--",EM_S_STM07_BS(目录!$C$4,53,YEAR(M2)-1&amp;"-12-31",iRepType)="",EM_S_STM07_BS(目录!$C$4,53,YEAR(M2)-1&amp;"-12-31",iRepType)="NULL")=TRUE,0,EM_S_STM07_BS(目录!$C$4,53,YEAR(M2)-1&amp;"-12-31",iRepType))/unit+IF(OR(EM_S_STM07_BS(目录!$C$4,26,YEAR(M2)-1&amp;"-12-31",iRepType)="--",EM_S_STM07_BS(目录!$C$4,26,YEAR(M2)-1&amp;"-12-31",iRepType)="",EM_S_STM07_BS(目录!$C$4,26,YEAR(M2)-1&amp;"-12-31",iRepType)="NULL")=TRUE,0,EM_S_STM07_BS(目录!$C$4,26,YEAR(M2)-1&amp;"-12-31",iRepType))/unit+IF(OR(EM_S_STM07_BS(目录!$C$4,27,YEAR(M2)-1&amp;"-12-31",iRepType)="--",EM_S_STM07_BS(目录!$C$4,27,YEAR(M2)-1&amp;"-12-31",iRepType)="",EM_S_STM07_BS(目录!$C$4,27,YEAR(M2)-1&amp;"-12-31",iRepType)="NULL")=TRUE,0,EM_S_STM07_BS(目录!$C$4,27,YEAR(M2)-1&amp;"-12-31",iRepType))/unit))</t>
  </si>
  <si>
    <t>(IF(OR(EM_S_STM07_BS(目录!$C$4,53,N2,iRepType)="--",EM_S_STM07_BS(目录!$C$4,53,N2,iRepType)="",EM_S_STM07_BS(目录!$C$4,53,N2,iRepType)="NULL")=TRUE,0,EM_S_STM07_BS(目录!$C$4,53,N2,iRepType))/unit+IF(OR(EM_S_STM07_BS(目录!$C$4,26,N2,iRepType)="--",EM_S_STM07_BS(目录!$C$4,26,N2,iRepType)="",EM_S_STM07_BS(目录!$C$4,26,N2,iRepType)="NULL")=TRUE,0,EM_S_STM07_BS(目录!$C$4,26,N2,iRepType))/unit+IF(OR(EM_S_STM07_BS(目录!$C$4,27,N2,iRepType)="--",EM_S_STM07_BS(目录!$C$4,27,N2,iRepType)="",EM_S_STM07_BS(目录!$C$4,27,N2,iRepType)="NULL")=TRUE,0,EM_S_STM07_BS(目录!$C$4,27,N2,iRepType))/unit-(IF(OR(EM_S_STM07_BS(目录!$C$4,53,YEAR(N2)-1&amp;"-12-31",iRepType)="--",EM_S_STM07_BS(目录!$C$4,53,YEAR(N2)-1&amp;"-12-31",iRepType)="",EM_S_STM07_BS(目录!$C$4,53,YEAR(N2)-1&amp;"-12-31",iRepType)="NULL")=TRUE,0,EM_S_STM07_BS(目录!$C$4,53,YEAR(N2)-1&amp;"-12-31",iRepType))/unit+IF(OR(EM_S_STM07_BS(目录!$C$4,26,YEAR(N2)-1&amp;"-12-31",iRepType)="--",EM_S_STM07_BS(目录!$C$4,26,YEAR(N2)-1&amp;"-12-31",iRepType)="",EM_S_STM07_BS(目录!$C$4,26,YEAR(N2)-1&amp;"-12-31",iRepType)="NULL")=TRUE,0,EM_S_STM07_BS(目录!$C$4,26,YEAR(N2)-1&amp;"-12-31",iRepType))/unit+IF(OR(EM_S_STM07_BS(目录!$C$4,27,YEAR(N2)-1&amp;"-12-31",iRepType)="--",EM_S_STM07_BS(目录!$C$4,27,YEAR(N2)-1&amp;"-12-31",iRepType)="",EM_S_STM07_BS(目录!$C$4,27,YEAR(N2)-1&amp;"-12-31",iRepType)="NULL")=TRUE,0,EM_S_STM07_BS(目录!$C$4,27,YEAR(N2)-1&amp;"-12-31",iRepType))/unit))</t>
  </si>
  <si>
    <t>(IF(OR(EM_S_STM07_BS(目录!$C$4,53,O2,iRepType)="--",EM_S_STM07_BS(目录!$C$4,53,O2,iRepType)="",EM_S_STM07_BS(目录!$C$4,53,O2,iRepType)="NULL")=TRUE,0,EM_S_STM07_BS(目录!$C$4,53,O2,iRepType))/unit+IF(OR(EM_S_STM07_BS(目录!$C$4,26,O2,iRepType)="--",EM_S_STM07_BS(目录!$C$4,26,O2,iRepType)="",EM_S_STM07_BS(目录!$C$4,26,O2,iRepType)="NULL")=TRUE,0,EM_S_STM07_BS(目录!$C$4,26,O2,iRepType))/unit+IF(OR(EM_S_STM07_BS(目录!$C$4,27,O2,iRepType)="--",EM_S_STM07_BS(目录!$C$4,27,O2,iRepType)="",EM_S_STM07_BS(目录!$C$4,27,O2,iRepType)="NULL")=TRUE,0,EM_S_STM07_BS(目录!$C$4,27,O2,iRepType))/unit-(IF(OR(EM_S_STM07_BS(目录!$C$4,53,YEAR(O2)-1&amp;"-12-31",iRepType)="--",EM_S_STM07_BS(目录!$C$4,53,YEAR(O2)-1&amp;"-12-31",iRepType)="",EM_S_STM07_BS(目录!$C$4,53,YEAR(O2)-1&amp;"-12-31",iRepType)="NULL")=TRUE,0,EM_S_STM07_BS(目录!$C$4,53,YEAR(O2)-1&amp;"-12-31",iRepType))/unit+IF(OR(EM_S_STM07_BS(目录!$C$4,26,YEAR(O2)-1&amp;"-12-31",iRepType)="--",EM_S_STM07_BS(目录!$C$4,26,YEAR(O2)-1&amp;"-12-31",iRepType)="",EM_S_STM07_BS(目录!$C$4,26,YEAR(O2)-1&amp;"-12-31",iRepType)="NULL")=TRUE,0,EM_S_STM07_BS(目录!$C$4,26,YEAR(O2)-1&amp;"-12-31",iRepType))/unit+IF(OR(EM_S_STM07_BS(目录!$C$4,27,YEAR(O2)-1&amp;"-12-31",iRepType)="--",EM_S_STM07_BS(目录!$C$4,27,YEAR(O2)-1&amp;"-12-31",iRepType)="",EM_S_STM07_BS(目录!$C$4,27,YEAR(O2)-1&amp;"-12-31",iRepType)="NULL")=TRUE,0,EM_S_STM07_BS(目录!$C$4,27,YEAR(O2)-1&amp;"-12-31",iRepType))/unit))</t>
  </si>
  <si>
    <t>(IF(OR(EM_S_STM07_BS(目录!$C$4,53,P2,iRepType)="--",EM_S_STM07_BS(目录!$C$4,53,P2,iRepType)="",EM_S_STM07_BS(目录!$C$4,53,P2,iRepType)="NULL")=TRUE,0,EM_S_STM07_BS(目录!$C$4,53,P2,iRepType))/unit+IF(OR(EM_S_STM07_BS(目录!$C$4,26,P2,iRepType)="--",EM_S_STM07_BS(目录!$C$4,26,P2,iRepType)="",EM_S_STM07_BS(目录!$C$4,26,P2,iRepType)="NULL")=TRUE,0,EM_S_STM07_BS(目录!$C$4,26,P2,iRepType))/unit+IF(OR(EM_S_STM07_BS(目录!$C$4,27,P2,iRepType)="--",EM_S_STM07_BS(目录!$C$4,27,P2,iRepType)="",EM_S_STM07_BS(目录!$C$4,27,P2,iRepType)="NULL")=TRUE,0,EM_S_STM07_BS(目录!$C$4,27,P2,iRepType))/unit-(IF(OR(EM_S_STM07_BS(目录!$C$4,53,YEAR(P2)-1&amp;"-12-31",iRepType)="--",EM_S_STM07_BS(目录!$C$4,53,YEAR(P2)-1&amp;"-12-31",iRepType)="",EM_S_STM07_BS(目录!$C$4,53,YEAR(P2)-1&amp;"-12-31",iRepType)="NULL")=TRUE,0,EM_S_STM07_BS(目录!$C$4,53,YEAR(P2)-1&amp;"-12-31",iRepType))/unit+IF(OR(EM_S_STM07_BS(目录!$C$4,26,YEAR(P2)-1&amp;"-12-31",iRepType)="--",EM_S_STM07_BS(目录!$C$4,26,YEAR(P2)-1&amp;"-12-31",iRepType)="",EM_S_STM07_BS(目录!$C$4,26,YEAR(P2)-1&amp;"-12-31",iRepType)="NULL")=TRUE,0,EM_S_STM07_BS(目录!$C$4,26,YEAR(P2)-1&amp;"-12-31",iRepType))/unit+IF(OR(EM_S_STM07_BS(目录!$C$4,27,YEAR(P2)-1&amp;"-12-31",iRepType)="--",EM_S_STM07_BS(目录!$C$4,27,YEAR(P2)-1&amp;"-12-31",iRepType)="",EM_S_STM07_BS(目录!$C$4,27,YEAR(P2)-1&amp;"-12-31",iRepType)="NULL")=TRUE,0,EM_S_STM07_BS(目录!$C$4,27,YEAR(P2)-1&amp;"-12-31",iRepType))/unit))</t>
  </si>
  <si>
    <t>(IF(OR(EM_S_STM07_BS(目录!$C$4,53,Q2,iRepType)="--",EM_S_STM07_BS(目录!$C$4,53,Q2,iRepType)="",EM_S_STM07_BS(目录!$C$4,53,Q2,iRepType)="NULL")=TRUE,0,EM_S_STM07_BS(目录!$C$4,53,Q2,iRepType))/unit+IF(OR(EM_S_STM07_BS(目录!$C$4,26,Q2,iRepType)="--",EM_S_STM07_BS(目录!$C$4,26,Q2,iRepType)="",EM_S_STM07_BS(目录!$C$4,26,Q2,iRepType)="NULL")=TRUE,0,EM_S_STM07_BS(目录!$C$4,26,Q2,iRepType))/unit+IF(OR(EM_S_STM07_BS(目录!$C$4,27,Q2,iRepType)="--",EM_S_STM07_BS(目录!$C$4,27,Q2,iRepType)="",EM_S_STM07_BS(目录!$C$4,27,Q2,iRepType)="NULL")=TRUE,0,EM_S_STM07_BS(目录!$C$4,27,Q2,iRepType))/unit-(IF(OR(EM_S_STM07_BS(目录!$C$4,53,YEAR(Q2)-1&amp;"-12-31",iRepType)="--",EM_S_STM07_BS(目录!$C$4,53,YEAR(Q2)-1&amp;"-12-31",iRepType)="",EM_S_STM07_BS(目录!$C$4,53,YEAR(Q2)-1&amp;"-12-31",iRepType)="NULL")=TRUE,0,EM_S_STM07_BS(目录!$C$4,53,YEAR(Q2)-1&amp;"-12-31",iRepType))/unit+IF(OR(EM_S_STM07_BS(目录!$C$4,26,YEAR(Q2)-1&amp;"-12-31",iRepType)="--",EM_S_STM07_BS(目录!$C$4,26,YEAR(Q2)-1&amp;"-12-31",iRepType)="",EM_S_STM07_BS(目录!$C$4,26,YEAR(Q2)-1&amp;"-12-31",iRepType)="NULL")=TRUE,0,EM_S_STM07_BS(目录!$C$4,26,YEAR(Q2)-1&amp;"-12-31",iRepType))/unit+IF(OR(EM_S_STM07_BS(目录!$C$4,27,YEAR(Q2)-1&amp;"-12-31",iRepType)="--",EM_S_STM07_BS(目录!$C$4,27,YEAR(Q2)-1&amp;"-12-31",iRepType)="",EM_S_STM07_BS(目录!$C$4,27,YEAR(Q2)-1&amp;"-12-31",iRepType)="NULL")=TRUE,0,EM_S_STM07_BS(目录!$C$4,27,YEAR(Q2)-1&amp;"-12-31",iRepType))/unit))</t>
  </si>
  <si>
    <t>(IF(OR(EM_S_STM07_BS(目录!$C$4,53,R2,iRepType)="--",EM_S_STM07_BS(目录!$C$4,53,R2,iRepType)="",EM_S_STM07_BS(目录!$C$4,53,R2,iRepType)="NULL")=TRUE,0,EM_S_STM07_BS(目录!$C$4,53,R2,iRepType))/unit+IF(OR(EM_S_STM07_BS(目录!$C$4,26,R2,iRepType)="--",EM_S_STM07_BS(目录!$C$4,26,R2,iRepType)="",EM_S_STM07_BS(目录!$C$4,26,R2,iRepType)="NULL")=TRUE,0,EM_S_STM07_BS(目录!$C$4,26,R2,iRepType))/unit+IF(OR(EM_S_STM07_BS(目录!$C$4,27,R2,iRepType)="--",EM_S_STM07_BS(目录!$C$4,27,R2,iRepType)="",EM_S_STM07_BS(目录!$C$4,27,R2,iRepType)="NULL")=TRUE,0,EM_S_STM07_BS(目录!$C$4,27,R2,iRepType))/unit-(IF(OR(EM_S_STM07_BS(目录!$C$4,53,YEAR(R2)-1&amp;"-12-31",iRepType)="--",EM_S_STM07_BS(目录!$C$4,53,YEAR(R2)-1&amp;"-12-31",iRepType)="",EM_S_STM07_BS(目录!$C$4,53,YEAR(R2)-1&amp;"-12-31",iRepType)="NULL")=TRUE,0,EM_S_STM07_BS(目录!$C$4,53,YEAR(R2)-1&amp;"-12-31",iRepType))/unit+IF(OR(EM_S_STM07_BS(目录!$C$4,26,YEAR(R2)-1&amp;"-12-31",iRepType)="--",EM_S_STM07_BS(目录!$C$4,26,YEAR(R2)-1&amp;"-12-31",iRepType)="",EM_S_STM07_BS(目录!$C$4,26,YEAR(R2)-1&amp;"-12-31",iRepType)="NULL")=TRUE,0,EM_S_STM07_BS(目录!$C$4,26,YEAR(R2)-1&amp;"-12-31",iRepType))/unit+IF(OR(EM_S_STM07_BS(目录!$C$4,27,YEAR(R2)-1&amp;"-12-31",iRepType)="--",EM_S_STM07_BS(目录!$C$4,27,YEAR(R2)-1&amp;"-12-31",iRepType)="",EM_S_STM07_BS(目录!$C$4,27,YEAR(R2)-1&amp;"-12-31",iRepType)="NULL")=TRUE,0,EM_S_STM07_BS(目录!$C$4,27,YEAR(R2)-1&amp;"-12-31",iRepType))/unit))</t>
  </si>
  <si>
    <t>(IF(OR(EM_S_STM07_BS(目录!$C$4,53,S2,iRepType)="--",EM_S_STM07_BS(目录!$C$4,53,S2,iRepType)="",EM_S_STM07_BS(目录!$C$4,53,S2,iRepType)="NULL")=TRUE,0,EM_S_STM07_BS(目录!$C$4,53,S2,iRepType))/unit+IF(OR(EM_S_STM07_BS(目录!$C$4,26,S2,iRepType)="--",EM_S_STM07_BS(目录!$C$4,26,S2,iRepType)="",EM_S_STM07_BS(目录!$C$4,26,S2,iRepType)="NULL")=TRUE,0,EM_S_STM07_BS(目录!$C$4,26,S2,iRepType))/unit+IF(OR(EM_S_STM07_BS(目录!$C$4,27,S2,iRepType)="--",EM_S_STM07_BS(目录!$C$4,27,S2,iRepType)="",EM_S_STM07_BS(目录!$C$4,27,S2,iRepType)="NULL")=TRUE,0,EM_S_STM07_BS(目录!$C$4,27,S2,iRepType))/unit-(IF(OR(EM_S_STM07_BS(目录!$C$4,53,YEAR(S2)-1&amp;"-12-31",iRepType)="--",EM_S_STM07_BS(目录!$C$4,53,YEAR(S2)-1&amp;"-12-31",iRepType)="",EM_S_STM07_BS(目录!$C$4,53,YEAR(S2)-1&amp;"-12-31",iRepType)="NULL")=TRUE,0,EM_S_STM07_BS(目录!$C$4,53,YEAR(S2)-1&amp;"-12-31",iRepType))/unit+IF(OR(EM_S_STM07_BS(目录!$C$4,26,YEAR(S2)-1&amp;"-12-31",iRepType)="--",EM_S_STM07_BS(目录!$C$4,26,YEAR(S2)-1&amp;"-12-31",iRepType)="",EM_S_STM07_BS(目录!$C$4,26,YEAR(S2)-1&amp;"-12-31",iRepType)="NULL")=TRUE,0,EM_S_STM07_BS(目录!$C$4,26,YEAR(S2)-1&amp;"-12-31",iRepType))/unit+IF(OR(EM_S_STM07_BS(目录!$C$4,27,YEAR(S2)-1&amp;"-12-31",iRepType)="--",EM_S_STM07_BS(目录!$C$4,27,YEAR(S2)-1&amp;"-12-31",iRepType)="",EM_S_STM07_BS(目录!$C$4,27,YEAR(S2)-1&amp;"-12-31",iRepType)="NULL")=TRUE,0,EM_S_STM07_BS(目录!$C$4,27,YEAR(S2)-1&amp;"-12-31",iRepType))/unit))</t>
  </si>
  <si>
    <t>(IF(OR(EM_S_STM07_BS(目录!$C$4,53,T2,iRepType)="--",EM_S_STM07_BS(目录!$C$4,53,T2,iRepType)="",EM_S_STM07_BS(目录!$C$4,53,T2,iRepType)="NULL")=TRUE,0,EM_S_STM07_BS(目录!$C$4,53,T2,iRepType))/unit+IF(OR(EM_S_STM07_BS(目录!$C$4,26,T2,iRepType)="--",EM_S_STM07_BS(目录!$C$4,26,T2,iRepType)="",EM_S_STM07_BS(目录!$C$4,26,T2,iRepType)="NULL")=TRUE,0,EM_S_STM07_BS(目录!$C$4,26,T2,iRepType))/unit+IF(OR(EM_S_STM07_BS(目录!$C$4,27,T2,iRepType)="--",EM_S_STM07_BS(目录!$C$4,27,T2,iRepType)="",EM_S_STM07_BS(目录!$C$4,27,T2,iRepType)="NULL")=TRUE,0,EM_S_STM07_BS(目录!$C$4,27,T2,iRepType))/unit-(IF(OR(EM_S_STM07_BS(目录!$C$4,53,YEAR(T2)-1&amp;"-12-31",iRepType)="--",EM_S_STM07_BS(目录!$C$4,53,YEAR(T2)-1&amp;"-12-31",iRepType)="",EM_S_STM07_BS(目录!$C$4,53,YEAR(T2)-1&amp;"-12-31",iRepType)="NULL")=TRUE,0,EM_S_STM07_BS(目录!$C$4,53,YEAR(T2)-1&amp;"-12-31",iRepType))/unit+IF(OR(EM_S_STM07_BS(目录!$C$4,26,YEAR(T2)-1&amp;"-12-31",iRepType)="--",EM_S_STM07_BS(目录!$C$4,26,YEAR(T2)-1&amp;"-12-31",iRepType)="",EM_S_STM07_BS(目录!$C$4,26,YEAR(T2)-1&amp;"-12-31",iRepType)="NULL")=TRUE,0,EM_S_STM07_BS(目录!$C$4,26,YEAR(T2)-1&amp;"-12-31",iRepType))/unit+IF(OR(EM_S_STM07_BS(目录!$C$4,27,YEAR(T2)-1&amp;"-12-31",iRepType)="--",EM_S_STM07_BS(目录!$C$4,27,YEAR(T2)-1&amp;"-12-31",iRepType)="",EM_S_STM07_BS(目录!$C$4,27,YEAR(T2)-1&amp;"-12-31",iRepType)="NULL")=TRUE,0,EM_S_STM07_BS(目录!$C$4,27,YEAR(T2)-1&amp;"-12-31",iRepType))/unit))</t>
  </si>
  <si>
    <t>(IF(OR(EM_S_STM07_BS(目录!$C$4,53,U2,iRepType)="--",EM_S_STM07_BS(目录!$C$4,53,U2,iRepType)="",EM_S_STM07_BS(目录!$C$4,53,U2,iRepType)="NULL")=TRUE,0,EM_S_STM07_BS(目录!$C$4,53,U2,iRepType))/unit+IF(OR(EM_S_STM07_BS(目录!$C$4,26,U2,iRepType)="--",EM_S_STM07_BS(目录!$C$4,26,U2,iRepType)="",EM_S_STM07_BS(目录!$C$4,26,U2,iRepType)="NULL")=TRUE,0,EM_S_STM07_BS(目录!$C$4,26,U2,iRepType))/unit+IF(OR(EM_S_STM07_BS(目录!$C$4,27,U2,iRepType)="--",EM_S_STM07_BS(目录!$C$4,27,U2,iRepType)="",EM_S_STM07_BS(目录!$C$4,27,U2,iRepType)="NULL")=TRUE,0,EM_S_STM07_BS(目录!$C$4,27,U2,iRepType))/unit-(IF(OR(EM_S_STM07_BS(目录!$C$4,53,YEAR(U2)-1&amp;"-12-31",iRepType)="--",EM_S_STM07_BS(目录!$C$4,53,YEAR(U2)-1&amp;"-12-31",iRepType)="",EM_S_STM07_BS(目录!$C$4,53,YEAR(U2)-1&amp;"-12-31",iRepType)="NULL")=TRUE,0,EM_S_STM07_BS(目录!$C$4,53,YEAR(U2)-1&amp;"-12-31",iRepType))/unit+IF(OR(EM_S_STM07_BS(目录!$C$4,26,YEAR(U2)-1&amp;"-12-31",iRepType)="--",EM_S_STM07_BS(目录!$C$4,26,YEAR(U2)-1&amp;"-12-31",iRepType)="",EM_S_STM07_BS(目录!$C$4,26,YEAR(U2)-1&amp;"-12-31",iRepType)="NULL")=TRUE,0,EM_S_STM07_BS(目录!$C$4,26,YEAR(U2)-1&amp;"-12-31",iRepType))/unit+IF(OR(EM_S_STM07_BS(目录!$C$4,27,YEAR(U2)-1&amp;"-12-31",iRepType)="--",EM_S_STM07_BS(目录!$C$4,27,YEAR(U2)-1&amp;"-12-31",iRepType)="",EM_S_STM07_BS(目录!$C$4,27,YEAR(U2)-1&amp;"-12-31",iRepType)="NULL")=TRUE,0,EM_S_STM07_BS(目录!$C$4,27,YEAR(U2)-1&amp;"-12-31",iRepType))/unit))</t>
  </si>
  <si>
    <t>(IF(OR(EM_S_STM07_BS(目录!$C$4,53,V2,iRepType)="--",EM_S_STM07_BS(目录!$C$4,53,V2,iRepType)="",EM_S_STM07_BS(目录!$C$4,53,V2,iRepType)="NULL")=TRUE,0,EM_S_STM07_BS(目录!$C$4,53,V2,iRepType))/unit+IF(OR(EM_S_STM07_BS(目录!$C$4,26,V2,iRepType)="--",EM_S_STM07_BS(目录!$C$4,26,V2,iRepType)="",EM_S_STM07_BS(目录!$C$4,26,V2,iRepType)="NULL")=TRUE,0,EM_S_STM07_BS(目录!$C$4,26,V2,iRepType))/unit+IF(OR(EM_S_STM07_BS(目录!$C$4,27,V2,iRepType)="--",EM_S_STM07_BS(目录!$C$4,27,V2,iRepType)="",EM_S_STM07_BS(目录!$C$4,27,V2,iRepType)="NULL")=TRUE,0,EM_S_STM07_BS(目录!$C$4,27,V2,iRepType))/unit-(IF(OR(EM_S_STM07_BS(目录!$C$4,53,YEAR(V2)-1&amp;"-12-31",iRepType)="--",EM_S_STM07_BS(目录!$C$4,53,YEAR(V2)-1&amp;"-12-31",iRepType)="",EM_S_STM07_BS(目录!$C$4,53,YEAR(V2)-1&amp;"-12-31",iRepType)="NULL")=TRUE,0,EM_S_STM07_BS(目录!$C$4,53,YEAR(V2)-1&amp;"-12-31",iRepType))/unit+IF(OR(EM_S_STM07_BS(目录!$C$4,26,YEAR(V2)-1&amp;"-12-31",iRepType)="--",EM_S_STM07_BS(目录!$C$4,26,YEAR(V2)-1&amp;"-12-31",iRepType)="",EM_S_STM07_BS(目录!$C$4,26,YEAR(V2)-1&amp;"-12-31",iRepType)="NULL")=TRUE,0,EM_S_STM07_BS(目录!$C$4,26,YEAR(V2)-1&amp;"-12-31",iRepType))/unit+IF(OR(EM_S_STM07_BS(目录!$C$4,27,YEAR(V2)-1&amp;"-12-31",iRepType)="--",EM_S_STM07_BS(目录!$C$4,27,YEAR(V2)-1&amp;"-12-31",iRepType)="",EM_S_STM07_BS(目录!$C$4,27,YEAR(V2)-1&amp;"-12-31",iRepType)="NULL")=TRUE,0,EM_S_STM07_BS(目录!$C$4,27,YEAR(V2)-1&amp;"-12-31",iRepType))/unit))</t>
  </si>
  <si>
    <t>(IF(OR(EM_S_STM07_BS(目录!$C$4,53,W2,iRepType)="--",EM_S_STM07_BS(目录!$C$4,53,W2,iRepType)="",EM_S_STM07_BS(目录!$C$4,53,W2,iRepType)="NULL")=TRUE,0,EM_S_STM07_BS(目录!$C$4,53,W2,iRepType))/unit+IF(OR(EM_S_STM07_BS(目录!$C$4,26,W2,iRepType)="--",EM_S_STM07_BS(目录!$C$4,26,W2,iRepType)="",EM_S_STM07_BS(目录!$C$4,26,W2,iRepType)="NULL")=TRUE,0,EM_S_STM07_BS(目录!$C$4,26,W2,iRepType))/unit+IF(OR(EM_S_STM07_BS(目录!$C$4,27,W2,iRepType)="--",EM_S_STM07_BS(目录!$C$4,27,W2,iRepType)="",EM_S_STM07_BS(目录!$C$4,27,W2,iRepType)="NULL")=TRUE,0,EM_S_STM07_BS(目录!$C$4,27,W2,iRepType))/unit-(IF(OR(EM_S_STM07_BS(目录!$C$4,53,YEAR(W2)-1&amp;"-12-31",iRepType)="--",EM_S_STM07_BS(目录!$C$4,53,YEAR(W2)-1&amp;"-12-31",iRepType)="",EM_S_STM07_BS(目录!$C$4,53,YEAR(W2)-1&amp;"-12-31",iRepType)="NULL")=TRUE,0,EM_S_STM07_BS(目录!$C$4,53,YEAR(W2)-1&amp;"-12-31",iRepType))/unit+IF(OR(EM_S_STM07_BS(目录!$C$4,26,YEAR(W2)-1&amp;"-12-31",iRepType)="--",EM_S_STM07_BS(目录!$C$4,26,YEAR(W2)-1&amp;"-12-31",iRepType)="",EM_S_STM07_BS(目录!$C$4,26,YEAR(W2)-1&amp;"-12-31",iRepType)="NULL")=TRUE,0,EM_S_STM07_BS(目录!$C$4,26,YEAR(W2)-1&amp;"-12-31",iRepType))/unit+IF(OR(EM_S_STM07_BS(目录!$C$4,27,YEAR(W2)-1&amp;"-12-31",iRepType)="--",EM_S_STM07_BS(目录!$C$4,27,YEAR(W2)-1&amp;"-12-31",iRepType)="",EM_S_STM07_BS(目录!$C$4,27,YEAR(W2)-1&amp;"-12-31",iRepType)="NULL")=TRUE,0,EM_S_STM07_BS(目录!$C$4,27,YEAR(W2)-1&amp;"-12-31",iRepType))/unit))</t>
  </si>
  <si>
    <t>(IF(OR(EM_S_STM07_BS(目录!$C$4,53,X2,iRepType)="--",EM_S_STM07_BS(目录!$C$4,53,X2,iRepType)="",EM_S_STM07_BS(目录!$C$4,53,X2,iRepType)="NULL")=TRUE,0,EM_S_STM07_BS(目录!$C$4,53,X2,iRepType))/unit+IF(OR(EM_S_STM07_BS(目录!$C$4,26,X2,iRepType)="--",EM_S_STM07_BS(目录!$C$4,26,X2,iRepType)="",EM_S_STM07_BS(目录!$C$4,26,X2,iRepType)="NULL")=TRUE,0,EM_S_STM07_BS(目录!$C$4,26,X2,iRepType))/unit+IF(OR(EM_S_STM07_BS(目录!$C$4,27,X2,iRepType)="--",EM_S_STM07_BS(目录!$C$4,27,X2,iRepType)="",EM_S_STM07_BS(目录!$C$4,27,X2,iRepType)="NULL")=TRUE,0,EM_S_STM07_BS(目录!$C$4,27,X2,iRepType))/unit-(IF(OR(EM_S_STM07_BS(目录!$C$4,53,YEAR(X2)-1&amp;"-12-31",iRepType)="--",EM_S_STM07_BS(目录!$C$4,53,YEAR(X2)-1&amp;"-12-31",iRepType)="",EM_S_STM07_BS(目录!$C$4,53,YEAR(X2)-1&amp;"-12-31",iRepType)="NULL")=TRUE,0,EM_S_STM07_BS(目录!$C$4,53,YEAR(X2)-1&amp;"-12-31",iRepType))/unit+IF(OR(EM_S_STM07_BS(目录!$C$4,26,YEAR(X2)-1&amp;"-12-31",iRepType)="--",EM_S_STM07_BS(目录!$C$4,26,YEAR(X2)-1&amp;"-12-31",iRepType)="",EM_S_STM07_BS(目录!$C$4,26,YEAR(X2)-1&amp;"-12-31",iRepType)="NULL")=TRUE,0,EM_S_STM07_BS(目录!$C$4,26,YEAR(X2)-1&amp;"-12-31",iRepType))/unit+IF(OR(EM_S_STM07_BS(目录!$C$4,27,YEAR(X2)-1&amp;"-12-31",iRepType)="--",EM_S_STM07_BS(目录!$C$4,27,YEAR(X2)-1&amp;"-12-31",iRepType)="",EM_S_STM07_BS(目录!$C$4,27,YEAR(X2)-1&amp;"-12-31",iRepType)="NULL")=TRUE,0,EM_S_STM07_BS(目录!$C$4,27,YEAR(X2)-1&amp;"-12-31",iRepType))/unit))</t>
  </si>
  <si>
    <t>(IF(OR(EM_S_STM07_BS(目录!$C$4,53,Y2,iRepType)="--",EM_S_STM07_BS(目录!$C$4,53,Y2,iRepType)="",EM_S_STM07_BS(目录!$C$4,53,Y2,iRepType)="NULL")=TRUE,0,EM_S_STM07_BS(目录!$C$4,53,Y2,iRepType))/unit+IF(OR(EM_S_STM07_BS(目录!$C$4,26,Y2,iRepType)="--",EM_S_STM07_BS(目录!$C$4,26,Y2,iRepType)="",EM_S_STM07_BS(目录!$C$4,26,Y2,iRepType)="NULL")=TRUE,0,EM_S_STM07_BS(目录!$C$4,26,Y2,iRepType))/unit+IF(OR(EM_S_STM07_BS(目录!$C$4,27,Y2,iRepType)="--",EM_S_STM07_BS(目录!$C$4,27,Y2,iRepType)="",EM_S_STM07_BS(目录!$C$4,27,Y2,iRepType)="NULL")=TRUE,0,EM_S_STM07_BS(目录!$C$4,27,Y2,iRepType))/unit-(IF(OR(EM_S_STM07_BS(目录!$C$4,53,YEAR(Y2)-1&amp;"-12-31",iRepType)="--",EM_S_STM07_BS(目录!$C$4,53,YEAR(Y2)-1&amp;"-12-31",iRepType)="",EM_S_STM07_BS(目录!$C$4,53,YEAR(Y2)-1&amp;"-12-31",iRepType)="NULL")=TRUE,0,EM_S_STM07_BS(目录!$C$4,53,YEAR(Y2)-1&amp;"-12-31",iRepType))/unit+IF(OR(EM_S_STM07_BS(目录!$C$4,26,YEAR(Y2)-1&amp;"-12-31",iRepType)="--",EM_S_STM07_BS(目录!$C$4,26,YEAR(Y2)-1&amp;"-12-31",iRepType)="",EM_S_STM07_BS(目录!$C$4,26,YEAR(Y2)-1&amp;"-12-31",iRepType)="NULL")=TRUE,0,EM_S_STM07_BS(目录!$C$4,26,YEAR(Y2)-1&amp;"-12-31",iRepType))/unit+IF(OR(EM_S_STM07_BS(目录!$C$4,27,YEAR(Y2)-1&amp;"-12-31",iRepType)="--",EM_S_STM07_BS(目录!$C$4,27,YEAR(Y2)-1&amp;"-12-31",iRepType)="",EM_S_STM07_BS(目录!$C$4,27,YEAR(Y2)-1&amp;"-12-31",iRepType)="NULL")=TRUE,0,EM_S_STM07_BS(目录!$C$4,27,YEAR(Y2)-1&amp;"-12-31",iRepType))/unit))</t>
  </si>
  <si>
    <t>(IF(OR(EM_S_STM07_BS(目录!$C$4,53,Z2,iRepType)="--",EM_S_STM07_BS(目录!$C$4,53,Z2,iRepType)="",EM_S_STM07_BS(目录!$C$4,53,Z2,iRepType)="NULL")=TRUE,0,EM_S_STM07_BS(目录!$C$4,53,Z2,iRepType))/unit+IF(OR(EM_S_STM07_BS(目录!$C$4,26,Z2,iRepType)="--",EM_S_STM07_BS(目录!$C$4,26,Z2,iRepType)="",EM_S_STM07_BS(目录!$C$4,26,Z2,iRepType)="NULL")=TRUE,0,EM_S_STM07_BS(目录!$C$4,26,Z2,iRepType))/unit+IF(OR(EM_S_STM07_BS(目录!$C$4,27,Z2,iRepType)="--",EM_S_STM07_BS(目录!$C$4,27,Z2,iRepType)="",EM_S_STM07_BS(目录!$C$4,27,Z2,iRepType)="NULL")=TRUE,0,EM_S_STM07_BS(目录!$C$4,27,Z2,iRepType))/unit-(IF(OR(EM_S_STM07_BS(目录!$C$4,53,YEAR(Z2)-1&amp;"-12-31",iRepType)="--",EM_S_STM07_BS(目录!$C$4,53,YEAR(Z2)-1&amp;"-12-31",iRepType)="",EM_S_STM07_BS(目录!$C$4,53,YEAR(Z2)-1&amp;"-12-31",iRepType)="NULL")=TRUE,0,EM_S_STM07_BS(目录!$C$4,53,YEAR(Z2)-1&amp;"-12-31",iRepType))/unit+IF(OR(EM_S_STM07_BS(目录!$C$4,26,YEAR(Z2)-1&amp;"-12-31",iRepType)="--",EM_S_STM07_BS(目录!$C$4,26,YEAR(Z2)-1&amp;"-12-31",iRepType)="",EM_S_STM07_BS(目录!$C$4,26,YEAR(Z2)-1&amp;"-12-31",iRepType)="NULL")=TRUE,0,EM_S_STM07_BS(目录!$C$4,26,YEAR(Z2)-1&amp;"-12-31",iRepType))/unit+IF(OR(EM_S_STM07_BS(目录!$C$4,27,YEAR(Z2)-1&amp;"-12-31",iRepType)="--",EM_S_STM07_BS(目录!$C$4,27,YEAR(Z2)-1&amp;"-12-31",iRepType)="",EM_S_STM07_BS(目录!$C$4,27,YEAR(Z2)-1&amp;"-12-31",iRepType)="NULL")=TRUE,0,EM_S_STM07_BS(目录!$C$4,27,YEAR(Z2)-1&amp;"-12-31",iRepType))/unit))</t>
  </si>
  <si>
    <t>(IF(OR(EM_S_STM07_BS(目录!$C$4,53,AA2,iRepType)="--",EM_S_STM07_BS(目录!$C$4,53,AA2,iRepType)="",EM_S_STM07_BS(目录!$C$4,53,AA2,iRepType)="NULL")=TRUE,0,EM_S_STM07_BS(目录!$C$4,53,AA2,iRepType))/unit+IF(OR(EM_S_STM07_BS(目录!$C$4,26,AA2,iRepType)="--",EM_S_STM07_BS(目录!$C$4,26,AA2,iRepType)="",EM_S_STM07_BS(目录!$C$4,26,AA2,iRepType)="NULL")=TRUE,0,EM_S_STM07_BS(目录!$C$4,26,AA2,iRepType))/unit+IF(OR(EM_S_STM07_BS(目录!$C$4,27,AA2,iRepType)="--",EM_S_STM07_BS(目录!$C$4,27,AA2,iRepType)="",EM_S_STM07_BS(目录!$C$4,27,AA2,iRepType)="NULL")=TRUE,0,EM_S_STM07_BS(目录!$C$4,27,AA2,iRepType))/unit-(IF(OR(EM_S_STM07_BS(目录!$C$4,53,YEAR(AA2)-1&amp;"-12-31",iRepType)="--",EM_S_STM07_BS(目录!$C$4,53,YEAR(AA2)-1&amp;"-12-31",iRepType)="",EM_S_STM07_BS(目录!$C$4,53,YEAR(AA2)-1&amp;"-12-31",iRepType)="NULL")=TRUE,0,EM_S_STM07_BS(目录!$C$4,53,YEAR(AA2)-1&amp;"-12-31",iRepType))/unit+IF(OR(EM_S_STM07_BS(目录!$C$4,26,YEAR(AA2)-1&amp;"-12-31",iRepType)="--",EM_S_STM07_BS(目录!$C$4,26,YEAR(AA2)-1&amp;"-12-31",iRepType)="",EM_S_STM07_BS(目录!$C$4,26,YEAR(AA2)-1&amp;"-12-31",iRepType)="NULL")=TRUE,0,EM_S_STM07_BS(目录!$C$4,26,YEAR(AA2)-1&amp;"-12-31",iRepType))/unit+IF(OR(EM_S_STM07_BS(目录!$C$4,27,YEAR(AA2)-1&amp;"-12-31",iRepType)="--",EM_S_STM07_BS(目录!$C$4,27,YEAR(AA2)-1&amp;"-12-31",iRepType)="",EM_S_STM07_BS(目录!$C$4,27,YEAR(AA2)-1&amp;"-12-31",iRepType)="NULL")=TRUE,0,EM_S_STM07_BS(目录!$C$4,27,YEAR(AA2)-1&amp;"-12-31",iRepType))/unit))</t>
  </si>
  <si>
    <t>C141</t>
  </si>
  <si>
    <t>IF(OR(EM_S_STMNOTE_ASSETDETAIL(目录!$C$4,1,C$2)="--",EM_S_STMNOTE_ASSETDETAIL(目录!$C$4,1,C$2)="",EM_S_STMNOTE_ASSETDETAIL(目录!$C$4,1,C$2)="NULL")=TRUE,0,EM_S_STMNOTE_ASSETDETAIL(目录!$C$4,1,C$2)/unit)+IF(OR(EM_S_STMNOTE_ASSETDETAIL(目录!$C$4,9,C$2)="--",EM_S_STMNOTE_ASSETDETAIL(目录!$C$4,9,C$2)="",EM_S_STMNOTE_ASSETDETAIL(目录!$C$4,9,C$2)="NULL")=TRUE,0,EM_S_STMNOTE_ASSETDETAIL(目录!$C$4,9,C$2)/unit)+IF(OR(EM_S_STMNOTE_ASSETDETAIL(目录!$C$4,13,C$2)="--",EM_S_STMNOTE_ASSETDETAIL(目录!$C$4,13,C$2)="",EM_S_STMNOTE_ASSETDETAIL(目录!$C$4,13,C$2)="NULL")=TRUE,0,EM_S_STMNOTE_ASSETDETAIL(目录!$C$4,13,C$2)/unit)</t>
  </si>
  <si>
    <t>IF(OR(EM_S_STMNOTE_ASSETDETAIL(目录!$C$4,1,D$2)="--",EM_S_STMNOTE_ASSETDETAIL(目录!$C$4,1,D$2)="",EM_S_STMNOTE_ASSETDETAIL(目录!$C$4,1,D$2)="NULL")=TRUE,0,EM_S_STMNOTE_ASSETDETAIL(目录!$C$4,1,D$2)/unit)+IF(OR(EM_S_STMNOTE_ASSETDETAIL(目录!$C$4,9,D$2)="--",EM_S_STMNOTE_ASSETDETAIL(目录!$C$4,9,D$2)="",EM_S_STMNOTE_ASSETDETAIL(目录!$C$4,9,D$2)="NULL")=TRUE,0,EM_S_STMNOTE_ASSETDETAIL(目录!$C$4,9,D$2)/unit)+IF(OR(EM_S_STMNOTE_ASSETDETAIL(目录!$C$4,13,D$2)="--",EM_S_STMNOTE_ASSETDETAIL(目录!$C$4,13,D$2)="",EM_S_STMNOTE_ASSETDETAIL(目录!$C$4,13,D$2)="NULL")=TRUE,0,EM_S_STMNOTE_ASSETDETAIL(目录!$C$4,13,D$2)/unit)</t>
  </si>
  <si>
    <t>IF(OR(EM_S_STMNOTE_ASSETDETAIL(目录!$C$4,1,E$2)="--",EM_S_STMNOTE_ASSETDETAIL(目录!$C$4,1,E$2)="",EM_S_STMNOTE_ASSETDETAIL(目录!$C$4,1,E$2)="NULL")=TRUE,0,EM_S_STMNOTE_ASSETDETAIL(目录!$C$4,1,E$2)/unit)+IF(OR(EM_S_STMNOTE_ASSETDETAIL(目录!$C$4,9,E$2)="--",EM_S_STMNOTE_ASSETDETAIL(目录!$C$4,9,E$2)="",EM_S_STMNOTE_ASSETDETAIL(目录!$C$4,9,E$2)="NULL")=TRUE,0,EM_S_STMNOTE_ASSETDETAIL(目录!$C$4,9,E$2)/unit)+IF(OR(EM_S_STMNOTE_ASSETDETAIL(目录!$C$4,13,E$2)="--",EM_S_STMNOTE_ASSETDETAIL(目录!$C$4,13,E$2)="",EM_S_STMNOTE_ASSETDETAIL(目录!$C$4,13,E$2)="NULL")=TRUE,0,EM_S_STMNOTE_ASSETDETAIL(目录!$C$4,13,E$2)/unit)</t>
  </si>
  <si>
    <t>IF(OR(EM_S_STMNOTE_ASSETDETAIL(目录!$C$4,1,F$2)="--",EM_S_STMNOTE_ASSETDETAIL(目录!$C$4,1,F$2)="",EM_S_STMNOTE_ASSETDETAIL(目录!$C$4,1,F$2)="NULL")=TRUE,0,EM_S_STMNOTE_ASSETDETAIL(目录!$C$4,1,F$2)/unit)+IF(OR(EM_S_STMNOTE_ASSETDETAIL(目录!$C$4,9,F$2)="--",EM_S_STMNOTE_ASSETDETAIL(目录!$C$4,9,F$2)="",EM_S_STMNOTE_ASSETDETAIL(目录!$C$4,9,F$2)="NULL")=TRUE,0,EM_S_STMNOTE_ASSETDETAIL(目录!$C$4,9,F$2)/unit)+IF(OR(EM_S_STMNOTE_ASSETDETAIL(目录!$C$4,13,F$2)="--",EM_S_STMNOTE_ASSETDETAIL(目录!$C$4,13,F$2)="",EM_S_STMNOTE_ASSETDETAIL(目录!$C$4,13,F$2)="NULL")=TRUE,0,EM_S_STMNOTE_ASSETDETAIL(目录!$C$4,13,F$2)/unit)</t>
  </si>
  <si>
    <t>IF(OR(EM_S_STMNOTE_ASSETDETAIL(目录!$C$4,1,G$2)="--",EM_S_STMNOTE_ASSETDETAIL(目录!$C$4,1,G$2)="",EM_S_STMNOTE_ASSETDETAIL(目录!$C$4,1,G$2)="NULL")=TRUE,0,EM_S_STMNOTE_ASSETDETAIL(目录!$C$4,1,G$2)/unit)+IF(OR(EM_S_STMNOTE_ASSETDETAIL(目录!$C$4,9,G$2)="--",EM_S_STMNOTE_ASSETDETAIL(目录!$C$4,9,G$2)="",EM_S_STMNOTE_ASSETDETAIL(目录!$C$4,9,G$2)="NULL")=TRUE,0,EM_S_STMNOTE_ASSETDETAIL(目录!$C$4,9,G$2)/unit)+IF(OR(EM_S_STMNOTE_ASSETDETAIL(目录!$C$4,13,G$2)="--",EM_S_STMNOTE_ASSETDETAIL(目录!$C$4,13,G$2)="",EM_S_STMNOTE_ASSETDETAIL(目录!$C$4,13,G$2)="NULL")=TRUE,0,EM_S_STMNOTE_ASSETDETAIL(目录!$C$4,13,G$2)/unit)</t>
  </si>
  <si>
    <t>IF(OR(EM_S_STMNOTE_ASSETDETAIL(目录!$C$4,1,H$2)="--",EM_S_STMNOTE_ASSETDETAIL(目录!$C$4,1,H$2)="",EM_S_STMNOTE_ASSETDETAIL(目录!$C$4,1,H$2)="NULL")=TRUE,0,EM_S_STMNOTE_ASSETDETAIL(目录!$C$4,1,H$2)/unit)+IF(OR(EM_S_STMNOTE_ASSETDETAIL(目录!$C$4,9,H$2)="--",EM_S_STMNOTE_ASSETDETAIL(目录!$C$4,9,H$2)="",EM_S_STMNOTE_ASSETDETAIL(目录!$C$4,9,H$2)="NULL")=TRUE,0,EM_S_STMNOTE_ASSETDETAIL(目录!$C$4,9,H$2)/unit)+IF(OR(EM_S_STMNOTE_ASSETDETAIL(目录!$C$4,13,H$2)="--",EM_S_STMNOTE_ASSETDETAIL(目录!$C$4,13,H$2)="",EM_S_STMNOTE_ASSETDETAIL(目录!$C$4,13,H$2)="NULL")=TRUE,0,EM_S_STMNOTE_ASSETDETAIL(目录!$C$4,13,H$2)/unit)</t>
  </si>
  <si>
    <t>IF(OR(EM_S_STMNOTE_ASSETDETAIL(目录!$C$4,1,I$2)="--",EM_S_STMNOTE_ASSETDETAIL(目录!$C$4,1,I$2)="",EM_S_STMNOTE_ASSETDETAIL(目录!$C$4,1,I$2)="NULL")=TRUE,0,EM_S_STMNOTE_ASSETDETAIL(目录!$C$4,1,I$2)/unit)+IF(OR(EM_S_STMNOTE_ASSETDETAIL(目录!$C$4,9,I$2)="--",EM_S_STMNOTE_ASSETDETAIL(目录!$C$4,9,I$2)="",EM_S_STMNOTE_ASSETDETAIL(目录!$C$4,9,I$2)="NULL")=TRUE,0,EM_S_STMNOTE_ASSETDETAIL(目录!$C$4,9,I$2)/unit)+IF(OR(EM_S_STMNOTE_ASSETDETAIL(目录!$C$4,13,I$2)="--",EM_S_STMNOTE_ASSETDETAIL(目录!$C$4,13,I$2)="",EM_S_STMNOTE_ASSETDETAIL(目录!$C$4,13,I$2)="NULL")=TRUE,0,EM_S_STMNOTE_ASSETDETAIL(目录!$C$4,13,I$2)/unit)</t>
  </si>
  <si>
    <t>IF(OR(EM_S_STMNOTE_ASSETDETAIL(目录!$C$4,1,J$2)="--",EM_S_STMNOTE_ASSETDETAIL(目录!$C$4,1,J$2)="",EM_S_STMNOTE_ASSETDETAIL(目录!$C$4,1,J$2)="NULL")=TRUE,0,EM_S_STMNOTE_ASSETDETAIL(目录!$C$4,1,J$2)/unit)+IF(OR(EM_S_STMNOTE_ASSETDETAIL(目录!$C$4,9,J$2)="--",EM_S_STMNOTE_ASSETDETAIL(目录!$C$4,9,J$2)="",EM_S_STMNOTE_ASSETDETAIL(目录!$C$4,9,J$2)="NULL")=TRUE,0,EM_S_STMNOTE_ASSETDETAIL(目录!$C$4,9,J$2)/unit)+IF(OR(EM_S_STMNOTE_ASSETDETAIL(目录!$C$4,13,J$2)="--",EM_S_STMNOTE_ASSETDETAIL(目录!$C$4,13,J$2)="",EM_S_STMNOTE_ASSETDETAIL(目录!$C$4,13,J$2)="NULL")=TRUE,0,EM_S_STMNOTE_ASSETDETAIL(目录!$C$4,13,J$2)/unit)</t>
  </si>
  <si>
    <t>IF(OR(EM_S_STMNOTE_ASSETDETAIL(目录!$C$4,1,K$2)="--",EM_S_STMNOTE_ASSETDETAIL(目录!$C$4,1,K$2)="",EM_S_STMNOTE_ASSETDETAIL(目录!$C$4,1,K$2)="NULL")=TRUE,0,EM_S_STMNOTE_ASSETDETAIL(目录!$C$4,1,K$2)/unit)+IF(OR(EM_S_STMNOTE_ASSETDETAIL(目录!$C$4,9,K$2)="--",EM_S_STMNOTE_ASSETDETAIL(目录!$C$4,9,K$2)="",EM_S_STMNOTE_ASSETDETAIL(目录!$C$4,9,K$2)="NULL")=TRUE,0,EM_S_STMNOTE_ASSETDETAIL(目录!$C$4,9,K$2)/unit)+IF(OR(EM_S_STMNOTE_ASSETDETAIL(目录!$C$4,13,K$2)="--",EM_S_STMNOTE_ASSETDETAIL(目录!$C$4,13,K$2)="",EM_S_STMNOTE_ASSETDETAIL(目录!$C$4,13,K$2)="NULL")=TRUE,0,EM_S_STMNOTE_ASSETDETAIL(目录!$C$4,13,K$2)/unit)</t>
  </si>
  <si>
    <t>IF(OR(EM_S_STMNOTE_ASSETDETAIL(目录!$C$4,1,L$2)="--",EM_S_STMNOTE_ASSETDETAIL(目录!$C$4,1,L$2)="",EM_S_STMNOTE_ASSETDETAIL(目录!$C$4,1,L$2)="NULL")=TRUE,0,EM_S_STMNOTE_ASSETDETAIL(目录!$C$4,1,L$2)/unit)+IF(OR(EM_S_STMNOTE_ASSETDETAIL(目录!$C$4,9,L$2)="--",EM_S_STMNOTE_ASSETDETAIL(目录!$C$4,9,L$2)="",EM_S_STMNOTE_ASSETDETAIL(目录!$C$4,9,L$2)="NULL")=TRUE,0,EM_S_STMNOTE_ASSETDETAIL(目录!$C$4,9,L$2)/unit)+IF(OR(EM_S_STMNOTE_ASSETDETAIL(目录!$C$4,13,L$2)="--",EM_S_STMNOTE_ASSETDETAIL(目录!$C$4,13,L$2)="",EM_S_STMNOTE_ASSETDETAIL(目录!$C$4,13,L$2)="NULL")=TRUE,0,EM_S_STMNOTE_ASSETDETAIL(目录!$C$4,13,L$2)/unit)</t>
  </si>
  <si>
    <t>IF(OR(EM_S_STMNOTE_ASSETDETAIL(目录!$C$4,1,M$2)="--",EM_S_STMNOTE_ASSETDETAIL(目录!$C$4,1,M$2)="",EM_S_STMNOTE_ASSETDETAIL(目录!$C$4,1,M$2)="NULL")=TRUE,0,EM_S_STMNOTE_ASSETDETAIL(目录!$C$4,1,M$2)/unit)+IF(OR(EM_S_STMNOTE_ASSETDETAIL(目录!$C$4,9,M$2)="--",EM_S_STMNOTE_ASSETDETAIL(目录!$C$4,9,M$2)="",EM_S_STMNOTE_ASSETDETAIL(目录!$C$4,9,M$2)="NULL")=TRUE,0,EM_S_STMNOTE_ASSETDETAIL(目录!$C$4,9,M$2)/unit)+IF(OR(EM_S_STMNOTE_ASSETDETAIL(目录!$C$4,13,M$2)="--",EM_S_STMNOTE_ASSETDETAIL(目录!$C$4,13,M$2)="",EM_S_STMNOTE_ASSETDETAIL(目录!$C$4,13,M$2)="NULL")=TRUE,0,EM_S_STMNOTE_ASSETDETAIL(目录!$C$4,13,M$2)/unit)</t>
  </si>
  <si>
    <t>IF(OR(EM_S_STMNOTE_ASSETDETAIL(目录!$C$4,1,N$2)="--",EM_S_STMNOTE_ASSETDETAIL(目录!$C$4,1,N$2)="",EM_S_STMNOTE_ASSETDETAIL(目录!$C$4,1,N$2)="NULL")=TRUE,0,EM_S_STMNOTE_ASSETDETAIL(目录!$C$4,1,N$2)/unit)+IF(OR(EM_S_STMNOTE_ASSETDETAIL(目录!$C$4,9,N$2)="--",EM_S_STMNOTE_ASSETDETAIL(目录!$C$4,9,N$2)="",EM_S_STMNOTE_ASSETDETAIL(目录!$C$4,9,N$2)="NULL")=TRUE,0,EM_S_STMNOTE_ASSETDETAIL(目录!$C$4,9,N$2)/unit)+IF(OR(EM_S_STMNOTE_ASSETDETAIL(目录!$C$4,13,N$2)="--",EM_S_STMNOTE_ASSETDETAIL(目录!$C$4,13,N$2)="",EM_S_STMNOTE_ASSETDETAIL(目录!$C$4,13,N$2)="NULL")=TRUE,0,EM_S_STMNOTE_ASSETDETAIL(目录!$C$4,13,N$2)/unit)</t>
  </si>
  <si>
    <t>IF(OR(EM_S_STMNOTE_ASSETDETAIL(目录!$C$4,1,O$2)="--",EM_S_STMNOTE_ASSETDETAIL(目录!$C$4,1,O$2)="",EM_S_STMNOTE_ASSETDETAIL(目录!$C$4,1,O$2)="NULL")=TRUE,0,EM_S_STMNOTE_ASSETDETAIL(目录!$C$4,1,O$2)/unit)+IF(OR(EM_S_STMNOTE_ASSETDETAIL(目录!$C$4,9,O$2)="--",EM_S_STMNOTE_ASSETDETAIL(目录!$C$4,9,O$2)="",EM_S_STMNOTE_ASSETDETAIL(目录!$C$4,9,O$2)="NULL")=TRUE,0,EM_S_STMNOTE_ASSETDETAIL(目录!$C$4,9,O$2)/unit)+IF(OR(EM_S_STMNOTE_ASSETDETAIL(目录!$C$4,13,O$2)="--",EM_S_STMNOTE_ASSETDETAIL(目录!$C$4,13,O$2)="",EM_S_STMNOTE_ASSETDETAIL(目录!$C$4,13,O$2)="NULL")=TRUE,0,EM_S_STMNOTE_ASSETDETAIL(目录!$C$4,13,O$2)/unit)</t>
  </si>
  <si>
    <t>IF(OR(EM_S_STMNOTE_ASSETDETAIL(目录!$C$4,1,P$2)="--",EM_S_STMNOTE_ASSETDETAIL(目录!$C$4,1,P$2)="",EM_S_STMNOTE_ASSETDETAIL(目录!$C$4,1,P$2)="NULL")=TRUE,0,EM_S_STMNOTE_ASSETDETAIL(目录!$C$4,1,P$2)/unit)+IF(OR(EM_S_STMNOTE_ASSETDETAIL(目录!$C$4,9,P$2)="--",EM_S_STMNOTE_ASSETDETAIL(目录!$C$4,9,P$2)="",EM_S_STMNOTE_ASSETDETAIL(目录!$C$4,9,P$2)="NULL")=TRUE,0,EM_S_STMNOTE_ASSETDETAIL(目录!$C$4,9,P$2)/unit)+IF(OR(EM_S_STMNOTE_ASSETDETAIL(目录!$C$4,13,P$2)="--",EM_S_STMNOTE_ASSETDETAIL(目录!$C$4,13,P$2)="",EM_S_STMNOTE_ASSETDETAIL(目录!$C$4,13,P$2)="NULL")=TRUE,0,EM_S_STMNOTE_ASSETDETAIL(目录!$C$4,13,P$2)/unit)</t>
  </si>
  <si>
    <t>IF(OR(EM_S_STMNOTE_ASSETDETAIL(目录!$C$4,1,Q$2)="--",EM_S_STMNOTE_ASSETDETAIL(目录!$C$4,1,Q$2)="",EM_S_STMNOTE_ASSETDETAIL(目录!$C$4,1,Q$2)="NULL")=TRUE,0,EM_S_STMNOTE_ASSETDETAIL(目录!$C$4,1,Q$2)/unit)+IF(OR(EM_S_STMNOTE_ASSETDETAIL(目录!$C$4,9,Q$2)="--",EM_S_STMNOTE_ASSETDETAIL(目录!$C$4,9,Q$2)="",EM_S_STMNOTE_ASSETDETAIL(目录!$C$4,9,Q$2)="NULL")=TRUE,0,EM_S_STMNOTE_ASSETDETAIL(目录!$C$4,9,Q$2)/unit)+IF(OR(EM_S_STMNOTE_ASSETDETAIL(目录!$C$4,13,Q$2)="--",EM_S_STMNOTE_ASSETDETAIL(目录!$C$4,13,Q$2)="",EM_S_STMNOTE_ASSETDETAIL(目录!$C$4,13,Q$2)="NULL")=TRUE,0,EM_S_STMNOTE_ASSETDETAIL(目录!$C$4,13,Q$2)/unit)</t>
  </si>
  <si>
    <t>IF(OR(EM_S_STMNOTE_ASSETDETAIL(目录!$C$4,1,R$2)="--",EM_S_STMNOTE_ASSETDETAIL(目录!$C$4,1,R$2)="",EM_S_STMNOTE_ASSETDETAIL(目录!$C$4,1,R$2)="NULL")=TRUE,0,EM_S_STMNOTE_ASSETDETAIL(目录!$C$4,1,R$2)/unit)+IF(OR(EM_S_STMNOTE_ASSETDETAIL(目录!$C$4,9,R$2)="--",EM_S_STMNOTE_ASSETDETAIL(目录!$C$4,9,R$2)="",EM_S_STMNOTE_ASSETDETAIL(目录!$C$4,9,R$2)="NULL")=TRUE,0,EM_S_STMNOTE_ASSETDETAIL(目录!$C$4,9,R$2)/unit)+IF(OR(EM_S_STMNOTE_ASSETDETAIL(目录!$C$4,13,R$2)="--",EM_S_STMNOTE_ASSETDETAIL(目录!$C$4,13,R$2)="",EM_S_STMNOTE_ASSETDETAIL(目录!$C$4,13,R$2)="NULL")=TRUE,0,EM_S_STMNOTE_ASSETDETAIL(目录!$C$4,13,R$2)/unit)</t>
  </si>
  <si>
    <t>IF(OR(EM_S_STMNOTE_ASSETDETAIL(目录!$C$4,1,S$2)="--",EM_S_STMNOTE_ASSETDETAIL(目录!$C$4,1,S$2)="",EM_S_STMNOTE_ASSETDETAIL(目录!$C$4,1,S$2)="NULL")=TRUE,0,EM_S_STMNOTE_ASSETDETAIL(目录!$C$4,1,S$2)/unit)+IF(OR(EM_S_STMNOTE_ASSETDETAIL(目录!$C$4,9,S$2)="--",EM_S_STMNOTE_ASSETDETAIL(目录!$C$4,9,S$2)="",EM_S_STMNOTE_ASSETDETAIL(目录!$C$4,9,S$2)="NULL")=TRUE,0,EM_S_STMNOTE_ASSETDETAIL(目录!$C$4,9,S$2)/unit)+IF(OR(EM_S_STMNOTE_ASSETDETAIL(目录!$C$4,13,S$2)="--",EM_S_STMNOTE_ASSETDETAIL(目录!$C$4,13,S$2)="",EM_S_STMNOTE_ASSETDETAIL(目录!$C$4,13,S$2)="NULL")=TRUE,0,EM_S_STMNOTE_ASSETDETAIL(目录!$C$4,13,S$2)/unit)</t>
  </si>
  <si>
    <t>IF(OR(EM_S_STMNOTE_ASSETDETAIL(目录!$C$4,1,T$2)="--",EM_S_STMNOTE_ASSETDETAIL(目录!$C$4,1,T$2)="",EM_S_STMNOTE_ASSETDETAIL(目录!$C$4,1,T$2)="NULL")=TRUE,0,EM_S_STMNOTE_ASSETDETAIL(目录!$C$4,1,T$2)/unit)+IF(OR(EM_S_STMNOTE_ASSETDETAIL(目录!$C$4,9,T$2)="--",EM_S_STMNOTE_ASSETDETAIL(目录!$C$4,9,T$2)="",EM_S_STMNOTE_ASSETDETAIL(目录!$C$4,9,T$2)="NULL")=TRUE,0,EM_S_STMNOTE_ASSETDETAIL(目录!$C$4,9,T$2)/unit)+IF(OR(EM_S_STMNOTE_ASSETDETAIL(目录!$C$4,13,T$2)="--",EM_S_STMNOTE_ASSETDETAIL(目录!$C$4,13,T$2)="",EM_S_STMNOTE_ASSETDETAIL(目录!$C$4,13,T$2)="NULL")=TRUE,0,EM_S_STMNOTE_ASSETDETAIL(目录!$C$4,13,T$2)/unit)</t>
  </si>
  <si>
    <t>IF(OR(EM_S_STMNOTE_ASSETDETAIL(目录!$C$4,1,U$2)="--",EM_S_STMNOTE_ASSETDETAIL(目录!$C$4,1,U$2)="",EM_S_STMNOTE_ASSETDETAIL(目录!$C$4,1,U$2)="NULL")=TRUE,0,EM_S_STMNOTE_ASSETDETAIL(目录!$C$4,1,U$2)/unit)+IF(OR(EM_S_STMNOTE_ASSETDETAIL(目录!$C$4,9,U$2)="--",EM_S_STMNOTE_ASSETDETAIL(目录!$C$4,9,U$2)="",EM_S_STMNOTE_ASSETDETAIL(目录!$C$4,9,U$2)="NULL")=TRUE,0,EM_S_STMNOTE_ASSETDETAIL(目录!$C$4,9,U$2)/unit)+IF(OR(EM_S_STMNOTE_ASSETDETAIL(目录!$C$4,13,U$2)="--",EM_S_STMNOTE_ASSETDETAIL(目录!$C$4,13,U$2)="",EM_S_STMNOTE_ASSETDETAIL(目录!$C$4,13,U$2)="NULL")=TRUE,0,EM_S_STMNOTE_ASSETDETAIL(目录!$C$4,13,U$2)/unit)</t>
  </si>
  <si>
    <t>IF(OR(EM_S_STMNOTE_ASSETDETAIL(目录!$C$4,1,V$2)="--",EM_S_STMNOTE_ASSETDETAIL(目录!$C$4,1,V$2)="",EM_S_STMNOTE_ASSETDETAIL(目录!$C$4,1,V$2)="NULL")=TRUE,0,EM_S_STMNOTE_ASSETDETAIL(目录!$C$4,1,V$2)/unit)+IF(OR(EM_S_STMNOTE_ASSETDETAIL(目录!$C$4,9,V$2)="--",EM_S_STMNOTE_ASSETDETAIL(目录!$C$4,9,V$2)="",EM_S_STMNOTE_ASSETDETAIL(目录!$C$4,9,V$2)="NULL")=TRUE,0,EM_S_STMNOTE_ASSETDETAIL(目录!$C$4,9,V$2)/unit)+IF(OR(EM_S_STMNOTE_ASSETDETAIL(目录!$C$4,13,V$2)="--",EM_S_STMNOTE_ASSETDETAIL(目录!$C$4,13,V$2)="",EM_S_STMNOTE_ASSETDETAIL(目录!$C$4,13,V$2)="NULL")=TRUE,0,EM_S_STMNOTE_ASSETDETAIL(目录!$C$4,13,V$2)/unit)</t>
  </si>
  <si>
    <t>IF(OR(EM_S_STMNOTE_ASSETDETAIL(目录!$C$4,1,W$2)="--",EM_S_STMNOTE_ASSETDETAIL(目录!$C$4,1,W$2)="",EM_S_STMNOTE_ASSETDETAIL(目录!$C$4,1,W$2)="NULL")=TRUE,0,EM_S_STMNOTE_ASSETDETAIL(目录!$C$4,1,W$2)/unit)+IF(OR(EM_S_STMNOTE_ASSETDETAIL(目录!$C$4,9,W$2)="--",EM_S_STMNOTE_ASSETDETAIL(目录!$C$4,9,W$2)="",EM_S_STMNOTE_ASSETDETAIL(目录!$C$4,9,W$2)="NULL")=TRUE,0,EM_S_STMNOTE_ASSETDETAIL(目录!$C$4,9,W$2)/unit)+IF(OR(EM_S_STMNOTE_ASSETDETAIL(目录!$C$4,13,W$2)="--",EM_S_STMNOTE_ASSETDETAIL(目录!$C$4,13,W$2)="",EM_S_STMNOTE_ASSETDETAIL(目录!$C$4,13,W$2)="NULL")=TRUE,0,EM_S_STMNOTE_ASSETDETAIL(目录!$C$4,13,W$2)/unit)</t>
  </si>
  <si>
    <t>IF(OR(EM_S_STMNOTE_ASSETDETAIL(目录!$C$4,1,X$2)="--",EM_S_STMNOTE_ASSETDETAIL(目录!$C$4,1,X$2)="",EM_S_STMNOTE_ASSETDETAIL(目录!$C$4,1,X$2)="NULL")=TRUE,0,EM_S_STMNOTE_ASSETDETAIL(目录!$C$4,1,X$2)/unit)+IF(OR(EM_S_STMNOTE_ASSETDETAIL(目录!$C$4,9,X$2)="--",EM_S_STMNOTE_ASSETDETAIL(目录!$C$4,9,X$2)="",EM_S_STMNOTE_ASSETDETAIL(目录!$C$4,9,X$2)="NULL")=TRUE,0,EM_S_STMNOTE_ASSETDETAIL(目录!$C$4,9,X$2)/unit)+IF(OR(EM_S_STMNOTE_ASSETDETAIL(目录!$C$4,13,X$2)="--",EM_S_STMNOTE_ASSETDETAIL(目录!$C$4,13,X$2)="",EM_S_STMNOTE_ASSETDETAIL(目录!$C$4,13,X$2)="NULL")=TRUE,0,EM_S_STMNOTE_ASSETDETAIL(目录!$C$4,13,X$2)/unit)</t>
  </si>
  <si>
    <t>IF(OR(EM_S_STMNOTE_ASSETDETAIL(目录!$C$4,1,Y$2)="--",EM_S_STMNOTE_ASSETDETAIL(目录!$C$4,1,Y$2)="",EM_S_STMNOTE_ASSETDETAIL(目录!$C$4,1,Y$2)="NULL")=TRUE,0,EM_S_STMNOTE_ASSETDETAIL(目录!$C$4,1,Y$2)/unit)+IF(OR(EM_S_STMNOTE_ASSETDETAIL(目录!$C$4,9,Y$2)="--",EM_S_STMNOTE_ASSETDETAIL(目录!$C$4,9,Y$2)="",EM_S_STMNOTE_ASSETDETAIL(目录!$C$4,9,Y$2)="NULL")=TRUE,0,EM_S_STMNOTE_ASSETDETAIL(目录!$C$4,9,Y$2)/unit)+IF(OR(EM_S_STMNOTE_ASSETDETAIL(目录!$C$4,13,Y$2)="--",EM_S_STMNOTE_ASSETDETAIL(目录!$C$4,13,Y$2)="",EM_S_STMNOTE_ASSETDETAIL(目录!$C$4,13,Y$2)="NULL")=TRUE,0,EM_S_STMNOTE_ASSETDETAIL(目录!$C$4,13,Y$2)/unit)</t>
  </si>
  <si>
    <t>IF(OR(EM_S_STMNOTE_ASSETDETAIL(目录!$C$4,1,Z$2)="--",EM_S_STMNOTE_ASSETDETAIL(目录!$C$4,1,Z$2)="",EM_S_STMNOTE_ASSETDETAIL(目录!$C$4,1,Z$2)="NULL")=TRUE,0,EM_S_STMNOTE_ASSETDETAIL(目录!$C$4,1,Z$2)/unit)+IF(OR(EM_S_STMNOTE_ASSETDETAIL(目录!$C$4,9,Z$2)="--",EM_S_STMNOTE_ASSETDETAIL(目录!$C$4,9,Z$2)="",EM_S_STMNOTE_ASSETDETAIL(目录!$C$4,9,Z$2)="NULL")=TRUE,0,EM_S_STMNOTE_ASSETDETAIL(目录!$C$4,9,Z$2)/unit)+IF(OR(EM_S_STMNOTE_ASSETDETAIL(目录!$C$4,13,Z$2)="--",EM_S_STMNOTE_ASSETDETAIL(目录!$C$4,13,Z$2)="",EM_S_STMNOTE_ASSETDETAIL(目录!$C$4,13,Z$2)="NULL")=TRUE,0,EM_S_STMNOTE_ASSETDETAIL(目录!$C$4,13,Z$2)/unit)</t>
  </si>
  <si>
    <t>IF(OR(EM_S_STMNOTE_ASSETDETAIL(目录!$C$4,1,AA$2)="--",EM_S_STMNOTE_ASSETDETAIL(目录!$C$4,1,AA$2)="",EM_S_STMNOTE_ASSETDETAIL(目录!$C$4,1,AA$2)="NULL")=TRUE,0,EM_S_STMNOTE_ASSETDETAIL(目录!$C$4,1,AA$2)/unit)+IF(OR(EM_S_STMNOTE_ASSETDETAIL(目录!$C$4,9,AA$2)="--",EM_S_STMNOTE_ASSETDETAIL(目录!$C$4,9,AA$2)="",EM_S_STMNOTE_ASSETDETAIL(目录!$C$4,9,AA$2)="NULL")=TRUE,0,EM_S_STMNOTE_ASSETDETAIL(目录!$C$4,9,AA$2)/unit)+IF(OR(EM_S_STMNOTE_ASSETDETAIL(目录!$C$4,13,AA$2)="--",EM_S_STMNOTE_ASSETDETAIL(目录!$C$4,13,AA$2)="",EM_S_STMNOTE_ASSETDETAIL(目录!$C$4,13,AA$2)="NULL")=TRUE,0,EM_S_STMNOTE_ASSETDETAIL(目录!$C$4,13,AA$2)/unit)</t>
  </si>
  <si>
    <t>C142</t>
  </si>
  <si>
    <t>IF(OR(EM_S_STMNOTE_ASSETDETAIL(目录!$C$4,2,C$2)="--",EM_S_STMNOTE_ASSETDETAIL(目录!$C$4,2,C$2)="",EM_S_STMNOTE_ASSETDETAIL(目录!$C$4,2,C$2)="NULL")=TRUE,0,EM_S_STMNOTE_ASSETDETAIL(目录!$C$4,2,C$2)/unit)+IF(OR(EM_S_STMNOTE_ASSETDETAIL(目录!$C$4,10,C$2)="--",EM_S_STMNOTE_ASSETDETAIL(目录!$C$4,10,C$2)="",EM_S_STMNOTE_ASSETDETAIL(目录!$C$4,10,C$2)="NULL")=TRUE,0,EM_S_STMNOTE_ASSETDETAIL(目录!$C$4,10,C$2)/unit)+IF(OR(EM_S_STMNOTE_ASSETDETAIL(目录!$C$4,14,C$2)="--",EM_S_STMNOTE_ASSETDETAIL(目录!$C$4,14,C$2)="",EM_S_STMNOTE_ASSETDETAIL(目录!$C$4,14,C$2)="NULL")=TRUE,0,EM_S_STMNOTE_ASSETDETAIL(目录!$C$4,14,C$2)/unit)</t>
  </si>
  <si>
    <t>IF(OR(EM_S_STMNOTE_ASSETDETAIL(目录!$C$4,2,D$2)="--",EM_S_STMNOTE_ASSETDETAIL(目录!$C$4,2,D$2)="",EM_S_STMNOTE_ASSETDETAIL(目录!$C$4,2,D$2)="NULL")=TRUE,0,EM_S_STMNOTE_ASSETDETAIL(目录!$C$4,2,D$2)/unit)+IF(OR(EM_S_STMNOTE_ASSETDETAIL(目录!$C$4,10,D$2)="--",EM_S_STMNOTE_ASSETDETAIL(目录!$C$4,10,D$2)="",EM_S_STMNOTE_ASSETDETAIL(目录!$C$4,10,D$2)="NULL")=TRUE,0,EM_S_STMNOTE_ASSETDETAIL(目录!$C$4,10,D$2)/unit)+IF(OR(EM_S_STMNOTE_ASSETDETAIL(目录!$C$4,14,D$2)="--",EM_S_STMNOTE_ASSETDETAIL(目录!$C$4,14,D$2)="",EM_S_STMNOTE_ASSETDETAIL(目录!$C$4,14,D$2)="NULL")=TRUE,0,EM_S_STMNOTE_ASSETDETAIL(目录!$C$4,14,D$2)/unit)</t>
  </si>
  <si>
    <t>IF(OR(EM_S_STMNOTE_ASSETDETAIL(目录!$C$4,2,E$2)="--",EM_S_STMNOTE_ASSETDETAIL(目录!$C$4,2,E$2)="",EM_S_STMNOTE_ASSETDETAIL(目录!$C$4,2,E$2)="NULL")=TRUE,0,EM_S_STMNOTE_ASSETDETAIL(目录!$C$4,2,E$2)/unit)+IF(OR(EM_S_STMNOTE_ASSETDETAIL(目录!$C$4,10,E$2)="--",EM_S_STMNOTE_ASSETDETAIL(目录!$C$4,10,E$2)="",EM_S_STMNOTE_ASSETDETAIL(目录!$C$4,10,E$2)="NULL")=TRUE,0,EM_S_STMNOTE_ASSETDETAIL(目录!$C$4,10,E$2)/unit)+IF(OR(EM_S_STMNOTE_ASSETDETAIL(目录!$C$4,14,E$2)="--",EM_S_STMNOTE_ASSETDETAIL(目录!$C$4,14,E$2)="",EM_S_STMNOTE_ASSETDETAIL(目录!$C$4,14,E$2)="NULL")=TRUE,0,EM_S_STMNOTE_ASSETDETAIL(目录!$C$4,14,E$2)/unit)</t>
  </si>
  <si>
    <t>IF(OR(EM_S_STMNOTE_ASSETDETAIL(目录!$C$4,2,F$2)="--",EM_S_STMNOTE_ASSETDETAIL(目录!$C$4,2,F$2)="",EM_S_STMNOTE_ASSETDETAIL(目录!$C$4,2,F$2)="NULL")=TRUE,0,EM_S_STMNOTE_ASSETDETAIL(目录!$C$4,2,F$2)/unit)+IF(OR(EM_S_STMNOTE_ASSETDETAIL(目录!$C$4,10,F$2)="--",EM_S_STMNOTE_ASSETDETAIL(目录!$C$4,10,F$2)="",EM_S_STMNOTE_ASSETDETAIL(目录!$C$4,10,F$2)="NULL")=TRUE,0,EM_S_STMNOTE_ASSETDETAIL(目录!$C$4,10,F$2)/unit)+IF(OR(EM_S_STMNOTE_ASSETDETAIL(目录!$C$4,14,F$2)="--",EM_S_STMNOTE_ASSETDETAIL(目录!$C$4,14,F$2)="",EM_S_STMNOTE_ASSETDETAIL(目录!$C$4,14,F$2)="NULL")=TRUE,0,EM_S_STMNOTE_ASSETDETAIL(目录!$C$4,14,F$2)/unit)</t>
  </si>
  <si>
    <t>IF(OR(EM_S_STMNOTE_ASSETDETAIL(目录!$C$4,2,G$2)="--",EM_S_STMNOTE_ASSETDETAIL(目录!$C$4,2,G$2)="",EM_S_STMNOTE_ASSETDETAIL(目录!$C$4,2,G$2)="NULL")=TRUE,0,EM_S_STMNOTE_ASSETDETAIL(目录!$C$4,2,G$2)/unit)+IF(OR(EM_S_STMNOTE_ASSETDETAIL(目录!$C$4,10,G$2)="--",EM_S_STMNOTE_ASSETDETAIL(目录!$C$4,10,G$2)="",EM_S_STMNOTE_ASSETDETAIL(目录!$C$4,10,G$2)="NULL")=TRUE,0,EM_S_STMNOTE_ASSETDETAIL(目录!$C$4,10,G$2)/unit)+IF(OR(EM_S_STMNOTE_ASSETDETAIL(目录!$C$4,14,G$2)="--",EM_S_STMNOTE_ASSETDETAIL(目录!$C$4,14,G$2)="",EM_S_STMNOTE_ASSETDETAIL(目录!$C$4,14,G$2)="NULL")=TRUE,0,EM_S_STMNOTE_ASSETDETAIL(目录!$C$4,14,G$2)/unit)</t>
  </si>
  <si>
    <t>IF(OR(EM_S_STMNOTE_ASSETDETAIL(目录!$C$4,2,H$2)="--",EM_S_STMNOTE_ASSETDETAIL(目录!$C$4,2,H$2)="",EM_S_STMNOTE_ASSETDETAIL(目录!$C$4,2,H$2)="NULL")=TRUE,0,EM_S_STMNOTE_ASSETDETAIL(目录!$C$4,2,H$2)/unit)+IF(OR(EM_S_STMNOTE_ASSETDETAIL(目录!$C$4,10,H$2)="--",EM_S_STMNOTE_ASSETDETAIL(目录!$C$4,10,H$2)="",EM_S_STMNOTE_ASSETDETAIL(目录!$C$4,10,H$2)="NULL")=TRUE,0,EM_S_STMNOTE_ASSETDETAIL(目录!$C$4,10,H$2)/unit)+IF(OR(EM_S_STMNOTE_ASSETDETAIL(目录!$C$4,14,H$2)="--",EM_S_STMNOTE_ASSETDETAIL(目录!$C$4,14,H$2)="",EM_S_STMNOTE_ASSETDETAIL(目录!$C$4,14,H$2)="NULL")=TRUE,0,EM_S_STMNOTE_ASSETDETAIL(目录!$C$4,14,H$2)/unit)</t>
  </si>
  <si>
    <t>IF(OR(EM_S_STMNOTE_ASSETDETAIL(目录!$C$4,2,I$2)="--",EM_S_STMNOTE_ASSETDETAIL(目录!$C$4,2,I$2)="",EM_S_STMNOTE_ASSETDETAIL(目录!$C$4,2,I$2)="NULL")=TRUE,0,EM_S_STMNOTE_ASSETDETAIL(目录!$C$4,2,I$2)/unit)+IF(OR(EM_S_STMNOTE_ASSETDETAIL(目录!$C$4,10,I$2)="--",EM_S_STMNOTE_ASSETDETAIL(目录!$C$4,10,I$2)="",EM_S_STMNOTE_ASSETDETAIL(目录!$C$4,10,I$2)="NULL")=TRUE,0,EM_S_STMNOTE_ASSETDETAIL(目录!$C$4,10,I$2)/unit)+IF(OR(EM_S_STMNOTE_ASSETDETAIL(目录!$C$4,14,I$2)="--",EM_S_STMNOTE_ASSETDETAIL(目录!$C$4,14,I$2)="",EM_S_STMNOTE_ASSETDETAIL(目录!$C$4,14,I$2)="NULL")=TRUE,0,EM_S_STMNOTE_ASSETDETAIL(目录!$C$4,14,I$2)/unit)</t>
  </si>
  <si>
    <t>IF(OR(EM_S_STMNOTE_ASSETDETAIL(目录!$C$4,2,J$2)="--",EM_S_STMNOTE_ASSETDETAIL(目录!$C$4,2,J$2)="",EM_S_STMNOTE_ASSETDETAIL(目录!$C$4,2,J$2)="NULL")=TRUE,0,EM_S_STMNOTE_ASSETDETAIL(目录!$C$4,2,J$2)/unit)+IF(OR(EM_S_STMNOTE_ASSETDETAIL(目录!$C$4,10,J$2)="--",EM_S_STMNOTE_ASSETDETAIL(目录!$C$4,10,J$2)="",EM_S_STMNOTE_ASSETDETAIL(目录!$C$4,10,J$2)="NULL")=TRUE,0,EM_S_STMNOTE_ASSETDETAIL(目录!$C$4,10,J$2)/unit)+IF(OR(EM_S_STMNOTE_ASSETDETAIL(目录!$C$4,14,J$2)="--",EM_S_STMNOTE_ASSETDETAIL(目录!$C$4,14,J$2)="",EM_S_STMNOTE_ASSETDETAIL(目录!$C$4,14,J$2)="NULL")=TRUE,0,EM_S_STMNOTE_ASSETDETAIL(目录!$C$4,14,J$2)/unit)</t>
  </si>
  <si>
    <t>IF(OR(EM_S_STMNOTE_ASSETDETAIL(目录!$C$4,2,K$2)="--",EM_S_STMNOTE_ASSETDETAIL(目录!$C$4,2,K$2)="",EM_S_STMNOTE_ASSETDETAIL(目录!$C$4,2,K$2)="NULL")=TRUE,0,EM_S_STMNOTE_ASSETDETAIL(目录!$C$4,2,K$2)/unit)+IF(OR(EM_S_STMNOTE_ASSETDETAIL(目录!$C$4,10,K$2)="--",EM_S_STMNOTE_ASSETDETAIL(目录!$C$4,10,K$2)="",EM_S_STMNOTE_ASSETDETAIL(目录!$C$4,10,K$2)="NULL")=TRUE,0,EM_S_STMNOTE_ASSETDETAIL(目录!$C$4,10,K$2)/unit)+IF(OR(EM_S_STMNOTE_ASSETDETAIL(目录!$C$4,14,K$2)="--",EM_S_STMNOTE_ASSETDETAIL(目录!$C$4,14,K$2)="",EM_S_STMNOTE_ASSETDETAIL(目录!$C$4,14,K$2)="NULL")=TRUE,0,EM_S_STMNOTE_ASSETDETAIL(目录!$C$4,14,K$2)/unit)</t>
  </si>
  <si>
    <t>IF(OR(EM_S_STMNOTE_ASSETDETAIL(目录!$C$4,2,L$2)="--",EM_S_STMNOTE_ASSETDETAIL(目录!$C$4,2,L$2)="",EM_S_STMNOTE_ASSETDETAIL(目录!$C$4,2,L$2)="NULL")=TRUE,0,EM_S_STMNOTE_ASSETDETAIL(目录!$C$4,2,L$2)/unit)+IF(OR(EM_S_STMNOTE_ASSETDETAIL(目录!$C$4,10,L$2)="--",EM_S_STMNOTE_ASSETDETAIL(目录!$C$4,10,L$2)="",EM_S_STMNOTE_ASSETDETAIL(目录!$C$4,10,L$2)="NULL")=TRUE,0,EM_S_STMNOTE_ASSETDETAIL(目录!$C$4,10,L$2)/unit)+IF(OR(EM_S_STMNOTE_ASSETDETAIL(目录!$C$4,14,L$2)="--",EM_S_STMNOTE_ASSETDETAIL(目录!$C$4,14,L$2)="",EM_S_STMNOTE_ASSETDETAIL(目录!$C$4,14,L$2)="NULL")=TRUE,0,EM_S_STMNOTE_ASSETDETAIL(目录!$C$4,14,L$2)/unit)</t>
  </si>
  <si>
    <t>IF(OR(EM_S_STMNOTE_ASSETDETAIL(目录!$C$4,2,M$2)="--",EM_S_STMNOTE_ASSETDETAIL(目录!$C$4,2,M$2)="",EM_S_STMNOTE_ASSETDETAIL(目录!$C$4,2,M$2)="NULL")=TRUE,0,EM_S_STMNOTE_ASSETDETAIL(目录!$C$4,2,M$2)/unit)+IF(OR(EM_S_STMNOTE_ASSETDETAIL(目录!$C$4,10,M$2)="--",EM_S_STMNOTE_ASSETDETAIL(目录!$C$4,10,M$2)="",EM_S_STMNOTE_ASSETDETAIL(目录!$C$4,10,M$2)="NULL")=TRUE,0,EM_S_STMNOTE_ASSETDETAIL(目录!$C$4,10,M$2)/unit)+IF(OR(EM_S_STMNOTE_ASSETDETAIL(目录!$C$4,14,M$2)="--",EM_S_STMNOTE_ASSETDETAIL(目录!$C$4,14,M$2)="",EM_S_STMNOTE_ASSETDETAIL(目录!$C$4,14,M$2)="NULL")=TRUE,0,EM_S_STMNOTE_ASSETDETAIL(目录!$C$4,14,M$2)/unit)</t>
  </si>
  <si>
    <t>IF(OR(EM_S_STMNOTE_ASSETDETAIL(目录!$C$4,2,N$2)="--",EM_S_STMNOTE_ASSETDETAIL(目录!$C$4,2,N$2)="",EM_S_STMNOTE_ASSETDETAIL(目录!$C$4,2,N$2)="NULL")=TRUE,0,EM_S_STMNOTE_ASSETDETAIL(目录!$C$4,2,N$2)/unit)+IF(OR(EM_S_STMNOTE_ASSETDETAIL(目录!$C$4,10,N$2)="--",EM_S_STMNOTE_ASSETDETAIL(目录!$C$4,10,N$2)="",EM_S_STMNOTE_ASSETDETAIL(目录!$C$4,10,N$2)="NULL")=TRUE,0,EM_S_STMNOTE_ASSETDETAIL(目录!$C$4,10,N$2)/unit)+IF(OR(EM_S_STMNOTE_ASSETDETAIL(目录!$C$4,14,N$2)="--",EM_S_STMNOTE_ASSETDETAIL(目录!$C$4,14,N$2)="",EM_S_STMNOTE_ASSETDETAIL(目录!$C$4,14,N$2)="NULL")=TRUE,0,EM_S_STMNOTE_ASSETDETAIL(目录!$C$4,14,N$2)/unit)</t>
  </si>
  <si>
    <t>IF(OR(EM_S_STMNOTE_ASSETDETAIL(目录!$C$4,2,O$2)="--",EM_S_STMNOTE_ASSETDETAIL(目录!$C$4,2,O$2)="",EM_S_STMNOTE_ASSETDETAIL(目录!$C$4,2,O$2)="NULL")=TRUE,0,EM_S_STMNOTE_ASSETDETAIL(目录!$C$4,2,O$2)/unit)+IF(OR(EM_S_STMNOTE_ASSETDETAIL(目录!$C$4,10,O$2)="--",EM_S_STMNOTE_ASSETDETAIL(目录!$C$4,10,O$2)="",EM_S_STMNOTE_ASSETDETAIL(目录!$C$4,10,O$2)="NULL")=TRUE,0,EM_S_STMNOTE_ASSETDETAIL(目录!$C$4,10,O$2)/unit)+IF(OR(EM_S_STMNOTE_ASSETDETAIL(目录!$C$4,14,O$2)="--",EM_S_STMNOTE_ASSETDETAIL(目录!$C$4,14,O$2)="",EM_S_STMNOTE_ASSETDETAIL(目录!$C$4,14,O$2)="NULL")=TRUE,0,EM_S_STMNOTE_ASSETDETAIL(目录!$C$4,14,O$2)/unit)</t>
  </si>
  <si>
    <t>IF(OR(EM_S_STMNOTE_ASSETDETAIL(目录!$C$4,2,P$2)="--",EM_S_STMNOTE_ASSETDETAIL(目录!$C$4,2,P$2)="",EM_S_STMNOTE_ASSETDETAIL(目录!$C$4,2,P$2)="NULL")=TRUE,0,EM_S_STMNOTE_ASSETDETAIL(目录!$C$4,2,P$2)/unit)+IF(OR(EM_S_STMNOTE_ASSETDETAIL(目录!$C$4,10,P$2)="--",EM_S_STMNOTE_ASSETDETAIL(目录!$C$4,10,P$2)="",EM_S_STMNOTE_ASSETDETAIL(目录!$C$4,10,P$2)="NULL")=TRUE,0,EM_S_STMNOTE_ASSETDETAIL(目录!$C$4,10,P$2)/unit)+IF(OR(EM_S_STMNOTE_ASSETDETAIL(目录!$C$4,14,P$2)="--",EM_S_STMNOTE_ASSETDETAIL(目录!$C$4,14,P$2)="",EM_S_STMNOTE_ASSETDETAIL(目录!$C$4,14,P$2)="NULL")=TRUE,0,EM_S_STMNOTE_ASSETDETAIL(目录!$C$4,14,P$2)/unit)</t>
  </si>
  <si>
    <t>IF(OR(EM_S_STMNOTE_ASSETDETAIL(目录!$C$4,2,Q$2)="--",EM_S_STMNOTE_ASSETDETAIL(目录!$C$4,2,Q$2)="",EM_S_STMNOTE_ASSETDETAIL(目录!$C$4,2,Q$2)="NULL")=TRUE,0,EM_S_STMNOTE_ASSETDETAIL(目录!$C$4,2,Q$2)/unit)+IF(OR(EM_S_STMNOTE_ASSETDETAIL(目录!$C$4,10,Q$2)="--",EM_S_STMNOTE_ASSETDETAIL(目录!$C$4,10,Q$2)="",EM_S_STMNOTE_ASSETDETAIL(目录!$C$4,10,Q$2)="NULL")=TRUE,0,EM_S_STMNOTE_ASSETDETAIL(目录!$C$4,10,Q$2)/unit)+IF(OR(EM_S_STMNOTE_ASSETDETAIL(目录!$C$4,14,Q$2)="--",EM_S_STMNOTE_ASSETDETAIL(目录!$C$4,14,Q$2)="",EM_S_STMNOTE_ASSETDETAIL(目录!$C$4,14,Q$2)="NULL")=TRUE,0,EM_S_STMNOTE_ASSETDETAIL(目录!$C$4,14,Q$2)/unit)</t>
  </si>
  <si>
    <t>IF(OR(EM_S_STMNOTE_ASSETDETAIL(目录!$C$4,2,R$2)="--",EM_S_STMNOTE_ASSETDETAIL(目录!$C$4,2,R$2)="",EM_S_STMNOTE_ASSETDETAIL(目录!$C$4,2,R$2)="NULL")=TRUE,0,EM_S_STMNOTE_ASSETDETAIL(目录!$C$4,2,R$2)/unit)+IF(OR(EM_S_STMNOTE_ASSETDETAIL(目录!$C$4,10,R$2)="--",EM_S_STMNOTE_ASSETDETAIL(目录!$C$4,10,R$2)="",EM_S_STMNOTE_ASSETDETAIL(目录!$C$4,10,R$2)="NULL")=TRUE,0,EM_S_STMNOTE_ASSETDETAIL(目录!$C$4,10,R$2)/unit)+IF(OR(EM_S_STMNOTE_ASSETDETAIL(目录!$C$4,14,R$2)="--",EM_S_STMNOTE_ASSETDETAIL(目录!$C$4,14,R$2)="",EM_S_STMNOTE_ASSETDETAIL(目录!$C$4,14,R$2)="NULL")=TRUE,0,EM_S_STMNOTE_ASSETDETAIL(目录!$C$4,14,R$2)/unit)</t>
  </si>
  <si>
    <t>IF(OR(EM_S_STMNOTE_ASSETDETAIL(目录!$C$4,2,S$2)="--",EM_S_STMNOTE_ASSETDETAIL(目录!$C$4,2,S$2)="",EM_S_STMNOTE_ASSETDETAIL(目录!$C$4,2,S$2)="NULL")=TRUE,0,EM_S_STMNOTE_ASSETDETAIL(目录!$C$4,2,S$2)/unit)+IF(OR(EM_S_STMNOTE_ASSETDETAIL(目录!$C$4,10,S$2)="--",EM_S_STMNOTE_ASSETDETAIL(目录!$C$4,10,S$2)="",EM_S_STMNOTE_ASSETDETAIL(目录!$C$4,10,S$2)="NULL")=TRUE,0,EM_S_STMNOTE_ASSETDETAIL(目录!$C$4,10,S$2)/unit)+IF(OR(EM_S_STMNOTE_ASSETDETAIL(目录!$C$4,14,S$2)="--",EM_S_STMNOTE_ASSETDETAIL(目录!$C$4,14,S$2)="",EM_S_STMNOTE_ASSETDETAIL(目录!$C$4,14,S$2)="NULL")=TRUE,0,EM_S_STMNOTE_ASSETDETAIL(目录!$C$4,14,S$2)/unit)</t>
  </si>
  <si>
    <t>IF(OR(EM_S_STMNOTE_ASSETDETAIL(目录!$C$4,2,T$2)="--",EM_S_STMNOTE_ASSETDETAIL(目录!$C$4,2,T$2)="",EM_S_STMNOTE_ASSETDETAIL(目录!$C$4,2,T$2)="NULL")=TRUE,0,EM_S_STMNOTE_ASSETDETAIL(目录!$C$4,2,T$2)/unit)+IF(OR(EM_S_STMNOTE_ASSETDETAIL(目录!$C$4,10,T$2)="--",EM_S_STMNOTE_ASSETDETAIL(目录!$C$4,10,T$2)="",EM_S_STMNOTE_ASSETDETAIL(目录!$C$4,10,T$2)="NULL")=TRUE,0,EM_S_STMNOTE_ASSETDETAIL(目录!$C$4,10,T$2)/unit)+IF(OR(EM_S_STMNOTE_ASSETDETAIL(目录!$C$4,14,T$2)="--",EM_S_STMNOTE_ASSETDETAIL(目录!$C$4,14,T$2)="",EM_S_STMNOTE_ASSETDETAIL(目录!$C$4,14,T$2)="NULL")=TRUE,0,EM_S_STMNOTE_ASSETDETAIL(目录!$C$4,14,T$2)/unit)</t>
  </si>
  <si>
    <t>IF(OR(EM_S_STMNOTE_ASSETDETAIL(目录!$C$4,2,U$2)="--",EM_S_STMNOTE_ASSETDETAIL(目录!$C$4,2,U$2)="",EM_S_STMNOTE_ASSETDETAIL(目录!$C$4,2,U$2)="NULL")=TRUE,0,EM_S_STMNOTE_ASSETDETAIL(目录!$C$4,2,U$2)/unit)+IF(OR(EM_S_STMNOTE_ASSETDETAIL(目录!$C$4,10,U$2)="--",EM_S_STMNOTE_ASSETDETAIL(目录!$C$4,10,U$2)="",EM_S_STMNOTE_ASSETDETAIL(目录!$C$4,10,U$2)="NULL")=TRUE,0,EM_S_STMNOTE_ASSETDETAIL(目录!$C$4,10,U$2)/unit)+IF(OR(EM_S_STMNOTE_ASSETDETAIL(目录!$C$4,14,U$2)="--",EM_S_STMNOTE_ASSETDETAIL(目录!$C$4,14,U$2)="",EM_S_STMNOTE_ASSETDETAIL(目录!$C$4,14,U$2)="NULL")=TRUE,0,EM_S_STMNOTE_ASSETDETAIL(目录!$C$4,14,U$2)/unit)</t>
  </si>
  <si>
    <t>IF(OR(EM_S_STMNOTE_ASSETDETAIL(目录!$C$4,2,V$2)="--",EM_S_STMNOTE_ASSETDETAIL(目录!$C$4,2,V$2)="",EM_S_STMNOTE_ASSETDETAIL(目录!$C$4,2,V$2)="NULL")=TRUE,0,EM_S_STMNOTE_ASSETDETAIL(目录!$C$4,2,V$2)/unit)+IF(OR(EM_S_STMNOTE_ASSETDETAIL(目录!$C$4,10,V$2)="--",EM_S_STMNOTE_ASSETDETAIL(目录!$C$4,10,V$2)="",EM_S_STMNOTE_ASSETDETAIL(目录!$C$4,10,V$2)="NULL")=TRUE,0,EM_S_STMNOTE_ASSETDETAIL(目录!$C$4,10,V$2)/unit)+IF(OR(EM_S_STMNOTE_ASSETDETAIL(目录!$C$4,14,V$2)="--",EM_S_STMNOTE_ASSETDETAIL(目录!$C$4,14,V$2)="",EM_S_STMNOTE_ASSETDETAIL(目录!$C$4,14,V$2)="NULL")=TRUE,0,EM_S_STMNOTE_ASSETDETAIL(目录!$C$4,14,V$2)/unit)</t>
  </si>
  <si>
    <t>IF(OR(EM_S_STMNOTE_ASSETDETAIL(目录!$C$4,2,W$2)="--",EM_S_STMNOTE_ASSETDETAIL(目录!$C$4,2,W$2)="",EM_S_STMNOTE_ASSETDETAIL(目录!$C$4,2,W$2)="NULL")=TRUE,0,EM_S_STMNOTE_ASSETDETAIL(目录!$C$4,2,W$2)/unit)+IF(OR(EM_S_STMNOTE_ASSETDETAIL(目录!$C$4,10,W$2)="--",EM_S_STMNOTE_ASSETDETAIL(目录!$C$4,10,W$2)="",EM_S_STMNOTE_ASSETDETAIL(目录!$C$4,10,W$2)="NULL")=TRUE,0,EM_S_STMNOTE_ASSETDETAIL(目录!$C$4,10,W$2)/unit)+IF(OR(EM_S_STMNOTE_ASSETDETAIL(目录!$C$4,14,W$2)="--",EM_S_STMNOTE_ASSETDETAIL(目录!$C$4,14,W$2)="",EM_S_STMNOTE_ASSETDETAIL(目录!$C$4,14,W$2)="NULL")=TRUE,0,EM_S_STMNOTE_ASSETDETAIL(目录!$C$4,14,W$2)/unit)</t>
  </si>
  <si>
    <t>IF(OR(EM_S_STMNOTE_ASSETDETAIL(目录!$C$4,2,X$2)="--",EM_S_STMNOTE_ASSETDETAIL(目录!$C$4,2,X$2)="",EM_S_STMNOTE_ASSETDETAIL(目录!$C$4,2,X$2)="NULL")=TRUE,0,EM_S_STMNOTE_ASSETDETAIL(目录!$C$4,2,X$2)/unit)+IF(OR(EM_S_STMNOTE_ASSETDETAIL(目录!$C$4,10,X$2)="--",EM_S_STMNOTE_ASSETDETAIL(目录!$C$4,10,X$2)="",EM_S_STMNOTE_ASSETDETAIL(目录!$C$4,10,X$2)="NULL")=TRUE,0,EM_S_STMNOTE_ASSETDETAIL(目录!$C$4,10,X$2)/unit)+IF(OR(EM_S_STMNOTE_ASSETDETAIL(目录!$C$4,14,X$2)="--",EM_S_STMNOTE_ASSETDETAIL(目录!$C$4,14,X$2)="",EM_S_STMNOTE_ASSETDETAIL(目录!$C$4,14,X$2)="NULL")=TRUE,0,EM_S_STMNOTE_ASSETDETAIL(目录!$C$4,14,X$2)/unit)</t>
  </si>
  <si>
    <t>IF(OR(EM_S_STMNOTE_ASSETDETAIL(目录!$C$4,2,Y$2)="--",EM_S_STMNOTE_ASSETDETAIL(目录!$C$4,2,Y$2)="",EM_S_STMNOTE_ASSETDETAIL(目录!$C$4,2,Y$2)="NULL")=TRUE,0,EM_S_STMNOTE_ASSETDETAIL(目录!$C$4,2,Y$2)/unit)+IF(OR(EM_S_STMNOTE_ASSETDETAIL(目录!$C$4,10,Y$2)="--",EM_S_STMNOTE_ASSETDETAIL(目录!$C$4,10,Y$2)="",EM_S_STMNOTE_ASSETDETAIL(目录!$C$4,10,Y$2)="NULL")=TRUE,0,EM_S_STMNOTE_ASSETDETAIL(目录!$C$4,10,Y$2)/unit)+IF(OR(EM_S_STMNOTE_ASSETDETAIL(目录!$C$4,14,Y$2)="--",EM_S_STMNOTE_ASSETDETAIL(目录!$C$4,14,Y$2)="",EM_S_STMNOTE_ASSETDETAIL(目录!$C$4,14,Y$2)="NULL")=TRUE,0,EM_S_STMNOTE_ASSETDETAIL(目录!$C$4,14,Y$2)/unit)</t>
  </si>
  <si>
    <t>IF(OR(EM_S_STMNOTE_ASSETDETAIL(目录!$C$4,2,Z$2)="--",EM_S_STMNOTE_ASSETDETAIL(目录!$C$4,2,Z$2)="",EM_S_STMNOTE_ASSETDETAIL(目录!$C$4,2,Z$2)="NULL")=TRUE,0,EM_S_STMNOTE_ASSETDETAIL(目录!$C$4,2,Z$2)/unit)+IF(OR(EM_S_STMNOTE_ASSETDETAIL(目录!$C$4,10,Z$2)="--",EM_S_STMNOTE_ASSETDETAIL(目录!$C$4,10,Z$2)="",EM_S_STMNOTE_ASSETDETAIL(目录!$C$4,10,Z$2)="NULL")=TRUE,0,EM_S_STMNOTE_ASSETDETAIL(目录!$C$4,10,Z$2)/unit)+IF(OR(EM_S_STMNOTE_ASSETDETAIL(目录!$C$4,14,Z$2)="--",EM_S_STMNOTE_ASSETDETAIL(目录!$C$4,14,Z$2)="",EM_S_STMNOTE_ASSETDETAIL(目录!$C$4,14,Z$2)="NULL")=TRUE,0,EM_S_STMNOTE_ASSETDETAIL(目录!$C$4,14,Z$2)/unit)</t>
  </si>
  <si>
    <t>IF(OR(EM_S_STMNOTE_ASSETDETAIL(目录!$C$4,2,AA$2)="--",EM_S_STMNOTE_ASSETDETAIL(目录!$C$4,2,AA$2)="",EM_S_STMNOTE_ASSETDETAIL(目录!$C$4,2,AA$2)="NULL")=TRUE,0,EM_S_STMNOTE_ASSETDETAIL(目录!$C$4,2,AA$2)/unit)+IF(OR(EM_S_STMNOTE_ASSETDETAIL(目录!$C$4,10,AA$2)="--",EM_S_STMNOTE_ASSETDETAIL(目录!$C$4,10,AA$2)="",EM_S_STMNOTE_ASSETDETAIL(目录!$C$4,10,AA$2)="NULL")=TRUE,0,EM_S_STMNOTE_ASSETDETAIL(目录!$C$4,10,AA$2)/unit)+IF(OR(EM_S_STMNOTE_ASSETDETAIL(目录!$C$4,14,AA$2)="--",EM_S_STMNOTE_ASSETDETAIL(目录!$C$4,14,AA$2)="",EM_S_STMNOTE_ASSETDETAIL(目录!$C$4,14,AA$2)="NULL")=TRUE,0,EM_S_STMNOTE_ASSETDETAIL(目录!$C$4,14,AA$2)/unit)</t>
  </si>
  <si>
    <t>C143</t>
  </si>
  <si>
    <t>IF(OR(EM_S_STMNOTE_ASSETDETAIL(目录!$C$4,17,C$2)="",EM_S_STMNOTE_ASSETDETAIL(目录!$C$4,17,C$2)="--",EM_S_STMNOTE_ASSETDETAIL(目录!$C$4,17,C$2)="NULL")=TRUE,0,EM_S_STMNOTE_ASSETDETAIL(目录!$C$4,17,C$2)/unit)</t>
  </si>
  <si>
    <t>IF(OR(EM_S_STMNOTE_ASSETDETAIL(目录!$C$4,17,D$2)="",EM_S_STMNOTE_ASSETDETAIL(目录!$C$4,17,D$2)="--",EM_S_STMNOTE_ASSETDETAIL(目录!$C$4,17,D$2)="NULL")=TRUE,0,EM_S_STMNOTE_ASSETDETAIL(目录!$C$4,17,D$2)/unit)</t>
  </si>
  <si>
    <t>IF(OR(EM_S_STMNOTE_ASSETDETAIL(目录!$C$4,17,E$2)="",EM_S_STMNOTE_ASSETDETAIL(目录!$C$4,17,E$2)="--",EM_S_STMNOTE_ASSETDETAIL(目录!$C$4,17,E$2)="NULL")=TRUE,0,EM_S_STMNOTE_ASSETDETAIL(目录!$C$4,17,E$2)/unit)</t>
  </si>
  <si>
    <t>IF(OR(EM_S_STMNOTE_ASSETDETAIL(目录!$C$4,17,F$2)="",EM_S_STMNOTE_ASSETDETAIL(目录!$C$4,17,F$2)="--",EM_S_STMNOTE_ASSETDETAIL(目录!$C$4,17,F$2)="NULL")=TRUE,0,EM_S_STMNOTE_ASSETDETAIL(目录!$C$4,17,F$2)/unit)</t>
  </si>
  <si>
    <t>IF(OR(EM_S_STMNOTE_ASSETDETAIL(目录!$C$4,17,G$2)="",EM_S_STMNOTE_ASSETDETAIL(目录!$C$4,17,G$2)="--",EM_S_STMNOTE_ASSETDETAIL(目录!$C$4,17,G$2)="NULL")=TRUE,0,EM_S_STMNOTE_ASSETDETAIL(目录!$C$4,17,G$2)/unit)</t>
  </si>
  <si>
    <t>IF(OR(EM_S_STMNOTE_ASSETDETAIL(目录!$C$4,17,H$2)="",EM_S_STMNOTE_ASSETDETAIL(目录!$C$4,17,H$2)="--",EM_S_STMNOTE_ASSETDETAIL(目录!$C$4,17,H$2)="NULL")=TRUE,0,EM_S_STMNOTE_ASSETDETAIL(目录!$C$4,17,H$2)/unit)</t>
  </si>
  <si>
    <t>IF(OR(EM_S_STMNOTE_ASSETDETAIL(目录!$C$4,17,I$2)="",EM_S_STMNOTE_ASSETDETAIL(目录!$C$4,17,I$2)="--",EM_S_STMNOTE_ASSETDETAIL(目录!$C$4,17,I$2)="NULL")=TRUE,0,EM_S_STMNOTE_ASSETDETAIL(目录!$C$4,17,I$2)/unit)</t>
  </si>
  <si>
    <t>IF(OR(EM_S_STMNOTE_ASSETDETAIL(目录!$C$4,17,J$2)="",EM_S_STMNOTE_ASSETDETAIL(目录!$C$4,17,J$2)="--",EM_S_STMNOTE_ASSETDETAIL(目录!$C$4,17,J$2)="NULL")=TRUE,0,EM_S_STMNOTE_ASSETDETAIL(目录!$C$4,17,J$2)/unit)</t>
  </si>
  <si>
    <t>IF(OR(EM_S_STMNOTE_ASSETDETAIL(目录!$C$4,17,K$2)="",EM_S_STMNOTE_ASSETDETAIL(目录!$C$4,17,K$2)="--",EM_S_STMNOTE_ASSETDETAIL(目录!$C$4,17,K$2)="NULL")=TRUE,0,EM_S_STMNOTE_ASSETDETAIL(目录!$C$4,17,K$2)/unit)</t>
  </si>
  <si>
    <t>IF(OR(EM_S_STMNOTE_ASSETDETAIL(目录!$C$4,17,L$2)="",EM_S_STMNOTE_ASSETDETAIL(目录!$C$4,17,L$2)="--",EM_S_STMNOTE_ASSETDETAIL(目录!$C$4,17,L$2)="NULL")=TRUE,0,EM_S_STMNOTE_ASSETDETAIL(目录!$C$4,17,L$2)/unit)</t>
  </si>
  <si>
    <t>IF(OR(EM_S_STMNOTE_ASSETDETAIL(目录!$C$4,17,M$2)="",EM_S_STMNOTE_ASSETDETAIL(目录!$C$4,17,M$2)="--",EM_S_STMNOTE_ASSETDETAIL(目录!$C$4,17,M$2)="NULL")=TRUE,0,EM_S_STMNOTE_ASSETDETAIL(目录!$C$4,17,M$2)/unit)</t>
  </si>
  <si>
    <t>IF(OR(EM_S_STMNOTE_ASSETDETAIL(目录!$C$4,17,N$2)="",EM_S_STMNOTE_ASSETDETAIL(目录!$C$4,17,N$2)="--",EM_S_STMNOTE_ASSETDETAIL(目录!$C$4,17,N$2)="NULL")=TRUE,0,EM_S_STMNOTE_ASSETDETAIL(目录!$C$4,17,N$2)/unit)</t>
  </si>
  <si>
    <t>IF(OR(EM_S_STMNOTE_ASSETDETAIL(目录!$C$4,17,O$2)="",EM_S_STMNOTE_ASSETDETAIL(目录!$C$4,17,O$2)="--",EM_S_STMNOTE_ASSETDETAIL(目录!$C$4,17,O$2)="NULL")=TRUE,0,EM_S_STMNOTE_ASSETDETAIL(目录!$C$4,17,O$2)/unit)</t>
  </si>
  <si>
    <t>IF(OR(EM_S_STMNOTE_ASSETDETAIL(目录!$C$4,17,P$2)="",EM_S_STMNOTE_ASSETDETAIL(目录!$C$4,17,P$2)="--",EM_S_STMNOTE_ASSETDETAIL(目录!$C$4,17,P$2)="NULL")=TRUE,0,EM_S_STMNOTE_ASSETDETAIL(目录!$C$4,17,P$2)/unit)</t>
  </si>
  <si>
    <t>IF(OR(EM_S_STMNOTE_ASSETDETAIL(目录!$C$4,17,Q$2)="",EM_S_STMNOTE_ASSETDETAIL(目录!$C$4,17,Q$2)="--",EM_S_STMNOTE_ASSETDETAIL(目录!$C$4,17,Q$2)="NULL")=TRUE,0,EM_S_STMNOTE_ASSETDETAIL(目录!$C$4,17,Q$2)/unit)</t>
  </si>
  <si>
    <t>IF(OR(EM_S_STMNOTE_ASSETDETAIL(目录!$C$4,17,R$2)="",EM_S_STMNOTE_ASSETDETAIL(目录!$C$4,17,R$2)="--",EM_S_STMNOTE_ASSETDETAIL(目录!$C$4,17,R$2)="NULL")=TRUE,0,EM_S_STMNOTE_ASSETDETAIL(目录!$C$4,17,R$2)/unit)</t>
  </si>
  <si>
    <t>IF(OR(EM_S_STMNOTE_ASSETDETAIL(目录!$C$4,17,S$2)="",EM_S_STMNOTE_ASSETDETAIL(目录!$C$4,17,S$2)="--",EM_S_STMNOTE_ASSETDETAIL(目录!$C$4,17,S$2)="NULL")=TRUE,0,EM_S_STMNOTE_ASSETDETAIL(目录!$C$4,17,S$2)/unit)</t>
  </si>
  <si>
    <t>IF(OR(EM_S_STMNOTE_ASSETDETAIL(目录!$C$4,17,T$2)="",EM_S_STMNOTE_ASSETDETAIL(目录!$C$4,17,T$2)="--",EM_S_STMNOTE_ASSETDETAIL(目录!$C$4,17,T$2)="NULL")=TRUE,0,EM_S_STMNOTE_ASSETDETAIL(目录!$C$4,17,T$2)/unit)</t>
  </si>
  <si>
    <t>IF(OR(EM_S_STMNOTE_ASSETDETAIL(目录!$C$4,17,U$2)="",EM_S_STMNOTE_ASSETDETAIL(目录!$C$4,17,U$2)="--",EM_S_STMNOTE_ASSETDETAIL(目录!$C$4,17,U$2)="NULL")=TRUE,0,EM_S_STMNOTE_ASSETDETAIL(目录!$C$4,17,U$2)/unit)</t>
  </si>
  <si>
    <t>IF(OR(EM_S_STMNOTE_ASSETDETAIL(目录!$C$4,17,V$2)="",EM_S_STMNOTE_ASSETDETAIL(目录!$C$4,17,V$2)="--",EM_S_STMNOTE_ASSETDETAIL(目录!$C$4,17,V$2)="NULL")=TRUE,0,EM_S_STMNOTE_ASSETDETAIL(目录!$C$4,17,V$2)/unit)</t>
  </si>
  <si>
    <t>IF(OR(EM_S_STMNOTE_ASSETDETAIL(目录!$C$4,17,W$2)="",EM_S_STMNOTE_ASSETDETAIL(目录!$C$4,17,W$2)="--",EM_S_STMNOTE_ASSETDETAIL(目录!$C$4,17,W$2)="NULL")=TRUE,0,EM_S_STMNOTE_ASSETDETAIL(目录!$C$4,17,W$2)/unit)</t>
  </si>
  <si>
    <t>IF(OR(EM_S_STMNOTE_ASSETDETAIL(目录!$C$4,17,X$2)="",EM_S_STMNOTE_ASSETDETAIL(目录!$C$4,17,X$2)="--",EM_S_STMNOTE_ASSETDETAIL(目录!$C$4,17,X$2)="NULL")=TRUE,0,EM_S_STMNOTE_ASSETDETAIL(目录!$C$4,17,X$2)/unit)</t>
  </si>
  <si>
    <t>IF(OR(EM_S_STMNOTE_ASSETDETAIL(目录!$C$4,17,Y$2)="",EM_S_STMNOTE_ASSETDETAIL(目录!$C$4,17,Y$2)="--",EM_S_STMNOTE_ASSETDETAIL(目录!$C$4,17,Y$2)="NULL")=TRUE,0,EM_S_STMNOTE_ASSETDETAIL(目录!$C$4,17,Y$2)/unit)</t>
  </si>
  <si>
    <t>IF(OR(EM_S_STMNOTE_ASSETDETAIL(目录!$C$4,17,Z$2)="",EM_S_STMNOTE_ASSETDETAIL(目录!$C$4,17,Z$2)="--",EM_S_STMNOTE_ASSETDETAIL(目录!$C$4,17,Z$2)="NULL")=TRUE,0,EM_S_STMNOTE_ASSETDETAIL(目录!$C$4,17,Z$2)/unit)</t>
  </si>
  <si>
    <t>IF(OR(EM_S_STMNOTE_ASSETDETAIL(目录!$C$4,17,AA$2)="",EM_S_STMNOTE_ASSETDETAIL(目录!$C$4,17,AA$2)="--",EM_S_STMNOTE_ASSETDETAIL(目录!$C$4,17,AA$2)="NULL")=TRUE,0,EM_S_STMNOTE_ASSETDETAIL(目录!$C$4,17,AA$2)/unit)</t>
  </si>
  <si>
    <t>C144</t>
  </si>
  <si>
    <t>IF(OR(EM_S_STMNOTE_ASSETDETAIL(目录!$C$4,18,C$2)="",EM_S_STMNOTE_ASSETDETAIL(目录!$C$4,18,C$2)="--",EM_S_STMNOTE_ASSETDETAIL(目录!$C$4,18,C$2)="NULL")=TRUE,0,EM_S_STMNOTE_ASSETDETAIL(目录!$C$4,18,C$2)/unit)</t>
  </si>
  <si>
    <t>IF(OR(EM_S_STMNOTE_ASSETDETAIL(目录!$C$4,18,D$2)="",EM_S_STMNOTE_ASSETDETAIL(目录!$C$4,18,D$2)="--",EM_S_STMNOTE_ASSETDETAIL(目录!$C$4,18,D$2)="NULL")=TRUE,0,EM_S_STMNOTE_ASSETDETAIL(目录!$C$4,18,D$2)/unit)</t>
  </si>
  <si>
    <t>IF(OR(EM_S_STMNOTE_ASSETDETAIL(目录!$C$4,18,E$2)="",EM_S_STMNOTE_ASSETDETAIL(目录!$C$4,18,E$2)="--",EM_S_STMNOTE_ASSETDETAIL(目录!$C$4,18,E$2)="NULL")=TRUE,0,EM_S_STMNOTE_ASSETDETAIL(目录!$C$4,18,E$2)/unit)</t>
  </si>
  <si>
    <t>IF(OR(EM_S_STMNOTE_ASSETDETAIL(目录!$C$4,18,F$2)="",EM_S_STMNOTE_ASSETDETAIL(目录!$C$4,18,F$2)="--",EM_S_STMNOTE_ASSETDETAIL(目录!$C$4,18,F$2)="NULL")=TRUE,0,EM_S_STMNOTE_ASSETDETAIL(目录!$C$4,18,F$2)/unit)</t>
  </si>
  <si>
    <t>IF(OR(EM_S_STMNOTE_ASSETDETAIL(目录!$C$4,18,G$2)="",EM_S_STMNOTE_ASSETDETAIL(目录!$C$4,18,G$2)="--",EM_S_STMNOTE_ASSETDETAIL(目录!$C$4,18,G$2)="NULL")=TRUE,0,EM_S_STMNOTE_ASSETDETAIL(目录!$C$4,18,G$2)/unit)</t>
  </si>
  <si>
    <t>IF(OR(EM_S_STMNOTE_ASSETDETAIL(目录!$C$4,18,H$2)="",EM_S_STMNOTE_ASSETDETAIL(目录!$C$4,18,H$2)="--",EM_S_STMNOTE_ASSETDETAIL(目录!$C$4,18,H$2)="NULL")=TRUE,0,EM_S_STMNOTE_ASSETDETAIL(目录!$C$4,18,H$2)/unit)</t>
  </si>
  <si>
    <t>IF(OR(EM_S_STMNOTE_ASSETDETAIL(目录!$C$4,18,I$2)="",EM_S_STMNOTE_ASSETDETAIL(目录!$C$4,18,I$2)="--",EM_S_STMNOTE_ASSETDETAIL(目录!$C$4,18,I$2)="NULL")=TRUE,0,EM_S_STMNOTE_ASSETDETAIL(目录!$C$4,18,I$2)/unit)</t>
  </si>
  <si>
    <t>IF(OR(EM_S_STMNOTE_ASSETDETAIL(目录!$C$4,18,J$2)="",EM_S_STMNOTE_ASSETDETAIL(目录!$C$4,18,J$2)="--",EM_S_STMNOTE_ASSETDETAIL(目录!$C$4,18,J$2)="NULL")=TRUE,0,EM_S_STMNOTE_ASSETDETAIL(目录!$C$4,18,J$2)/unit)</t>
  </si>
  <si>
    <t>IF(OR(EM_S_STMNOTE_ASSETDETAIL(目录!$C$4,18,K$2)="",EM_S_STMNOTE_ASSETDETAIL(目录!$C$4,18,K$2)="--",EM_S_STMNOTE_ASSETDETAIL(目录!$C$4,18,K$2)="NULL")=TRUE,0,EM_S_STMNOTE_ASSETDETAIL(目录!$C$4,18,K$2)/unit)</t>
  </si>
  <si>
    <t>IF(OR(EM_S_STMNOTE_ASSETDETAIL(目录!$C$4,18,L$2)="",EM_S_STMNOTE_ASSETDETAIL(目录!$C$4,18,L$2)="--",EM_S_STMNOTE_ASSETDETAIL(目录!$C$4,18,L$2)="NULL")=TRUE,0,EM_S_STMNOTE_ASSETDETAIL(目录!$C$4,18,L$2)/unit)</t>
  </si>
  <si>
    <t>IF(OR(EM_S_STMNOTE_ASSETDETAIL(目录!$C$4,18,M$2)="",EM_S_STMNOTE_ASSETDETAIL(目录!$C$4,18,M$2)="--",EM_S_STMNOTE_ASSETDETAIL(目录!$C$4,18,M$2)="NULL")=TRUE,0,EM_S_STMNOTE_ASSETDETAIL(目录!$C$4,18,M$2)/unit)</t>
  </si>
  <si>
    <t>IF(OR(EM_S_STMNOTE_ASSETDETAIL(目录!$C$4,18,N$2)="",EM_S_STMNOTE_ASSETDETAIL(目录!$C$4,18,N$2)="--",EM_S_STMNOTE_ASSETDETAIL(目录!$C$4,18,N$2)="NULL")=TRUE,0,EM_S_STMNOTE_ASSETDETAIL(目录!$C$4,18,N$2)/unit)</t>
  </si>
  <si>
    <t>IF(OR(EM_S_STMNOTE_ASSETDETAIL(目录!$C$4,18,O$2)="",EM_S_STMNOTE_ASSETDETAIL(目录!$C$4,18,O$2)="--",EM_S_STMNOTE_ASSETDETAIL(目录!$C$4,18,O$2)="NULL")=TRUE,0,EM_S_STMNOTE_ASSETDETAIL(目录!$C$4,18,O$2)/unit)</t>
  </si>
  <si>
    <t>IF(OR(EM_S_STMNOTE_ASSETDETAIL(目录!$C$4,18,P$2)="",EM_S_STMNOTE_ASSETDETAIL(目录!$C$4,18,P$2)="--",EM_S_STMNOTE_ASSETDETAIL(目录!$C$4,18,P$2)="NULL")=TRUE,0,EM_S_STMNOTE_ASSETDETAIL(目录!$C$4,18,P$2)/unit)</t>
  </si>
  <si>
    <t>IF(OR(EM_S_STMNOTE_ASSETDETAIL(目录!$C$4,18,Q$2)="",EM_S_STMNOTE_ASSETDETAIL(目录!$C$4,18,Q$2)="--",EM_S_STMNOTE_ASSETDETAIL(目录!$C$4,18,Q$2)="NULL")=TRUE,0,EM_S_STMNOTE_ASSETDETAIL(目录!$C$4,18,Q$2)/unit)</t>
  </si>
  <si>
    <t>IF(OR(EM_S_STMNOTE_ASSETDETAIL(目录!$C$4,18,R$2)="",EM_S_STMNOTE_ASSETDETAIL(目录!$C$4,18,R$2)="--",EM_S_STMNOTE_ASSETDETAIL(目录!$C$4,18,R$2)="NULL")=TRUE,0,EM_S_STMNOTE_ASSETDETAIL(目录!$C$4,18,R$2)/unit)</t>
  </si>
  <si>
    <t>IF(OR(EM_S_STMNOTE_ASSETDETAIL(目录!$C$4,18,S$2)="",EM_S_STMNOTE_ASSETDETAIL(目录!$C$4,18,S$2)="--",EM_S_STMNOTE_ASSETDETAIL(目录!$C$4,18,S$2)="NULL")=TRUE,0,EM_S_STMNOTE_ASSETDETAIL(目录!$C$4,18,S$2)/unit)</t>
  </si>
  <si>
    <t>IF(OR(EM_S_STMNOTE_ASSETDETAIL(目录!$C$4,18,T$2)="",EM_S_STMNOTE_ASSETDETAIL(目录!$C$4,18,T$2)="--",EM_S_STMNOTE_ASSETDETAIL(目录!$C$4,18,T$2)="NULL")=TRUE,0,EM_S_STMNOTE_ASSETDETAIL(目录!$C$4,18,T$2)/unit)</t>
  </si>
  <si>
    <t>IF(OR(EM_S_STMNOTE_ASSETDETAIL(目录!$C$4,18,U$2)="",EM_S_STMNOTE_ASSETDETAIL(目录!$C$4,18,U$2)="--",EM_S_STMNOTE_ASSETDETAIL(目录!$C$4,18,U$2)="NULL")=TRUE,0,EM_S_STMNOTE_ASSETDETAIL(目录!$C$4,18,U$2)/unit)</t>
  </si>
  <si>
    <t>IF(OR(EM_S_STMNOTE_ASSETDETAIL(目录!$C$4,18,V$2)="",EM_S_STMNOTE_ASSETDETAIL(目录!$C$4,18,V$2)="--",EM_S_STMNOTE_ASSETDETAIL(目录!$C$4,18,V$2)="NULL")=TRUE,0,EM_S_STMNOTE_ASSETDETAIL(目录!$C$4,18,V$2)/unit)</t>
  </si>
  <si>
    <t>IF(OR(EM_S_STMNOTE_ASSETDETAIL(目录!$C$4,18,W$2)="",EM_S_STMNOTE_ASSETDETAIL(目录!$C$4,18,W$2)="--",EM_S_STMNOTE_ASSETDETAIL(目录!$C$4,18,W$2)="NULL")=TRUE,0,EM_S_STMNOTE_ASSETDETAIL(目录!$C$4,18,W$2)/unit)</t>
  </si>
  <si>
    <t>IF(OR(EM_S_STMNOTE_ASSETDETAIL(目录!$C$4,18,X$2)="",EM_S_STMNOTE_ASSETDETAIL(目录!$C$4,18,X$2)="--",EM_S_STMNOTE_ASSETDETAIL(目录!$C$4,18,X$2)="NULL")=TRUE,0,EM_S_STMNOTE_ASSETDETAIL(目录!$C$4,18,X$2)/unit)</t>
  </si>
  <si>
    <t>IF(OR(EM_S_STMNOTE_ASSETDETAIL(目录!$C$4,18,Y$2)="",EM_S_STMNOTE_ASSETDETAIL(目录!$C$4,18,Y$2)="--",EM_S_STMNOTE_ASSETDETAIL(目录!$C$4,18,Y$2)="NULL")=TRUE,0,EM_S_STMNOTE_ASSETDETAIL(目录!$C$4,18,Y$2)/unit)</t>
  </si>
  <si>
    <t>IF(OR(EM_S_STMNOTE_ASSETDETAIL(目录!$C$4,18,Z$2)="",EM_S_STMNOTE_ASSETDETAIL(目录!$C$4,18,Z$2)="--",EM_S_STMNOTE_ASSETDETAIL(目录!$C$4,18,Z$2)="NULL")=TRUE,0,EM_S_STMNOTE_ASSETDETAIL(目录!$C$4,18,Z$2)/unit)</t>
  </si>
  <si>
    <t>IF(OR(EM_S_STMNOTE_ASSETDETAIL(目录!$C$4,18,AA$2)="",EM_S_STMNOTE_ASSETDETAIL(目录!$C$4,18,AA$2)="--",EM_S_STMNOTE_ASSETDETAIL(目录!$C$4,18,AA$2)="NULL")=TRUE,0,EM_S_STMNOTE_ASSETDETAIL(目录!$C$4,18,AA$2)/unit)</t>
  </si>
  <si>
    <t>C145</t>
  </si>
  <si>
    <r>
      <rPr>
        <sz val="11"/>
        <color theme="1"/>
        <rFont val="Calibri"/>
        <family val="2"/>
      </rPr>
      <t>IF(OR(EM_S_STMNOTE_ASSETDETAIL(</t>
    </r>
    <r>
      <rPr>
        <sz val="11"/>
        <color indexed="8"/>
        <rFont val="宋体"/>
        <family val="3"/>
        <charset val="134"/>
      </rPr>
      <t>目录</t>
    </r>
    <r>
      <rPr>
        <sz val="11"/>
        <color theme="1"/>
        <rFont val="Calibri"/>
        <family val="2"/>
      </rPr>
      <t>!$C$4,5,C$2)="",EM_S_STMNOTE_ASSETDETAIL(</t>
    </r>
    <r>
      <rPr>
        <sz val="11"/>
        <color indexed="8"/>
        <rFont val="宋体"/>
        <family val="3"/>
        <charset val="134"/>
      </rPr>
      <t>目录</t>
    </r>
    <r>
      <rPr>
        <sz val="11"/>
        <color theme="1"/>
        <rFont val="Calibri"/>
        <family val="2"/>
      </rPr>
      <t>!$C$4,5,C$2)="--",EM_S_STMNOTE_ASSETDETAIL(</t>
    </r>
    <r>
      <rPr>
        <sz val="11"/>
        <color indexed="8"/>
        <rFont val="宋体"/>
        <family val="3"/>
        <charset val="134"/>
      </rPr>
      <t>目录</t>
    </r>
    <r>
      <rPr>
        <sz val="11"/>
        <color theme="1"/>
        <rFont val="Calibri"/>
        <family val="2"/>
      </rPr>
      <t>!$C$4,5,C$2)="NULL")=TRUE,0,EM_S_STMNOTE_ASSETDETAIL(</t>
    </r>
    <r>
      <rPr>
        <sz val="11"/>
        <color indexed="8"/>
        <rFont val="宋体"/>
        <family val="3"/>
        <charset val="134"/>
      </rPr>
      <t>目录</t>
    </r>
    <r>
      <rPr>
        <sz val="11"/>
        <color theme="1"/>
        <rFont val="Calibri"/>
        <family val="2"/>
      </rPr>
      <t>!$C$4,5,C$2)/unit)</t>
    </r>
  </si>
  <si>
    <r>
      <rPr>
        <sz val="11"/>
        <color theme="1"/>
        <rFont val="Calibri"/>
        <family val="2"/>
      </rPr>
      <t>IF(OR(EM_S_STMNOTE_ASSETDETAIL(</t>
    </r>
    <r>
      <rPr>
        <sz val="11"/>
        <color indexed="8"/>
        <rFont val="宋体"/>
        <family val="3"/>
        <charset val="134"/>
      </rPr>
      <t>目录</t>
    </r>
    <r>
      <rPr>
        <sz val="11"/>
        <color theme="1"/>
        <rFont val="Calibri"/>
        <family val="2"/>
      </rPr>
      <t>!$C$4,5,D$2)="",EM_S_STMNOTE_ASSETDETAIL(</t>
    </r>
    <r>
      <rPr>
        <sz val="11"/>
        <color indexed="8"/>
        <rFont val="宋体"/>
        <family val="3"/>
        <charset val="134"/>
      </rPr>
      <t>目录</t>
    </r>
    <r>
      <rPr>
        <sz val="11"/>
        <color theme="1"/>
        <rFont val="Calibri"/>
        <family val="2"/>
      </rPr>
      <t>!$C$4,5,D$2)="--",EM_S_STMNOTE_ASSETDETAIL(</t>
    </r>
    <r>
      <rPr>
        <sz val="11"/>
        <color indexed="8"/>
        <rFont val="宋体"/>
        <family val="3"/>
        <charset val="134"/>
      </rPr>
      <t>目录</t>
    </r>
    <r>
      <rPr>
        <sz val="11"/>
        <color theme="1"/>
        <rFont val="Calibri"/>
        <family val="2"/>
      </rPr>
      <t>!$C$4,5,D$2)="NULL")=TRUE,0,EM_S_STMNOTE_ASSETDETAIL(</t>
    </r>
    <r>
      <rPr>
        <sz val="11"/>
        <color indexed="8"/>
        <rFont val="宋体"/>
        <family val="3"/>
        <charset val="134"/>
      </rPr>
      <t>目录</t>
    </r>
    <r>
      <rPr>
        <sz val="11"/>
        <color theme="1"/>
        <rFont val="Calibri"/>
        <family val="2"/>
      </rPr>
      <t>!$C$4,5,D$2)/unit)</t>
    </r>
  </si>
  <si>
    <r>
      <rPr>
        <sz val="11"/>
        <color theme="1"/>
        <rFont val="Calibri"/>
        <family val="2"/>
      </rPr>
      <t>IF(OR(EM_S_STMNOTE_ASSETDETAIL(</t>
    </r>
    <r>
      <rPr>
        <sz val="11"/>
        <color indexed="8"/>
        <rFont val="宋体"/>
        <family val="3"/>
        <charset val="134"/>
      </rPr>
      <t>目录</t>
    </r>
    <r>
      <rPr>
        <sz val="11"/>
        <color theme="1"/>
        <rFont val="Calibri"/>
        <family val="2"/>
      </rPr>
      <t>!$C$4,5,E$2)="",EM_S_STMNOTE_ASSETDETAIL(</t>
    </r>
    <r>
      <rPr>
        <sz val="11"/>
        <color indexed="8"/>
        <rFont val="宋体"/>
        <family val="3"/>
        <charset val="134"/>
      </rPr>
      <t>目录</t>
    </r>
    <r>
      <rPr>
        <sz val="11"/>
        <color theme="1"/>
        <rFont val="Calibri"/>
        <family val="2"/>
      </rPr>
      <t>!$C$4,5,E$2)="--",EM_S_STMNOTE_ASSETDETAIL(</t>
    </r>
    <r>
      <rPr>
        <sz val="11"/>
        <color indexed="8"/>
        <rFont val="宋体"/>
        <family val="3"/>
        <charset val="134"/>
      </rPr>
      <t>目录</t>
    </r>
    <r>
      <rPr>
        <sz val="11"/>
        <color theme="1"/>
        <rFont val="Calibri"/>
        <family val="2"/>
      </rPr>
      <t>!$C$4,5,E$2)="NULL")=TRUE,0,EM_S_STMNOTE_ASSETDETAIL(</t>
    </r>
    <r>
      <rPr>
        <sz val="11"/>
        <color indexed="8"/>
        <rFont val="宋体"/>
        <family val="3"/>
        <charset val="134"/>
      </rPr>
      <t>目录</t>
    </r>
    <r>
      <rPr>
        <sz val="11"/>
        <color theme="1"/>
        <rFont val="Calibri"/>
        <family val="2"/>
      </rPr>
      <t>!$C$4,5,E$2)/unit)</t>
    </r>
  </si>
  <si>
    <r>
      <rPr>
        <sz val="11"/>
        <color theme="1"/>
        <rFont val="Calibri"/>
        <family val="2"/>
      </rPr>
      <t>IF(OR(EM_S_STMNOTE_ASSETDETAIL(</t>
    </r>
    <r>
      <rPr>
        <sz val="11"/>
        <color indexed="8"/>
        <rFont val="宋体"/>
        <family val="3"/>
        <charset val="134"/>
      </rPr>
      <t>目录</t>
    </r>
    <r>
      <rPr>
        <sz val="11"/>
        <color theme="1"/>
        <rFont val="Calibri"/>
        <family val="2"/>
      </rPr>
      <t>!$C$4,5,F$2)="",EM_S_STMNOTE_ASSETDETAIL(</t>
    </r>
    <r>
      <rPr>
        <sz val="11"/>
        <color indexed="8"/>
        <rFont val="宋体"/>
        <family val="3"/>
        <charset val="134"/>
      </rPr>
      <t>目录</t>
    </r>
    <r>
      <rPr>
        <sz val="11"/>
        <color theme="1"/>
        <rFont val="Calibri"/>
        <family val="2"/>
      </rPr>
      <t>!$C$4,5,F$2)="--",EM_S_STMNOTE_ASSETDETAIL(</t>
    </r>
    <r>
      <rPr>
        <sz val="11"/>
        <color indexed="8"/>
        <rFont val="宋体"/>
        <family val="3"/>
        <charset val="134"/>
      </rPr>
      <t>目录</t>
    </r>
    <r>
      <rPr>
        <sz val="11"/>
        <color theme="1"/>
        <rFont val="Calibri"/>
        <family val="2"/>
      </rPr>
      <t>!$C$4,5,F$2)="NULL")=TRUE,0,EM_S_STMNOTE_ASSETDETAIL(</t>
    </r>
    <r>
      <rPr>
        <sz val="11"/>
        <color indexed="8"/>
        <rFont val="宋体"/>
        <family val="3"/>
        <charset val="134"/>
      </rPr>
      <t>目录</t>
    </r>
    <r>
      <rPr>
        <sz val="11"/>
        <color theme="1"/>
        <rFont val="Calibri"/>
        <family val="2"/>
      </rPr>
      <t>!$C$4,5,F$2)/unit)</t>
    </r>
  </si>
  <si>
    <r>
      <rPr>
        <sz val="11"/>
        <color theme="1"/>
        <rFont val="Calibri"/>
        <family val="2"/>
      </rPr>
      <t>IF(OR(EM_S_STMNOTE_ASSETDETAIL(</t>
    </r>
    <r>
      <rPr>
        <sz val="11"/>
        <color indexed="8"/>
        <rFont val="宋体"/>
        <family val="3"/>
        <charset val="134"/>
      </rPr>
      <t>目录</t>
    </r>
    <r>
      <rPr>
        <sz val="11"/>
        <color theme="1"/>
        <rFont val="Calibri"/>
        <family val="2"/>
      </rPr>
      <t>!$C$4,5,G$2)="",EM_S_STMNOTE_ASSETDETAIL(</t>
    </r>
    <r>
      <rPr>
        <sz val="11"/>
        <color indexed="8"/>
        <rFont val="宋体"/>
        <family val="3"/>
        <charset val="134"/>
      </rPr>
      <t>目录</t>
    </r>
    <r>
      <rPr>
        <sz val="11"/>
        <color theme="1"/>
        <rFont val="Calibri"/>
        <family val="2"/>
      </rPr>
      <t>!$C$4,5,G$2)="--",EM_S_STMNOTE_ASSETDETAIL(</t>
    </r>
    <r>
      <rPr>
        <sz val="11"/>
        <color indexed="8"/>
        <rFont val="宋体"/>
        <family val="3"/>
        <charset val="134"/>
      </rPr>
      <t>目录</t>
    </r>
    <r>
      <rPr>
        <sz val="11"/>
        <color theme="1"/>
        <rFont val="Calibri"/>
        <family val="2"/>
      </rPr>
      <t>!$C$4,5,G$2)="NULL")=TRUE,0,EM_S_STMNOTE_ASSETDETAIL(</t>
    </r>
    <r>
      <rPr>
        <sz val="11"/>
        <color indexed="8"/>
        <rFont val="宋体"/>
        <family val="3"/>
        <charset val="134"/>
      </rPr>
      <t>目录</t>
    </r>
    <r>
      <rPr>
        <sz val="11"/>
        <color theme="1"/>
        <rFont val="Calibri"/>
        <family val="2"/>
      </rPr>
      <t>!$C$4,5,G$2)/unit)</t>
    </r>
  </si>
  <si>
    <r>
      <rPr>
        <sz val="11"/>
        <color theme="1"/>
        <rFont val="Calibri"/>
        <family val="2"/>
      </rPr>
      <t>IF(OR(EM_S_STMNOTE_ASSETDETAIL(</t>
    </r>
    <r>
      <rPr>
        <sz val="11"/>
        <color indexed="8"/>
        <rFont val="宋体"/>
        <family val="3"/>
        <charset val="134"/>
      </rPr>
      <t>目录</t>
    </r>
    <r>
      <rPr>
        <sz val="11"/>
        <color theme="1"/>
        <rFont val="Calibri"/>
        <family val="2"/>
      </rPr>
      <t>!$C$4,5,H$2)="",EM_S_STMNOTE_ASSETDETAIL(</t>
    </r>
    <r>
      <rPr>
        <sz val="11"/>
        <color indexed="8"/>
        <rFont val="宋体"/>
        <family val="3"/>
        <charset val="134"/>
      </rPr>
      <t>目录</t>
    </r>
    <r>
      <rPr>
        <sz val="11"/>
        <color theme="1"/>
        <rFont val="Calibri"/>
        <family val="2"/>
      </rPr>
      <t>!$C$4,5,H$2)="--",EM_S_STMNOTE_ASSETDETAIL(</t>
    </r>
    <r>
      <rPr>
        <sz val="11"/>
        <color indexed="8"/>
        <rFont val="宋体"/>
        <family val="3"/>
        <charset val="134"/>
      </rPr>
      <t>目录</t>
    </r>
    <r>
      <rPr>
        <sz val="11"/>
        <color theme="1"/>
        <rFont val="Calibri"/>
        <family val="2"/>
      </rPr>
      <t>!$C$4,5,H$2)="NULL")=TRUE,0,EM_S_STMNOTE_ASSETDETAIL(</t>
    </r>
    <r>
      <rPr>
        <sz val="11"/>
        <color indexed="8"/>
        <rFont val="宋体"/>
        <family val="3"/>
        <charset val="134"/>
      </rPr>
      <t>目录</t>
    </r>
    <r>
      <rPr>
        <sz val="11"/>
        <color theme="1"/>
        <rFont val="Calibri"/>
        <family val="2"/>
      </rPr>
      <t>!$C$4,5,H$2)/unit)</t>
    </r>
  </si>
  <si>
    <r>
      <rPr>
        <sz val="11"/>
        <color theme="1"/>
        <rFont val="Calibri"/>
        <family val="2"/>
      </rPr>
      <t>IF(OR(EM_S_STMNOTE_ASSETDETAIL(</t>
    </r>
    <r>
      <rPr>
        <sz val="11"/>
        <color indexed="8"/>
        <rFont val="宋体"/>
        <family val="3"/>
        <charset val="134"/>
      </rPr>
      <t>目录</t>
    </r>
    <r>
      <rPr>
        <sz val="11"/>
        <color theme="1"/>
        <rFont val="Calibri"/>
        <family val="2"/>
      </rPr>
      <t>!$C$4,5,I$2)="",EM_S_STMNOTE_ASSETDETAIL(</t>
    </r>
    <r>
      <rPr>
        <sz val="11"/>
        <color indexed="8"/>
        <rFont val="宋体"/>
        <family val="3"/>
        <charset val="134"/>
      </rPr>
      <t>目录</t>
    </r>
    <r>
      <rPr>
        <sz val="11"/>
        <color theme="1"/>
        <rFont val="Calibri"/>
        <family val="2"/>
      </rPr>
      <t>!$C$4,5,I$2)="--",EM_S_STMNOTE_ASSETDETAIL(</t>
    </r>
    <r>
      <rPr>
        <sz val="11"/>
        <color indexed="8"/>
        <rFont val="宋体"/>
        <family val="3"/>
        <charset val="134"/>
      </rPr>
      <t>目录</t>
    </r>
    <r>
      <rPr>
        <sz val="11"/>
        <color theme="1"/>
        <rFont val="Calibri"/>
        <family val="2"/>
      </rPr>
      <t>!$C$4,5,I$2)="NULL")=TRUE,0,EM_S_STMNOTE_ASSETDETAIL(</t>
    </r>
    <r>
      <rPr>
        <sz val="11"/>
        <color indexed="8"/>
        <rFont val="宋体"/>
        <family val="3"/>
        <charset val="134"/>
      </rPr>
      <t>目录</t>
    </r>
    <r>
      <rPr>
        <sz val="11"/>
        <color theme="1"/>
        <rFont val="Calibri"/>
        <family val="2"/>
      </rPr>
      <t>!$C$4,5,I$2)/unit)</t>
    </r>
  </si>
  <si>
    <r>
      <rPr>
        <sz val="11"/>
        <color theme="1"/>
        <rFont val="Calibri"/>
        <family val="2"/>
      </rPr>
      <t>IF(OR(EM_S_STMNOTE_ASSETDETAIL(</t>
    </r>
    <r>
      <rPr>
        <sz val="11"/>
        <color indexed="8"/>
        <rFont val="宋体"/>
        <family val="3"/>
        <charset val="134"/>
      </rPr>
      <t>目录</t>
    </r>
    <r>
      <rPr>
        <sz val="11"/>
        <color theme="1"/>
        <rFont val="Calibri"/>
        <family val="2"/>
      </rPr>
      <t>!$C$4,5,J$2)="",EM_S_STMNOTE_ASSETDETAIL(</t>
    </r>
    <r>
      <rPr>
        <sz val="11"/>
        <color indexed="8"/>
        <rFont val="宋体"/>
        <family val="3"/>
        <charset val="134"/>
      </rPr>
      <t>目录</t>
    </r>
    <r>
      <rPr>
        <sz val="11"/>
        <color theme="1"/>
        <rFont val="Calibri"/>
        <family val="2"/>
      </rPr>
      <t>!$C$4,5,J$2)="--",EM_S_STMNOTE_ASSETDETAIL(</t>
    </r>
    <r>
      <rPr>
        <sz val="11"/>
        <color indexed="8"/>
        <rFont val="宋体"/>
        <family val="3"/>
        <charset val="134"/>
      </rPr>
      <t>目录</t>
    </r>
    <r>
      <rPr>
        <sz val="11"/>
        <color theme="1"/>
        <rFont val="Calibri"/>
        <family val="2"/>
      </rPr>
      <t>!$C$4,5,J$2)="NULL")=TRUE,0,EM_S_STMNOTE_ASSETDETAIL(</t>
    </r>
    <r>
      <rPr>
        <sz val="11"/>
        <color indexed="8"/>
        <rFont val="宋体"/>
        <family val="3"/>
        <charset val="134"/>
      </rPr>
      <t>目录</t>
    </r>
    <r>
      <rPr>
        <sz val="11"/>
        <color theme="1"/>
        <rFont val="Calibri"/>
        <family val="2"/>
      </rPr>
      <t>!$C$4,5,J$2)/unit)</t>
    </r>
  </si>
  <si>
    <r>
      <rPr>
        <sz val="11"/>
        <color theme="1"/>
        <rFont val="Calibri"/>
        <family val="2"/>
      </rPr>
      <t>IF(OR(EM_S_STMNOTE_ASSETDETAIL(</t>
    </r>
    <r>
      <rPr>
        <sz val="11"/>
        <color indexed="8"/>
        <rFont val="宋体"/>
        <family val="3"/>
        <charset val="134"/>
      </rPr>
      <t>目录</t>
    </r>
    <r>
      <rPr>
        <sz val="11"/>
        <color theme="1"/>
        <rFont val="Calibri"/>
        <family val="2"/>
      </rPr>
      <t>!$C$4,5,K$2)="",EM_S_STMNOTE_ASSETDETAIL(</t>
    </r>
    <r>
      <rPr>
        <sz val="11"/>
        <color indexed="8"/>
        <rFont val="宋体"/>
        <family val="3"/>
        <charset val="134"/>
      </rPr>
      <t>目录</t>
    </r>
    <r>
      <rPr>
        <sz val="11"/>
        <color theme="1"/>
        <rFont val="Calibri"/>
        <family val="2"/>
      </rPr>
      <t>!$C$4,5,K$2)="--",EM_S_STMNOTE_ASSETDETAIL(</t>
    </r>
    <r>
      <rPr>
        <sz val="11"/>
        <color indexed="8"/>
        <rFont val="宋体"/>
        <family val="3"/>
        <charset val="134"/>
      </rPr>
      <t>目录</t>
    </r>
    <r>
      <rPr>
        <sz val="11"/>
        <color theme="1"/>
        <rFont val="Calibri"/>
        <family val="2"/>
      </rPr>
      <t>!$C$4,5,K$2)="NULL")=TRUE,0,EM_S_STMNOTE_ASSETDETAIL(</t>
    </r>
    <r>
      <rPr>
        <sz val="11"/>
        <color indexed="8"/>
        <rFont val="宋体"/>
        <family val="3"/>
        <charset val="134"/>
      </rPr>
      <t>目录</t>
    </r>
    <r>
      <rPr>
        <sz val="11"/>
        <color theme="1"/>
        <rFont val="Calibri"/>
        <family val="2"/>
      </rPr>
      <t>!$C$4,5,K$2)/unit)</t>
    </r>
  </si>
  <si>
    <r>
      <rPr>
        <sz val="11"/>
        <color theme="1"/>
        <rFont val="Calibri"/>
        <family val="2"/>
      </rPr>
      <t>IF(OR(EM_S_STMNOTE_ASSETDETAIL(</t>
    </r>
    <r>
      <rPr>
        <sz val="11"/>
        <color indexed="8"/>
        <rFont val="宋体"/>
        <family val="3"/>
        <charset val="134"/>
      </rPr>
      <t>目录</t>
    </r>
    <r>
      <rPr>
        <sz val="11"/>
        <color theme="1"/>
        <rFont val="Calibri"/>
        <family val="2"/>
      </rPr>
      <t>!$C$4,5,L$2)="",EM_S_STMNOTE_ASSETDETAIL(</t>
    </r>
    <r>
      <rPr>
        <sz val="11"/>
        <color indexed="8"/>
        <rFont val="宋体"/>
        <family val="3"/>
        <charset val="134"/>
      </rPr>
      <t>目录</t>
    </r>
    <r>
      <rPr>
        <sz val="11"/>
        <color theme="1"/>
        <rFont val="Calibri"/>
        <family val="2"/>
      </rPr>
      <t>!$C$4,5,L$2)="--",EM_S_STMNOTE_ASSETDETAIL(</t>
    </r>
    <r>
      <rPr>
        <sz val="11"/>
        <color indexed="8"/>
        <rFont val="宋体"/>
        <family val="3"/>
        <charset val="134"/>
      </rPr>
      <t>目录</t>
    </r>
    <r>
      <rPr>
        <sz val="11"/>
        <color theme="1"/>
        <rFont val="Calibri"/>
        <family val="2"/>
      </rPr>
      <t>!$C$4,5,L$2)="NULL")=TRUE,0,EM_S_STMNOTE_ASSETDETAIL(</t>
    </r>
    <r>
      <rPr>
        <sz val="11"/>
        <color indexed="8"/>
        <rFont val="宋体"/>
        <family val="3"/>
        <charset val="134"/>
      </rPr>
      <t>目录</t>
    </r>
    <r>
      <rPr>
        <sz val="11"/>
        <color theme="1"/>
        <rFont val="Calibri"/>
        <family val="2"/>
      </rPr>
      <t>!$C$4,5,L$2)/unit)</t>
    </r>
  </si>
  <si>
    <r>
      <rPr>
        <sz val="11"/>
        <color theme="1"/>
        <rFont val="Calibri"/>
        <family val="2"/>
      </rPr>
      <t>IF(OR(EM_S_STMNOTE_ASSETDETAIL(</t>
    </r>
    <r>
      <rPr>
        <sz val="11"/>
        <color indexed="8"/>
        <rFont val="宋体"/>
        <family val="3"/>
        <charset val="134"/>
      </rPr>
      <t>目录</t>
    </r>
    <r>
      <rPr>
        <sz val="11"/>
        <color theme="1"/>
        <rFont val="Calibri"/>
        <family val="2"/>
      </rPr>
      <t>!$C$4,5,M$2)="",EM_S_STMNOTE_ASSETDETAIL(</t>
    </r>
    <r>
      <rPr>
        <sz val="11"/>
        <color indexed="8"/>
        <rFont val="宋体"/>
        <family val="3"/>
        <charset val="134"/>
      </rPr>
      <t>目录</t>
    </r>
    <r>
      <rPr>
        <sz val="11"/>
        <color theme="1"/>
        <rFont val="Calibri"/>
        <family val="2"/>
      </rPr>
      <t>!$C$4,5,M$2)="--",EM_S_STMNOTE_ASSETDETAIL(</t>
    </r>
    <r>
      <rPr>
        <sz val="11"/>
        <color indexed="8"/>
        <rFont val="宋体"/>
        <family val="3"/>
        <charset val="134"/>
      </rPr>
      <t>目录</t>
    </r>
    <r>
      <rPr>
        <sz val="11"/>
        <color theme="1"/>
        <rFont val="Calibri"/>
        <family val="2"/>
      </rPr>
      <t>!$C$4,5,M$2)="NULL")=TRUE,0,EM_S_STMNOTE_ASSETDETAIL(</t>
    </r>
    <r>
      <rPr>
        <sz val="11"/>
        <color indexed="8"/>
        <rFont val="宋体"/>
        <family val="3"/>
        <charset val="134"/>
      </rPr>
      <t>目录</t>
    </r>
    <r>
      <rPr>
        <sz val="11"/>
        <color theme="1"/>
        <rFont val="Calibri"/>
        <family val="2"/>
      </rPr>
      <t>!$C$4,5,M$2)/unit)</t>
    </r>
  </si>
  <si>
    <r>
      <rPr>
        <sz val="11"/>
        <color theme="1"/>
        <rFont val="Calibri"/>
        <family val="2"/>
      </rPr>
      <t>IF(OR(EM_S_STMNOTE_ASSETDETAIL(</t>
    </r>
    <r>
      <rPr>
        <sz val="11"/>
        <color indexed="8"/>
        <rFont val="宋体"/>
        <family val="3"/>
        <charset val="134"/>
      </rPr>
      <t>目录</t>
    </r>
    <r>
      <rPr>
        <sz val="11"/>
        <color theme="1"/>
        <rFont val="Calibri"/>
        <family val="2"/>
      </rPr>
      <t>!$C$4,5,N$2)="",EM_S_STMNOTE_ASSETDETAIL(</t>
    </r>
    <r>
      <rPr>
        <sz val="11"/>
        <color indexed="8"/>
        <rFont val="宋体"/>
        <family val="3"/>
        <charset val="134"/>
      </rPr>
      <t>目录</t>
    </r>
    <r>
      <rPr>
        <sz val="11"/>
        <color theme="1"/>
        <rFont val="Calibri"/>
        <family val="2"/>
      </rPr>
      <t>!$C$4,5,N$2)="--",EM_S_STMNOTE_ASSETDETAIL(</t>
    </r>
    <r>
      <rPr>
        <sz val="11"/>
        <color indexed="8"/>
        <rFont val="宋体"/>
        <family val="3"/>
        <charset val="134"/>
      </rPr>
      <t>目录</t>
    </r>
    <r>
      <rPr>
        <sz val="11"/>
        <color theme="1"/>
        <rFont val="Calibri"/>
        <family val="2"/>
      </rPr>
      <t>!$C$4,5,N$2)="NULL")=TRUE,0,EM_S_STMNOTE_ASSETDETAIL(</t>
    </r>
    <r>
      <rPr>
        <sz val="11"/>
        <color indexed="8"/>
        <rFont val="宋体"/>
        <family val="3"/>
        <charset val="134"/>
      </rPr>
      <t>目录</t>
    </r>
    <r>
      <rPr>
        <sz val="11"/>
        <color theme="1"/>
        <rFont val="Calibri"/>
        <family val="2"/>
      </rPr>
      <t>!$C$4,5,N$2)/unit)</t>
    </r>
  </si>
  <si>
    <r>
      <rPr>
        <sz val="11"/>
        <color theme="1"/>
        <rFont val="Calibri"/>
        <family val="2"/>
      </rPr>
      <t>IF(OR(EM_S_STMNOTE_ASSETDETAIL(</t>
    </r>
    <r>
      <rPr>
        <sz val="11"/>
        <color indexed="8"/>
        <rFont val="宋体"/>
        <family val="3"/>
        <charset val="134"/>
      </rPr>
      <t>目录</t>
    </r>
    <r>
      <rPr>
        <sz val="11"/>
        <color theme="1"/>
        <rFont val="Calibri"/>
        <family val="2"/>
      </rPr>
      <t>!$C$4,5,O$2)="",EM_S_STMNOTE_ASSETDETAIL(</t>
    </r>
    <r>
      <rPr>
        <sz val="11"/>
        <color indexed="8"/>
        <rFont val="宋体"/>
        <family val="3"/>
        <charset val="134"/>
      </rPr>
      <t>目录</t>
    </r>
    <r>
      <rPr>
        <sz val="11"/>
        <color theme="1"/>
        <rFont val="Calibri"/>
        <family val="2"/>
      </rPr>
      <t>!$C$4,5,O$2)="--",EM_S_STMNOTE_ASSETDETAIL(</t>
    </r>
    <r>
      <rPr>
        <sz val="11"/>
        <color indexed="8"/>
        <rFont val="宋体"/>
        <family val="3"/>
        <charset val="134"/>
      </rPr>
      <t>目录</t>
    </r>
    <r>
      <rPr>
        <sz val="11"/>
        <color theme="1"/>
        <rFont val="Calibri"/>
        <family val="2"/>
      </rPr>
      <t>!$C$4,5,O$2)="NULL")=TRUE,0,EM_S_STMNOTE_ASSETDETAIL(</t>
    </r>
    <r>
      <rPr>
        <sz val="11"/>
        <color indexed="8"/>
        <rFont val="宋体"/>
        <family val="3"/>
        <charset val="134"/>
      </rPr>
      <t>目录</t>
    </r>
    <r>
      <rPr>
        <sz val="11"/>
        <color theme="1"/>
        <rFont val="Calibri"/>
        <family val="2"/>
      </rPr>
      <t>!$C$4,5,O$2)/unit)</t>
    </r>
  </si>
  <si>
    <r>
      <rPr>
        <sz val="11"/>
        <color theme="1"/>
        <rFont val="Calibri"/>
        <family val="2"/>
      </rPr>
      <t>IF(OR(EM_S_STMNOTE_ASSETDETAIL(</t>
    </r>
    <r>
      <rPr>
        <sz val="11"/>
        <color indexed="8"/>
        <rFont val="宋体"/>
        <family val="3"/>
        <charset val="134"/>
      </rPr>
      <t>目录</t>
    </r>
    <r>
      <rPr>
        <sz val="11"/>
        <color theme="1"/>
        <rFont val="Calibri"/>
        <family val="2"/>
      </rPr>
      <t>!$C$4,5,P$2)="",EM_S_STMNOTE_ASSETDETAIL(</t>
    </r>
    <r>
      <rPr>
        <sz val="11"/>
        <color indexed="8"/>
        <rFont val="宋体"/>
        <family val="3"/>
        <charset val="134"/>
      </rPr>
      <t>目录</t>
    </r>
    <r>
      <rPr>
        <sz val="11"/>
        <color theme="1"/>
        <rFont val="Calibri"/>
        <family val="2"/>
      </rPr>
      <t>!$C$4,5,P$2)="--",EM_S_STMNOTE_ASSETDETAIL(</t>
    </r>
    <r>
      <rPr>
        <sz val="11"/>
        <color indexed="8"/>
        <rFont val="宋体"/>
        <family val="3"/>
        <charset val="134"/>
      </rPr>
      <t>目录</t>
    </r>
    <r>
      <rPr>
        <sz val="11"/>
        <color theme="1"/>
        <rFont val="Calibri"/>
        <family val="2"/>
      </rPr>
      <t>!$C$4,5,P$2)="NULL")=TRUE,0,EM_S_STMNOTE_ASSETDETAIL(</t>
    </r>
    <r>
      <rPr>
        <sz val="11"/>
        <color indexed="8"/>
        <rFont val="宋体"/>
        <family val="3"/>
        <charset val="134"/>
      </rPr>
      <t>目录</t>
    </r>
    <r>
      <rPr>
        <sz val="11"/>
        <color theme="1"/>
        <rFont val="Calibri"/>
        <family val="2"/>
      </rPr>
      <t>!$C$4,5,P$2)/unit)</t>
    </r>
  </si>
  <si>
    <r>
      <rPr>
        <sz val="11"/>
        <color theme="1"/>
        <rFont val="Calibri"/>
        <family val="2"/>
      </rPr>
      <t>IF(OR(EM_S_STMNOTE_ASSETDETAIL(</t>
    </r>
    <r>
      <rPr>
        <sz val="11"/>
        <color indexed="8"/>
        <rFont val="宋体"/>
        <family val="3"/>
        <charset val="134"/>
      </rPr>
      <t>目录</t>
    </r>
    <r>
      <rPr>
        <sz val="11"/>
        <color theme="1"/>
        <rFont val="Calibri"/>
        <family val="2"/>
      </rPr>
      <t>!$C$4,5,Q$2)="",EM_S_STMNOTE_ASSETDETAIL(</t>
    </r>
    <r>
      <rPr>
        <sz val="11"/>
        <color indexed="8"/>
        <rFont val="宋体"/>
        <family val="3"/>
        <charset val="134"/>
      </rPr>
      <t>目录</t>
    </r>
    <r>
      <rPr>
        <sz val="11"/>
        <color theme="1"/>
        <rFont val="Calibri"/>
        <family val="2"/>
      </rPr>
      <t>!$C$4,5,Q$2)="--",EM_S_STMNOTE_ASSETDETAIL(</t>
    </r>
    <r>
      <rPr>
        <sz val="11"/>
        <color indexed="8"/>
        <rFont val="宋体"/>
        <family val="3"/>
        <charset val="134"/>
      </rPr>
      <t>目录</t>
    </r>
    <r>
      <rPr>
        <sz val="11"/>
        <color theme="1"/>
        <rFont val="Calibri"/>
        <family val="2"/>
      </rPr>
      <t>!$C$4,5,Q$2)="NULL")=TRUE,0,EM_S_STMNOTE_ASSETDETAIL(</t>
    </r>
    <r>
      <rPr>
        <sz val="11"/>
        <color indexed="8"/>
        <rFont val="宋体"/>
        <family val="3"/>
        <charset val="134"/>
      </rPr>
      <t>目录</t>
    </r>
    <r>
      <rPr>
        <sz val="11"/>
        <color theme="1"/>
        <rFont val="Calibri"/>
        <family val="2"/>
      </rPr>
      <t>!$C$4,5,Q$2)/unit)</t>
    </r>
  </si>
  <si>
    <r>
      <rPr>
        <sz val="11"/>
        <color theme="1"/>
        <rFont val="Calibri"/>
        <family val="2"/>
      </rPr>
      <t>IF(OR(EM_S_STMNOTE_ASSETDETAIL(</t>
    </r>
    <r>
      <rPr>
        <sz val="11"/>
        <color indexed="8"/>
        <rFont val="宋体"/>
        <family val="3"/>
        <charset val="134"/>
      </rPr>
      <t>目录</t>
    </r>
    <r>
      <rPr>
        <sz val="11"/>
        <color theme="1"/>
        <rFont val="Calibri"/>
        <family val="2"/>
      </rPr>
      <t>!$C$4,5,R$2)="",EM_S_STMNOTE_ASSETDETAIL(</t>
    </r>
    <r>
      <rPr>
        <sz val="11"/>
        <color indexed="8"/>
        <rFont val="宋体"/>
        <family val="3"/>
        <charset val="134"/>
      </rPr>
      <t>目录</t>
    </r>
    <r>
      <rPr>
        <sz val="11"/>
        <color theme="1"/>
        <rFont val="Calibri"/>
        <family val="2"/>
      </rPr>
      <t>!$C$4,5,R$2)="--",EM_S_STMNOTE_ASSETDETAIL(</t>
    </r>
    <r>
      <rPr>
        <sz val="11"/>
        <color indexed="8"/>
        <rFont val="宋体"/>
        <family val="3"/>
        <charset val="134"/>
      </rPr>
      <t>目录</t>
    </r>
    <r>
      <rPr>
        <sz val="11"/>
        <color theme="1"/>
        <rFont val="Calibri"/>
        <family val="2"/>
      </rPr>
      <t>!$C$4,5,R$2)="NULL")=TRUE,0,EM_S_STMNOTE_ASSETDETAIL(</t>
    </r>
    <r>
      <rPr>
        <sz val="11"/>
        <color indexed="8"/>
        <rFont val="宋体"/>
        <family val="3"/>
        <charset val="134"/>
      </rPr>
      <t>目录</t>
    </r>
    <r>
      <rPr>
        <sz val="11"/>
        <color theme="1"/>
        <rFont val="Calibri"/>
        <family val="2"/>
      </rPr>
      <t>!$C$4,5,R$2)/unit)</t>
    </r>
  </si>
  <si>
    <r>
      <rPr>
        <sz val="11"/>
        <color theme="1"/>
        <rFont val="Calibri"/>
        <family val="2"/>
      </rPr>
      <t>IF(OR(EM_S_STMNOTE_ASSETDETAIL(</t>
    </r>
    <r>
      <rPr>
        <sz val="11"/>
        <color indexed="8"/>
        <rFont val="宋体"/>
        <family val="3"/>
        <charset val="134"/>
      </rPr>
      <t>目录</t>
    </r>
    <r>
      <rPr>
        <sz val="11"/>
        <color theme="1"/>
        <rFont val="Calibri"/>
        <family val="2"/>
      </rPr>
      <t>!$C$4,5,S$2)="",EM_S_STMNOTE_ASSETDETAIL(</t>
    </r>
    <r>
      <rPr>
        <sz val="11"/>
        <color indexed="8"/>
        <rFont val="宋体"/>
        <family val="3"/>
        <charset val="134"/>
      </rPr>
      <t>目录</t>
    </r>
    <r>
      <rPr>
        <sz val="11"/>
        <color theme="1"/>
        <rFont val="Calibri"/>
        <family val="2"/>
      </rPr>
      <t>!$C$4,5,S$2)="--",EM_S_STMNOTE_ASSETDETAIL(</t>
    </r>
    <r>
      <rPr>
        <sz val="11"/>
        <color indexed="8"/>
        <rFont val="宋体"/>
        <family val="3"/>
        <charset val="134"/>
      </rPr>
      <t>目录</t>
    </r>
    <r>
      <rPr>
        <sz val="11"/>
        <color theme="1"/>
        <rFont val="Calibri"/>
        <family val="2"/>
      </rPr>
      <t>!$C$4,5,S$2)="NULL")=TRUE,0,EM_S_STMNOTE_ASSETDETAIL(</t>
    </r>
    <r>
      <rPr>
        <sz val="11"/>
        <color indexed="8"/>
        <rFont val="宋体"/>
        <family val="3"/>
        <charset val="134"/>
      </rPr>
      <t>目录</t>
    </r>
    <r>
      <rPr>
        <sz val="11"/>
        <color theme="1"/>
        <rFont val="Calibri"/>
        <family val="2"/>
      </rPr>
      <t>!$C$4,5,S$2)/unit)</t>
    </r>
  </si>
  <si>
    <r>
      <rPr>
        <sz val="11"/>
        <color theme="1"/>
        <rFont val="Calibri"/>
        <family val="2"/>
      </rPr>
      <t>IF(OR(EM_S_STMNOTE_ASSETDETAIL(</t>
    </r>
    <r>
      <rPr>
        <sz val="11"/>
        <color indexed="8"/>
        <rFont val="宋体"/>
        <family val="3"/>
        <charset val="134"/>
      </rPr>
      <t>目录</t>
    </r>
    <r>
      <rPr>
        <sz val="11"/>
        <color theme="1"/>
        <rFont val="Calibri"/>
        <family val="2"/>
      </rPr>
      <t>!$C$4,5,T$2)="",EM_S_STMNOTE_ASSETDETAIL(</t>
    </r>
    <r>
      <rPr>
        <sz val="11"/>
        <color indexed="8"/>
        <rFont val="宋体"/>
        <family val="3"/>
        <charset val="134"/>
      </rPr>
      <t>目录</t>
    </r>
    <r>
      <rPr>
        <sz val="11"/>
        <color theme="1"/>
        <rFont val="Calibri"/>
        <family val="2"/>
      </rPr>
      <t>!$C$4,5,T$2)="--",EM_S_STMNOTE_ASSETDETAIL(</t>
    </r>
    <r>
      <rPr>
        <sz val="11"/>
        <color indexed="8"/>
        <rFont val="宋体"/>
        <family val="3"/>
        <charset val="134"/>
      </rPr>
      <t>目录</t>
    </r>
    <r>
      <rPr>
        <sz val="11"/>
        <color theme="1"/>
        <rFont val="Calibri"/>
        <family val="2"/>
      </rPr>
      <t>!$C$4,5,T$2)="NULL")=TRUE,0,EM_S_STMNOTE_ASSETDETAIL(</t>
    </r>
    <r>
      <rPr>
        <sz val="11"/>
        <color indexed="8"/>
        <rFont val="宋体"/>
        <family val="3"/>
        <charset val="134"/>
      </rPr>
      <t>目录</t>
    </r>
    <r>
      <rPr>
        <sz val="11"/>
        <color theme="1"/>
        <rFont val="Calibri"/>
        <family val="2"/>
      </rPr>
      <t>!$C$4,5,T$2)/unit)</t>
    </r>
  </si>
  <si>
    <r>
      <rPr>
        <sz val="11"/>
        <color theme="1"/>
        <rFont val="Calibri"/>
        <family val="2"/>
      </rPr>
      <t>IF(OR(EM_S_STMNOTE_ASSETDETAIL(</t>
    </r>
    <r>
      <rPr>
        <sz val="11"/>
        <color indexed="8"/>
        <rFont val="宋体"/>
        <family val="3"/>
        <charset val="134"/>
      </rPr>
      <t>目录</t>
    </r>
    <r>
      <rPr>
        <sz val="11"/>
        <color theme="1"/>
        <rFont val="Calibri"/>
        <family val="2"/>
      </rPr>
      <t>!$C$4,5,U$2)="",EM_S_STMNOTE_ASSETDETAIL(</t>
    </r>
    <r>
      <rPr>
        <sz val="11"/>
        <color indexed="8"/>
        <rFont val="宋体"/>
        <family val="3"/>
        <charset val="134"/>
      </rPr>
      <t>目录</t>
    </r>
    <r>
      <rPr>
        <sz val="11"/>
        <color theme="1"/>
        <rFont val="Calibri"/>
        <family val="2"/>
      </rPr>
      <t>!$C$4,5,U$2)="--",EM_S_STMNOTE_ASSETDETAIL(</t>
    </r>
    <r>
      <rPr>
        <sz val="11"/>
        <color indexed="8"/>
        <rFont val="宋体"/>
        <family val="3"/>
        <charset val="134"/>
      </rPr>
      <t>目录</t>
    </r>
    <r>
      <rPr>
        <sz val="11"/>
        <color theme="1"/>
        <rFont val="Calibri"/>
        <family val="2"/>
      </rPr>
      <t>!$C$4,5,U$2)="NULL")=TRUE,0,EM_S_STMNOTE_ASSETDETAIL(</t>
    </r>
    <r>
      <rPr>
        <sz val="11"/>
        <color indexed="8"/>
        <rFont val="宋体"/>
        <family val="3"/>
        <charset val="134"/>
      </rPr>
      <t>目录</t>
    </r>
    <r>
      <rPr>
        <sz val="11"/>
        <color theme="1"/>
        <rFont val="Calibri"/>
        <family val="2"/>
      </rPr>
      <t>!$C$4,5,U$2)/unit)</t>
    </r>
  </si>
  <si>
    <r>
      <rPr>
        <sz val="11"/>
        <color theme="1"/>
        <rFont val="Calibri"/>
        <family val="2"/>
      </rPr>
      <t>IF(OR(EM_S_STMNOTE_ASSETDETAIL(</t>
    </r>
    <r>
      <rPr>
        <sz val="11"/>
        <color indexed="8"/>
        <rFont val="宋体"/>
        <family val="3"/>
        <charset val="134"/>
      </rPr>
      <t>目录</t>
    </r>
    <r>
      <rPr>
        <sz val="11"/>
        <color theme="1"/>
        <rFont val="Calibri"/>
        <family val="2"/>
      </rPr>
      <t>!$C$4,5,V$2)="",EM_S_STMNOTE_ASSETDETAIL(</t>
    </r>
    <r>
      <rPr>
        <sz val="11"/>
        <color indexed="8"/>
        <rFont val="宋体"/>
        <family val="3"/>
        <charset val="134"/>
      </rPr>
      <t>目录</t>
    </r>
    <r>
      <rPr>
        <sz val="11"/>
        <color theme="1"/>
        <rFont val="Calibri"/>
        <family val="2"/>
      </rPr>
      <t>!$C$4,5,V$2)="--",EM_S_STMNOTE_ASSETDETAIL(</t>
    </r>
    <r>
      <rPr>
        <sz val="11"/>
        <color indexed="8"/>
        <rFont val="宋体"/>
        <family val="3"/>
        <charset val="134"/>
      </rPr>
      <t>目录</t>
    </r>
    <r>
      <rPr>
        <sz val="11"/>
        <color theme="1"/>
        <rFont val="Calibri"/>
        <family val="2"/>
      </rPr>
      <t>!$C$4,5,V$2)="NULL")=TRUE,0,EM_S_STMNOTE_ASSETDETAIL(</t>
    </r>
    <r>
      <rPr>
        <sz val="11"/>
        <color indexed="8"/>
        <rFont val="宋体"/>
        <family val="3"/>
        <charset val="134"/>
      </rPr>
      <t>目录</t>
    </r>
    <r>
      <rPr>
        <sz val="11"/>
        <color theme="1"/>
        <rFont val="Calibri"/>
        <family val="2"/>
      </rPr>
      <t>!$C$4,5,V$2)/unit)</t>
    </r>
  </si>
  <si>
    <r>
      <rPr>
        <sz val="11"/>
        <color theme="1"/>
        <rFont val="Calibri"/>
        <family val="2"/>
      </rPr>
      <t>IF(OR(EM_S_STMNOTE_ASSETDETAIL(</t>
    </r>
    <r>
      <rPr>
        <sz val="11"/>
        <color indexed="8"/>
        <rFont val="宋体"/>
        <family val="3"/>
        <charset val="134"/>
      </rPr>
      <t>目录</t>
    </r>
    <r>
      <rPr>
        <sz val="11"/>
        <color theme="1"/>
        <rFont val="Calibri"/>
        <family val="2"/>
      </rPr>
      <t>!$C$4,5,W$2)="",EM_S_STMNOTE_ASSETDETAIL(</t>
    </r>
    <r>
      <rPr>
        <sz val="11"/>
        <color indexed="8"/>
        <rFont val="宋体"/>
        <family val="3"/>
        <charset val="134"/>
      </rPr>
      <t>目录</t>
    </r>
    <r>
      <rPr>
        <sz val="11"/>
        <color theme="1"/>
        <rFont val="Calibri"/>
        <family val="2"/>
      </rPr>
      <t>!$C$4,5,W$2)="--",EM_S_STMNOTE_ASSETDETAIL(</t>
    </r>
    <r>
      <rPr>
        <sz val="11"/>
        <color indexed="8"/>
        <rFont val="宋体"/>
        <family val="3"/>
        <charset val="134"/>
      </rPr>
      <t>目录</t>
    </r>
    <r>
      <rPr>
        <sz val="11"/>
        <color theme="1"/>
        <rFont val="Calibri"/>
        <family val="2"/>
      </rPr>
      <t>!$C$4,5,W$2)="NULL")=TRUE,0,EM_S_STMNOTE_ASSETDETAIL(</t>
    </r>
    <r>
      <rPr>
        <sz val="11"/>
        <color indexed="8"/>
        <rFont val="宋体"/>
        <family val="3"/>
        <charset val="134"/>
      </rPr>
      <t>目录</t>
    </r>
    <r>
      <rPr>
        <sz val="11"/>
        <color theme="1"/>
        <rFont val="Calibri"/>
        <family val="2"/>
      </rPr>
      <t>!$C$4,5,W$2)/unit)</t>
    </r>
  </si>
  <si>
    <r>
      <rPr>
        <sz val="11"/>
        <color theme="1"/>
        <rFont val="Calibri"/>
        <family val="2"/>
      </rPr>
      <t>IF(OR(EM_S_STMNOTE_ASSETDETAIL(</t>
    </r>
    <r>
      <rPr>
        <sz val="11"/>
        <color indexed="8"/>
        <rFont val="宋体"/>
        <family val="3"/>
        <charset val="134"/>
      </rPr>
      <t>目录</t>
    </r>
    <r>
      <rPr>
        <sz val="11"/>
        <color theme="1"/>
        <rFont val="Calibri"/>
        <family val="2"/>
      </rPr>
      <t>!$C$4,5,X$2)="",EM_S_STMNOTE_ASSETDETAIL(</t>
    </r>
    <r>
      <rPr>
        <sz val="11"/>
        <color indexed="8"/>
        <rFont val="宋体"/>
        <family val="3"/>
        <charset val="134"/>
      </rPr>
      <t>目录</t>
    </r>
    <r>
      <rPr>
        <sz val="11"/>
        <color theme="1"/>
        <rFont val="Calibri"/>
        <family val="2"/>
      </rPr>
      <t>!$C$4,5,X$2)="--",EM_S_STMNOTE_ASSETDETAIL(</t>
    </r>
    <r>
      <rPr>
        <sz val="11"/>
        <color indexed="8"/>
        <rFont val="宋体"/>
        <family val="3"/>
        <charset val="134"/>
      </rPr>
      <t>目录</t>
    </r>
    <r>
      <rPr>
        <sz val="11"/>
        <color theme="1"/>
        <rFont val="Calibri"/>
        <family val="2"/>
      </rPr>
      <t>!$C$4,5,X$2)="NULL")=TRUE,0,EM_S_STMNOTE_ASSETDETAIL(</t>
    </r>
    <r>
      <rPr>
        <sz val="11"/>
        <color indexed="8"/>
        <rFont val="宋体"/>
        <family val="3"/>
        <charset val="134"/>
      </rPr>
      <t>目录</t>
    </r>
    <r>
      <rPr>
        <sz val="11"/>
        <color theme="1"/>
        <rFont val="Calibri"/>
        <family val="2"/>
      </rPr>
      <t>!$C$4,5,X$2)/unit)</t>
    </r>
  </si>
  <si>
    <r>
      <rPr>
        <sz val="11"/>
        <color theme="1"/>
        <rFont val="Calibri"/>
        <family val="2"/>
      </rPr>
      <t>IF(OR(EM_S_STMNOTE_ASSETDETAIL(</t>
    </r>
    <r>
      <rPr>
        <sz val="11"/>
        <color indexed="8"/>
        <rFont val="宋体"/>
        <family val="3"/>
        <charset val="134"/>
      </rPr>
      <t>目录</t>
    </r>
    <r>
      <rPr>
        <sz val="11"/>
        <color theme="1"/>
        <rFont val="Calibri"/>
        <family val="2"/>
      </rPr>
      <t>!$C$4,5,Y$2)="",EM_S_STMNOTE_ASSETDETAIL(</t>
    </r>
    <r>
      <rPr>
        <sz val="11"/>
        <color indexed="8"/>
        <rFont val="宋体"/>
        <family val="3"/>
        <charset val="134"/>
      </rPr>
      <t>目录</t>
    </r>
    <r>
      <rPr>
        <sz val="11"/>
        <color theme="1"/>
        <rFont val="Calibri"/>
        <family val="2"/>
      </rPr>
      <t>!$C$4,5,Y$2)="--",EM_S_STMNOTE_ASSETDETAIL(</t>
    </r>
    <r>
      <rPr>
        <sz val="11"/>
        <color indexed="8"/>
        <rFont val="宋体"/>
        <family val="3"/>
        <charset val="134"/>
      </rPr>
      <t>目录</t>
    </r>
    <r>
      <rPr>
        <sz val="11"/>
        <color theme="1"/>
        <rFont val="Calibri"/>
        <family val="2"/>
      </rPr>
      <t>!$C$4,5,Y$2)="NULL")=TRUE,0,EM_S_STMNOTE_ASSETDETAIL(</t>
    </r>
    <r>
      <rPr>
        <sz val="11"/>
        <color indexed="8"/>
        <rFont val="宋体"/>
        <family val="3"/>
        <charset val="134"/>
      </rPr>
      <t>目录</t>
    </r>
    <r>
      <rPr>
        <sz val="11"/>
        <color theme="1"/>
        <rFont val="Calibri"/>
        <family val="2"/>
      </rPr>
      <t>!$C$4,5,Y$2)/unit)</t>
    </r>
  </si>
  <si>
    <r>
      <rPr>
        <sz val="11"/>
        <color theme="1"/>
        <rFont val="Calibri"/>
        <family val="2"/>
      </rPr>
      <t>IF(OR(EM_S_STMNOTE_ASSETDETAIL(</t>
    </r>
    <r>
      <rPr>
        <sz val="11"/>
        <color indexed="8"/>
        <rFont val="宋体"/>
        <family val="3"/>
        <charset val="134"/>
      </rPr>
      <t>目录</t>
    </r>
    <r>
      <rPr>
        <sz val="11"/>
        <color theme="1"/>
        <rFont val="Calibri"/>
        <family val="2"/>
      </rPr>
      <t>!$C$4,5,Z$2)="",EM_S_STMNOTE_ASSETDETAIL(</t>
    </r>
    <r>
      <rPr>
        <sz val="11"/>
        <color indexed="8"/>
        <rFont val="宋体"/>
        <family val="3"/>
        <charset val="134"/>
      </rPr>
      <t>目录</t>
    </r>
    <r>
      <rPr>
        <sz val="11"/>
        <color theme="1"/>
        <rFont val="Calibri"/>
        <family val="2"/>
      </rPr>
      <t>!$C$4,5,Z$2)="--",EM_S_STMNOTE_ASSETDETAIL(</t>
    </r>
    <r>
      <rPr>
        <sz val="11"/>
        <color indexed="8"/>
        <rFont val="宋体"/>
        <family val="3"/>
        <charset val="134"/>
      </rPr>
      <t>目录</t>
    </r>
    <r>
      <rPr>
        <sz val="11"/>
        <color theme="1"/>
        <rFont val="Calibri"/>
        <family val="2"/>
      </rPr>
      <t>!$C$4,5,Z$2)="NULL")=TRUE,0,EM_S_STMNOTE_ASSETDETAIL(</t>
    </r>
    <r>
      <rPr>
        <sz val="11"/>
        <color indexed="8"/>
        <rFont val="宋体"/>
        <family val="3"/>
        <charset val="134"/>
      </rPr>
      <t>目录</t>
    </r>
    <r>
      <rPr>
        <sz val="11"/>
        <color theme="1"/>
        <rFont val="Calibri"/>
        <family val="2"/>
      </rPr>
      <t>!$C$4,5,Z$2)/unit)</t>
    </r>
  </si>
  <si>
    <r>
      <rPr>
        <sz val="11"/>
        <color theme="1"/>
        <rFont val="Calibri"/>
        <family val="2"/>
      </rPr>
      <t>IF(OR(EM_S_STMNOTE_ASSETDETAIL(</t>
    </r>
    <r>
      <rPr>
        <sz val="11"/>
        <color indexed="8"/>
        <rFont val="宋体"/>
        <family val="3"/>
        <charset val="134"/>
      </rPr>
      <t>目录</t>
    </r>
    <r>
      <rPr>
        <sz val="11"/>
        <color theme="1"/>
        <rFont val="Calibri"/>
        <family val="2"/>
      </rPr>
      <t>!$C$4,5,AA$2)="",EM_S_STMNOTE_ASSETDETAIL(</t>
    </r>
    <r>
      <rPr>
        <sz val="11"/>
        <color indexed="8"/>
        <rFont val="宋体"/>
        <family val="3"/>
        <charset val="134"/>
      </rPr>
      <t>目录</t>
    </r>
    <r>
      <rPr>
        <sz val="11"/>
        <color theme="1"/>
        <rFont val="Calibri"/>
        <family val="2"/>
      </rPr>
      <t>!$C$4,5,AA$2)="--",EM_S_STMNOTE_ASSETDETAIL(</t>
    </r>
    <r>
      <rPr>
        <sz val="11"/>
        <color indexed="8"/>
        <rFont val="宋体"/>
        <family val="3"/>
        <charset val="134"/>
      </rPr>
      <t>目录</t>
    </r>
    <r>
      <rPr>
        <sz val="11"/>
        <color theme="1"/>
        <rFont val="Calibri"/>
        <family val="2"/>
      </rPr>
      <t>!$C$4,5,AA$2)="NULL")=TRUE,0,EM_S_STMNOTE_ASSETDETAIL(</t>
    </r>
    <r>
      <rPr>
        <sz val="11"/>
        <color indexed="8"/>
        <rFont val="宋体"/>
        <family val="3"/>
        <charset val="134"/>
      </rPr>
      <t>目录</t>
    </r>
    <r>
      <rPr>
        <sz val="11"/>
        <color theme="1"/>
        <rFont val="Calibri"/>
        <family val="2"/>
      </rPr>
      <t>!$C$4,5,AA$2)/unit)</t>
    </r>
  </si>
  <si>
    <t>C146</t>
  </si>
  <si>
    <t>IF(OR(EM_S_STMNOTE_ASSETDETAIL(目录!$C$4,6,C$2)="",EM_S_STMNOTE_ASSETDETAIL(目录!$C$4,6,C$2)="--",EM_S_STMNOTE_ASSETDETAIL(目录!$C$4,6,C$2)="NULL")=TRUE,0,EM_S_STMNOTE_ASSETDETAIL(目录!$C$4,6,C$2)/unit)</t>
  </si>
  <si>
    <t>IF(OR(EM_S_STMNOTE_ASSETDETAIL(目录!$C$4,6,D$2)="",EM_S_STMNOTE_ASSETDETAIL(目录!$C$4,6,D$2)="--",EM_S_STMNOTE_ASSETDETAIL(目录!$C$4,6,D$2)="NULL")=TRUE,0,EM_S_STMNOTE_ASSETDETAIL(目录!$C$4,6,D$2)/unit)</t>
  </si>
  <si>
    <t>IF(OR(EM_S_STMNOTE_ASSETDETAIL(目录!$C$4,6,E$2)="",EM_S_STMNOTE_ASSETDETAIL(目录!$C$4,6,E$2)="--",EM_S_STMNOTE_ASSETDETAIL(目录!$C$4,6,E$2)="NULL")=TRUE,0,EM_S_STMNOTE_ASSETDETAIL(目录!$C$4,6,E$2)/unit)</t>
  </si>
  <si>
    <t>IF(OR(EM_S_STMNOTE_ASSETDETAIL(目录!$C$4,6,F$2)="",EM_S_STMNOTE_ASSETDETAIL(目录!$C$4,6,F$2)="--",EM_S_STMNOTE_ASSETDETAIL(目录!$C$4,6,F$2)="NULL")=TRUE,0,EM_S_STMNOTE_ASSETDETAIL(目录!$C$4,6,F$2)/unit)</t>
  </si>
  <si>
    <t>IF(OR(EM_S_STMNOTE_ASSETDETAIL(目录!$C$4,6,G$2)="",EM_S_STMNOTE_ASSETDETAIL(目录!$C$4,6,G$2)="--",EM_S_STMNOTE_ASSETDETAIL(目录!$C$4,6,G$2)="NULL")=TRUE,0,EM_S_STMNOTE_ASSETDETAIL(目录!$C$4,6,G$2)/unit)</t>
  </si>
  <si>
    <t>IF(OR(EM_S_STMNOTE_ASSETDETAIL(目录!$C$4,6,H$2)="",EM_S_STMNOTE_ASSETDETAIL(目录!$C$4,6,H$2)="--",EM_S_STMNOTE_ASSETDETAIL(目录!$C$4,6,H$2)="NULL")=TRUE,0,EM_S_STMNOTE_ASSETDETAIL(目录!$C$4,6,H$2)/unit)</t>
  </si>
  <si>
    <t>IF(OR(EM_S_STMNOTE_ASSETDETAIL(目录!$C$4,6,I$2)="",EM_S_STMNOTE_ASSETDETAIL(目录!$C$4,6,I$2)="--",EM_S_STMNOTE_ASSETDETAIL(目录!$C$4,6,I$2)="NULL")=TRUE,0,EM_S_STMNOTE_ASSETDETAIL(目录!$C$4,6,I$2)/unit)</t>
  </si>
  <si>
    <t>IF(OR(EM_S_STMNOTE_ASSETDETAIL(目录!$C$4,6,J$2)="",EM_S_STMNOTE_ASSETDETAIL(目录!$C$4,6,J$2)="--",EM_S_STMNOTE_ASSETDETAIL(目录!$C$4,6,J$2)="NULL")=TRUE,0,EM_S_STMNOTE_ASSETDETAIL(目录!$C$4,6,J$2)/unit)</t>
  </si>
  <si>
    <t>IF(OR(EM_S_STMNOTE_ASSETDETAIL(目录!$C$4,6,K$2)="",EM_S_STMNOTE_ASSETDETAIL(目录!$C$4,6,K$2)="--",EM_S_STMNOTE_ASSETDETAIL(目录!$C$4,6,K$2)="NULL")=TRUE,0,EM_S_STMNOTE_ASSETDETAIL(目录!$C$4,6,K$2)/unit)</t>
  </si>
  <si>
    <t>IF(OR(EM_S_STMNOTE_ASSETDETAIL(目录!$C$4,6,L$2)="",EM_S_STMNOTE_ASSETDETAIL(目录!$C$4,6,L$2)="--",EM_S_STMNOTE_ASSETDETAIL(目录!$C$4,6,L$2)="NULL")=TRUE,0,EM_S_STMNOTE_ASSETDETAIL(目录!$C$4,6,L$2)/unit)</t>
  </si>
  <si>
    <t>IF(OR(EM_S_STMNOTE_ASSETDETAIL(目录!$C$4,6,M$2)="",EM_S_STMNOTE_ASSETDETAIL(目录!$C$4,6,M$2)="--",EM_S_STMNOTE_ASSETDETAIL(目录!$C$4,6,M$2)="NULL")=TRUE,0,EM_S_STMNOTE_ASSETDETAIL(目录!$C$4,6,M$2)/unit)</t>
  </si>
  <si>
    <t>IF(OR(EM_S_STMNOTE_ASSETDETAIL(目录!$C$4,6,N$2)="",EM_S_STMNOTE_ASSETDETAIL(目录!$C$4,6,N$2)="--",EM_S_STMNOTE_ASSETDETAIL(目录!$C$4,6,N$2)="NULL")=TRUE,0,EM_S_STMNOTE_ASSETDETAIL(目录!$C$4,6,N$2)/unit)</t>
  </si>
  <si>
    <t>IF(OR(EM_S_STMNOTE_ASSETDETAIL(目录!$C$4,6,O$2)="",EM_S_STMNOTE_ASSETDETAIL(目录!$C$4,6,O$2)="--",EM_S_STMNOTE_ASSETDETAIL(目录!$C$4,6,O$2)="NULL")=TRUE,0,EM_S_STMNOTE_ASSETDETAIL(目录!$C$4,6,O$2)/unit)</t>
  </si>
  <si>
    <t>IF(OR(EM_S_STMNOTE_ASSETDETAIL(目录!$C$4,6,P$2)="",EM_S_STMNOTE_ASSETDETAIL(目录!$C$4,6,P$2)="--",EM_S_STMNOTE_ASSETDETAIL(目录!$C$4,6,P$2)="NULL")=TRUE,0,EM_S_STMNOTE_ASSETDETAIL(目录!$C$4,6,P$2)/unit)</t>
  </si>
  <si>
    <t>IF(OR(EM_S_STMNOTE_ASSETDETAIL(目录!$C$4,6,Q$2)="",EM_S_STMNOTE_ASSETDETAIL(目录!$C$4,6,Q$2)="--",EM_S_STMNOTE_ASSETDETAIL(目录!$C$4,6,Q$2)="NULL")=TRUE,0,EM_S_STMNOTE_ASSETDETAIL(目录!$C$4,6,Q$2)/unit)</t>
  </si>
  <si>
    <t>IF(OR(EM_S_STMNOTE_ASSETDETAIL(目录!$C$4,6,R$2)="",EM_S_STMNOTE_ASSETDETAIL(目录!$C$4,6,R$2)="--",EM_S_STMNOTE_ASSETDETAIL(目录!$C$4,6,R$2)="NULL")=TRUE,0,EM_S_STMNOTE_ASSETDETAIL(目录!$C$4,6,R$2)/unit)</t>
  </si>
  <si>
    <t>IF(OR(EM_S_STMNOTE_ASSETDETAIL(目录!$C$4,6,S$2)="",EM_S_STMNOTE_ASSETDETAIL(目录!$C$4,6,S$2)="--",EM_S_STMNOTE_ASSETDETAIL(目录!$C$4,6,S$2)="NULL")=TRUE,0,EM_S_STMNOTE_ASSETDETAIL(目录!$C$4,6,S$2)/unit)</t>
  </si>
  <si>
    <t>IF(OR(EM_S_STMNOTE_ASSETDETAIL(目录!$C$4,6,T$2)="",EM_S_STMNOTE_ASSETDETAIL(目录!$C$4,6,T$2)="--",EM_S_STMNOTE_ASSETDETAIL(目录!$C$4,6,T$2)="NULL")=TRUE,0,EM_S_STMNOTE_ASSETDETAIL(目录!$C$4,6,T$2)/unit)</t>
  </si>
  <si>
    <t>IF(OR(EM_S_STMNOTE_ASSETDETAIL(目录!$C$4,6,U$2)="",EM_S_STMNOTE_ASSETDETAIL(目录!$C$4,6,U$2)="--",EM_S_STMNOTE_ASSETDETAIL(目录!$C$4,6,U$2)="NULL")=TRUE,0,EM_S_STMNOTE_ASSETDETAIL(目录!$C$4,6,U$2)/unit)</t>
  </si>
  <si>
    <t>IF(OR(EM_S_STMNOTE_ASSETDETAIL(目录!$C$4,6,V$2)="",EM_S_STMNOTE_ASSETDETAIL(目录!$C$4,6,V$2)="--",EM_S_STMNOTE_ASSETDETAIL(目录!$C$4,6,V$2)="NULL")=TRUE,0,EM_S_STMNOTE_ASSETDETAIL(目录!$C$4,6,V$2)/unit)</t>
  </si>
  <si>
    <t>IF(OR(EM_S_STMNOTE_ASSETDETAIL(目录!$C$4,6,W$2)="",EM_S_STMNOTE_ASSETDETAIL(目录!$C$4,6,W$2)="--",EM_S_STMNOTE_ASSETDETAIL(目录!$C$4,6,W$2)="NULL")=TRUE,0,EM_S_STMNOTE_ASSETDETAIL(目录!$C$4,6,W$2)/unit)</t>
  </si>
  <si>
    <t>IF(OR(EM_S_STMNOTE_ASSETDETAIL(目录!$C$4,6,X$2)="",EM_S_STMNOTE_ASSETDETAIL(目录!$C$4,6,X$2)="--",EM_S_STMNOTE_ASSETDETAIL(目录!$C$4,6,X$2)="NULL")=TRUE,0,EM_S_STMNOTE_ASSETDETAIL(目录!$C$4,6,X$2)/unit)</t>
  </si>
  <si>
    <t>IF(OR(EM_S_STMNOTE_ASSETDETAIL(目录!$C$4,6,Y$2)="",EM_S_STMNOTE_ASSETDETAIL(目录!$C$4,6,Y$2)="--",EM_S_STMNOTE_ASSETDETAIL(目录!$C$4,6,Y$2)="NULL")=TRUE,0,EM_S_STMNOTE_ASSETDETAIL(目录!$C$4,6,Y$2)/unit)</t>
  </si>
  <si>
    <t>IF(OR(EM_S_STMNOTE_ASSETDETAIL(目录!$C$4,6,Z$2)="",EM_S_STMNOTE_ASSETDETAIL(目录!$C$4,6,Z$2)="--",EM_S_STMNOTE_ASSETDETAIL(目录!$C$4,6,Z$2)="NULL")=TRUE,0,EM_S_STMNOTE_ASSETDETAIL(目录!$C$4,6,Z$2)/unit)</t>
  </si>
  <si>
    <t>IF(OR(EM_S_STMNOTE_ASSETDETAIL(目录!$C$4,6,AA$2)="",EM_S_STMNOTE_ASSETDETAIL(目录!$C$4,6,AA$2)="--",EM_S_STMNOTE_ASSETDETAIL(目录!$C$4,6,AA$2)="NULL")=TRUE,0,EM_S_STMNOTE_ASSETDETAIL(目录!$C$4,6,AA$2)/unit)</t>
  </si>
  <si>
    <t>C148</t>
  </si>
  <si>
    <r>
      <rPr>
        <sz val="11"/>
        <color theme="1"/>
        <rFont val="Calibri"/>
        <family val="2"/>
      </rPr>
      <t>IF(OR(EM_S_STMNOTE_FINEXP(</t>
    </r>
    <r>
      <rPr>
        <sz val="11"/>
        <color indexed="8"/>
        <rFont val="宋体"/>
        <family val="3"/>
        <charset val="134"/>
      </rPr>
      <t>目录</t>
    </r>
    <r>
      <rPr>
        <sz val="11"/>
        <color theme="1"/>
        <rFont val="Calibri"/>
        <family val="2"/>
      </rPr>
      <t>!$C$4,1,C$2)="",EM_S_STMNOTE_FINEXP(</t>
    </r>
    <r>
      <rPr>
        <sz val="11"/>
        <color indexed="8"/>
        <rFont val="宋体"/>
        <family val="3"/>
        <charset val="134"/>
      </rPr>
      <t>目录</t>
    </r>
    <r>
      <rPr>
        <sz val="11"/>
        <color theme="1"/>
        <rFont val="Calibri"/>
        <family val="2"/>
      </rPr>
      <t>!$C$4,1,C$2)="--",EM_S_STMNOTE_FINEXP(</t>
    </r>
    <r>
      <rPr>
        <sz val="11"/>
        <color indexed="8"/>
        <rFont val="宋体"/>
        <family val="3"/>
        <charset val="134"/>
      </rPr>
      <t>目录</t>
    </r>
    <r>
      <rPr>
        <sz val="11"/>
        <color theme="1"/>
        <rFont val="Calibri"/>
        <family val="2"/>
      </rPr>
      <t>!$C$4,1,C$2)="NULL"),0,EM_S_STMNOTE_FINEXP(</t>
    </r>
    <r>
      <rPr>
        <sz val="11"/>
        <color indexed="8"/>
        <rFont val="宋体"/>
        <family val="3"/>
        <charset val="134"/>
      </rPr>
      <t>目录</t>
    </r>
    <r>
      <rPr>
        <sz val="11"/>
        <color theme="1"/>
        <rFont val="Calibri"/>
        <family val="2"/>
      </rPr>
      <t>!$C$4,1,C$2)/unit)</t>
    </r>
  </si>
  <si>
    <t>IF(OR(EM_S_STMNOTE_FINEXP(目录!$C$4,1,D$2)="",EM_S_STMNOTE_FINEXP(目录!$C$4,1,D$2)="--",EM_S_STMNOTE_FINEXP(目录!$C$4,1,D$2)="NULL"),0,EM_S_STMNOTE_FINEXP(目录!$C$4,1,D$2)/unit)</t>
  </si>
  <si>
    <t>IF(OR(EM_S_STMNOTE_FINEXP(目录!$C$4,1,E$2)="",EM_S_STMNOTE_FINEXP(目录!$C$4,1,E$2)="--",EM_S_STMNOTE_FINEXP(目录!$C$4,1,E$2)="NULL"),0,EM_S_STMNOTE_FINEXP(目录!$C$4,1,E$2)/unit)</t>
  </si>
  <si>
    <t>IF(OR(EM_S_STMNOTE_FINEXP(目录!$C$4,1,F$2)="",EM_S_STMNOTE_FINEXP(目录!$C$4,1,F$2)="--",EM_S_STMNOTE_FINEXP(目录!$C$4,1,F$2)="NULL"),0,EM_S_STMNOTE_FINEXP(目录!$C$4,1,F$2)/unit)</t>
  </si>
  <si>
    <t>IF(OR(EM_S_STMNOTE_FINEXP(目录!$C$4,1,G$2)="",EM_S_STMNOTE_FINEXP(目录!$C$4,1,G$2)="--",EM_S_STMNOTE_FINEXP(目录!$C$4,1,G$2)="NULL"),0,EM_S_STMNOTE_FINEXP(目录!$C$4,1,G$2)/unit)</t>
  </si>
  <si>
    <t>IF(OR(EM_S_STMNOTE_FINEXP(目录!$C$4,1,H$2)="",EM_S_STMNOTE_FINEXP(目录!$C$4,1,H$2)="--",EM_S_STMNOTE_FINEXP(目录!$C$4,1,H$2)="NULL"),0,EM_S_STMNOTE_FINEXP(目录!$C$4,1,H$2)/unit)</t>
  </si>
  <si>
    <t>IF(OR(EM_S_STMNOTE_FINEXP(目录!$C$4,1,I$2)="",EM_S_STMNOTE_FINEXP(目录!$C$4,1,I$2)="--",EM_S_STMNOTE_FINEXP(目录!$C$4,1,I$2)="NULL"),0,EM_S_STMNOTE_FINEXP(目录!$C$4,1,I$2)/unit)</t>
  </si>
  <si>
    <t>IF(OR(EM_S_STMNOTE_FINEXP(目录!$C$4,1,J$2)="",EM_S_STMNOTE_FINEXP(目录!$C$4,1,J$2)="--",EM_S_STMNOTE_FINEXP(目录!$C$4,1,J$2)="NULL"),0,EM_S_STMNOTE_FINEXP(目录!$C$4,1,J$2)/unit)</t>
  </si>
  <si>
    <t>IF(OR(EM_S_STMNOTE_FINEXP(目录!$C$4,1,K$2)="",EM_S_STMNOTE_FINEXP(目录!$C$4,1,K$2)="--",EM_S_STMNOTE_FINEXP(目录!$C$4,1,K$2)="NULL"),0,EM_S_STMNOTE_FINEXP(目录!$C$4,1,K$2)/unit)</t>
  </si>
  <si>
    <t>IF(OR(EM_S_STMNOTE_FINEXP(目录!$C$4,1,L$2)="",EM_S_STMNOTE_FINEXP(目录!$C$4,1,L$2)="--",EM_S_STMNOTE_FINEXP(目录!$C$4,1,L$2)="NULL"),0,EM_S_STMNOTE_FINEXP(目录!$C$4,1,L$2)/unit)</t>
  </si>
  <si>
    <t>IF(OR(EM_S_STMNOTE_FINEXP(目录!$C$4,1,M$2)="",EM_S_STMNOTE_FINEXP(目录!$C$4,1,M$2)="--",EM_S_STMNOTE_FINEXP(目录!$C$4,1,M$2)="NULL"),0,EM_S_STMNOTE_FINEXP(目录!$C$4,1,M$2)/unit)</t>
  </si>
  <si>
    <t>IF(OR(EM_S_STMNOTE_FINEXP(目录!$C$4,1,N$2)="",EM_S_STMNOTE_FINEXP(目录!$C$4,1,N$2)="--",EM_S_STMNOTE_FINEXP(目录!$C$4,1,N$2)="NULL"),0,EM_S_STMNOTE_FINEXP(目录!$C$4,1,N$2)/unit)</t>
  </si>
  <si>
    <t>IF(OR(EM_S_STMNOTE_FINEXP(目录!$C$4,1,O$2)="",EM_S_STMNOTE_FINEXP(目录!$C$4,1,O$2)="--",EM_S_STMNOTE_FINEXP(目录!$C$4,1,O$2)="NULL"),0,EM_S_STMNOTE_FINEXP(目录!$C$4,1,O$2)/unit)</t>
  </si>
  <si>
    <t>IF(OR(EM_S_STMNOTE_FINEXP(目录!$C$4,1,P$2)="",EM_S_STMNOTE_FINEXP(目录!$C$4,1,P$2)="--",EM_S_STMNOTE_FINEXP(目录!$C$4,1,P$2)="NULL"),0,EM_S_STMNOTE_FINEXP(目录!$C$4,1,P$2)/unit)</t>
  </si>
  <si>
    <t>IF(OR(EM_S_STMNOTE_FINEXP(目录!$C$4,1,Q$2)="",EM_S_STMNOTE_FINEXP(目录!$C$4,1,Q$2)="--",EM_S_STMNOTE_FINEXP(目录!$C$4,1,Q$2)="NULL"),0,EM_S_STMNOTE_FINEXP(目录!$C$4,1,Q$2)/unit)</t>
  </si>
  <si>
    <t>IF(OR(EM_S_STMNOTE_FINEXP(目录!$C$4,1,R$2)="",EM_S_STMNOTE_FINEXP(目录!$C$4,1,R$2)="--",EM_S_STMNOTE_FINEXP(目录!$C$4,1,R$2)="NULL"),0,EM_S_STMNOTE_FINEXP(目录!$C$4,1,R$2)/unit)</t>
  </si>
  <si>
    <t>IF(OR(EM_S_STMNOTE_FINEXP(目录!$C$4,1,S$2)="",EM_S_STMNOTE_FINEXP(目录!$C$4,1,S$2)="--",EM_S_STMNOTE_FINEXP(目录!$C$4,1,S$2)="NULL"),0,EM_S_STMNOTE_FINEXP(目录!$C$4,1,S$2)/unit)</t>
  </si>
  <si>
    <t>IF(OR(EM_S_STMNOTE_FINEXP(目录!$C$4,1,T$2)="",EM_S_STMNOTE_FINEXP(目录!$C$4,1,T$2)="--",EM_S_STMNOTE_FINEXP(目录!$C$4,1,T$2)="NULL"),0,EM_S_STMNOTE_FINEXP(目录!$C$4,1,T$2)/unit)</t>
  </si>
  <si>
    <t>IF(OR(EM_S_STMNOTE_FINEXP(目录!$C$4,1,U$2)="",EM_S_STMNOTE_FINEXP(目录!$C$4,1,U$2)="--",EM_S_STMNOTE_FINEXP(目录!$C$4,1,U$2)="NULL"),0,EM_S_STMNOTE_FINEXP(目录!$C$4,1,U$2)/unit)</t>
  </si>
  <si>
    <t>IF(OR(EM_S_STMNOTE_FINEXP(目录!$C$4,1,V$2)="",EM_S_STMNOTE_FINEXP(目录!$C$4,1,V$2)="--",EM_S_STMNOTE_FINEXP(目录!$C$4,1,V$2)="NULL"),0,EM_S_STMNOTE_FINEXP(目录!$C$4,1,V$2)/unit)</t>
  </si>
  <si>
    <t>IF(OR(EM_S_STMNOTE_FINEXP(目录!$C$4,1,W$2)="",EM_S_STMNOTE_FINEXP(目录!$C$4,1,W$2)="--",EM_S_STMNOTE_FINEXP(目录!$C$4,1,W$2)="NULL"),0,EM_S_STMNOTE_FINEXP(目录!$C$4,1,W$2)/unit)</t>
  </si>
  <si>
    <t>IF(OR(EM_S_STMNOTE_FINEXP(目录!$C$4,1,X$2)="",EM_S_STMNOTE_FINEXP(目录!$C$4,1,X$2)="--",EM_S_STMNOTE_FINEXP(目录!$C$4,1,X$2)="NULL"),0,EM_S_STMNOTE_FINEXP(目录!$C$4,1,X$2)/unit)</t>
  </si>
  <si>
    <t>IF(OR(EM_S_STMNOTE_FINEXP(目录!$C$4,1,Y$2)="",EM_S_STMNOTE_FINEXP(目录!$C$4,1,Y$2)="--",EM_S_STMNOTE_FINEXP(目录!$C$4,1,Y$2)="NULL"),0,EM_S_STMNOTE_FINEXP(目录!$C$4,1,Y$2)/unit)</t>
  </si>
  <si>
    <t>IF(OR(EM_S_STMNOTE_FINEXP(目录!$C$4,1,Z$2)="",EM_S_STMNOTE_FINEXP(目录!$C$4,1,Z$2)="--",EM_S_STMNOTE_FINEXP(目录!$C$4,1,Z$2)="NULL"),0,EM_S_STMNOTE_FINEXP(目录!$C$4,1,Z$2)/unit)</t>
  </si>
  <si>
    <t>IF(OR(EM_S_STMNOTE_FINEXP(目录!$C$4,1,AA$2)="",EM_S_STMNOTE_FINEXP(目录!$C$4,1,AA$2)="--",EM_S_STMNOTE_FINEXP(目录!$C$4,1,AA$2)="NULL"),0,EM_S_STMNOTE_FINEXP(目录!$C$4,1,AA$2)/unit)</t>
  </si>
  <si>
    <t>C149</t>
  </si>
  <si>
    <t>IF(OR(EM_S_STMNOTE_FINEXP(目录!$C$4,2,C$2)="",EM_S_STMNOTE_FINEXP(目录!$C$4,2,C$2)="--",EM_S_STMNOTE_FINEXP(目录!$C$4,2,C$2)="NULL")=TRUE,0,EM_S_STMNOTE_FINEXP(目录!$C$4,2,C$2)/unit)</t>
  </si>
  <si>
    <t>IF(OR(EM_S_STMNOTE_FINEXP(目录!$C$4,2,D$2)="",EM_S_STMNOTE_FINEXP(目录!$C$4,2,D$2)="--",EM_S_STMNOTE_FINEXP(目录!$C$4,2,D$2)="NULL")=TRUE,0,EM_S_STMNOTE_FINEXP(目录!$C$4,2,D$2)/unit)</t>
  </si>
  <si>
    <t>IF(OR(EM_S_STMNOTE_FINEXP(目录!$C$4,2,E$2)="",EM_S_STMNOTE_FINEXP(目录!$C$4,2,E$2)="--",EM_S_STMNOTE_FINEXP(目录!$C$4,2,E$2)="NULL")=TRUE,0,EM_S_STMNOTE_FINEXP(目录!$C$4,2,E$2)/unit)</t>
  </si>
  <si>
    <t>IF(OR(EM_S_STMNOTE_FINEXP(目录!$C$4,2,F$2)="",EM_S_STMNOTE_FINEXP(目录!$C$4,2,F$2)="--",EM_S_STMNOTE_FINEXP(目录!$C$4,2,F$2)="NULL")=TRUE,0,EM_S_STMNOTE_FINEXP(目录!$C$4,2,F$2)/unit)</t>
  </si>
  <si>
    <t>IF(OR(EM_S_STMNOTE_FINEXP(目录!$C$4,2,G$2)="",EM_S_STMNOTE_FINEXP(目录!$C$4,2,G$2)="--",EM_S_STMNOTE_FINEXP(目录!$C$4,2,G$2)="NULL")=TRUE,0,EM_S_STMNOTE_FINEXP(目录!$C$4,2,G$2)/unit)</t>
  </si>
  <si>
    <t>IF(OR(EM_S_STMNOTE_FINEXP(目录!$C$4,2,H$2)="",EM_S_STMNOTE_FINEXP(目录!$C$4,2,H$2)="--",EM_S_STMNOTE_FINEXP(目录!$C$4,2,H$2)="NULL")=TRUE,0,EM_S_STMNOTE_FINEXP(目录!$C$4,2,H$2)/unit)</t>
  </si>
  <si>
    <t>IF(OR(EM_S_STMNOTE_FINEXP(目录!$C$4,2,I$2)="",EM_S_STMNOTE_FINEXP(目录!$C$4,2,I$2)="--",EM_S_STMNOTE_FINEXP(目录!$C$4,2,I$2)="NULL")=TRUE,0,EM_S_STMNOTE_FINEXP(目录!$C$4,2,I$2)/unit)</t>
  </si>
  <si>
    <t>IF(OR(EM_S_STMNOTE_FINEXP(目录!$C$4,2,J$2)="",EM_S_STMNOTE_FINEXP(目录!$C$4,2,J$2)="--",EM_S_STMNOTE_FINEXP(目录!$C$4,2,J$2)="NULL")=TRUE,0,EM_S_STMNOTE_FINEXP(目录!$C$4,2,J$2)/unit)</t>
  </si>
  <si>
    <t>IF(OR(EM_S_STMNOTE_FINEXP(目录!$C$4,2,K$2)="",EM_S_STMNOTE_FINEXP(目录!$C$4,2,K$2)="--",EM_S_STMNOTE_FINEXP(目录!$C$4,2,K$2)="NULL")=TRUE,0,EM_S_STMNOTE_FINEXP(目录!$C$4,2,K$2)/unit)</t>
  </si>
  <si>
    <t>IF(OR(EM_S_STMNOTE_FINEXP(目录!$C$4,2,L$2)="",EM_S_STMNOTE_FINEXP(目录!$C$4,2,L$2)="--",EM_S_STMNOTE_FINEXP(目录!$C$4,2,L$2)="NULL")=TRUE,0,EM_S_STMNOTE_FINEXP(目录!$C$4,2,L$2)/unit)</t>
  </si>
  <si>
    <t>IF(OR(EM_S_STMNOTE_FINEXP(目录!$C$4,2,M$2)="",EM_S_STMNOTE_FINEXP(目录!$C$4,2,M$2)="--",EM_S_STMNOTE_FINEXP(目录!$C$4,2,M$2)="NULL")=TRUE,0,EM_S_STMNOTE_FINEXP(目录!$C$4,2,M$2)/unit)</t>
  </si>
  <si>
    <t>IF(OR(EM_S_STMNOTE_FINEXP(目录!$C$4,2,N$2)="",EM_S_STMNOTE_FINEXP(目录!$C$4,2,N$2)="--",EM_S_STMNOTE_FINEXP(目录!$C$4,2,N$2)="NULL")=TRUE,0,EM_S_STMNOTE_FINEXP(目录!$C$4,2,N$2)/unit)</t>
  </si>
  <si>
    <t>IF(OR(EM_S_STMNOTE_FINEXP(目录!$C$4,2,O$2)="",EM_S_STMNOTE_FINEXP(目录!$C$4,2,O$2)="--",EM_S_STMNOTE_FINEXP(目录!$C$4,2,O$2)="NULL")=TRUE,0,EM_S_STMNOTE_FINEXP(目录!$C$4,2,O$2)/unit)</t>
  </si>
  <si>
    <t>IF(OR(EM_S_STMNOTE_FINEXP(目录!$C$4,2,P$2)="",EM_S_STMNOTE_FINEXP(目录!$C$4,2,P$2)="--",EM_S_STMNOTE_FINEXP(目录!$C$4,2,P$2)="NULL")=TRUE,0,EM_S_STMNOTE_FINEXP(目录!$C$4,2,P$2)/unit)</t>
  </si>
  <si>
    <t>IF(OR(EM_S_STMNOTE_FINEXP(目录!$C$4,2,Q$2)="",EM_S_STMNOTE_FINEXP(目录!$C$4,2,Q$2)="--",EM_S_STMNOTE_FINEXP(目录!$C$4,2,Q$2)="NULL")=TRUE,0,EM_S_STMNOTE_FINEXP(目录!$C$4,2,Q$2)/unit)</t>
  </si>
  <si>
    <t>IF(OR(EM_S_STMNOTE_FINEXP(目录!$C$4,2,R$2)="",EM_S_STMNOTE_FINEXP(目录!$C$4,2,R$2)="--",EM_S_STMNOTE_FINEXP(目录!$C$4,2,R$2)="NULL")=TRUE,0,EM_S_STMNOTE_FINEXP(目录!$C$4,2,R$2)/unit)</t>
  </si>
  <si>
    <t>IF(OR(EM_S_STMNOTE_FINEXP(目录!$C$4,2,S$2)="",EM_S_STMNOTE_FINEXP(目录!$C$4,2,S$2)="--",EM_S_STMNOTE_FINEXP(目录!$C$4,2,S$2)="NULL")=TRUE,0,EM_S_STMNOTE_FINEXP(目录!$C$4,2,S$2)/unit)</t>
  </si>
  <si>
    <t>IF(OR(EM_S_STMNOTE_FINEXP(目录!$C$4,2,T$2)="",EM_S_STMNOTE_FINEXP(目录!$C$4,2,T$2)="--",EM_S_STMNOTE_FINEXP(目录!$C$4,2,T$2)="NULL")=TRUE,0,EM_S_STMNOTE_FINEXP(目录!$C$4,2,T$2)/unit)</t>
  </si>
  <si>
    <t>IF(OR(EM_S_STMNOTE_FINEXP(目录!$C$4,2,U$2)="",EM_S_STMNOTE_FINEXP(目录!$C$4,2,U$2)="--",EM_S_STMNOTE_FINEXP(目录!$C$4,2,U$2)="NULL")=TRUE,0,EM_S_STMNOTE_FINEXP(目录!$C$4,2,U$2)/unit)</t>
  </si>
  <si>
    <t>IF(OR(EM_S_STMNOTE_FINEXP(目录!$C$4,2,V$2)="",EM_S_STMNOTE_FINEXP(目录!$C$4,2,V$2)="--",EM_S_STMNOTE_FINEXP(目录!$C$4,2,V$2)="NULL")=TRUE,0,EM_S_STMNOTE_FINEXP(目录!$C$4,2,V$2)/unit)</t>
  </si>
  <si>
    <t>IF(OR(EM_S_STMNOTE_FINEXP(目录!$C$4,2,W$2)="",EM_S_STMNOTE_FINEXP(目录!$C$4,2,W$2)="--",EM_S_STMNOTE_FINEXP(目录!$C$4,2,W$2)="NULL")=TRUE,0,EM_S_STMNOTE_FINEXP(目录!$C$4,2,W$2)/unit)</t>
  </si>
  <si>
    <t>IF(OR(EM_S_STMNOTE_FINEXP(目录!$C$4,2,X$2)="",EM_S_STMNOTE_FINEXP(目录!$C$4,2,X$2)="--",EM_S_STMNOTE_FINEXP(目录!$C$4,2,X$2)="NULL")=TRUE,0,EM_S_STMNOTE_FINEXP(目录!$C$4,2,X$2)/unit)</t>
  </si>
  <si>
    <t>IF(OR(EM_S_STMNOTE_FINEXP(目录!$C$4,2,Y$2)="",EM_S_STMNOTE_FINEXP(目录!$C$4,2,Y$2)="--",EM_S_STMNOTE_FINEXP(目录!$C$4,2,Y$2)="NULL")=TRUE,0,EM_S_STMNOTE_FINEXP(目录!$C$4,2,Y$2)/unit)</t>
  </si>
  <si>
    <t>IF(OR(EM_S_STMNOTE_FINEXP(目录!$C$4,2,Z$2)="",EM_S_STMNOTE_FINEXP(目录!$C$4,2,Z$2)="--",EM_S_STMNOTE_FINEXP(目录!$C$4,2,Z$2)="NULL")=TRUE,0,EM_S_STMNOTE_FINEXP(目录!$C$4,2,Z$2)/unit)</t>
  </si>
  <si>
    <t>IF(OR(EM_S_STMNOTE_FINEXP(目录!$C$4,2,AA$2)="",EM_S_STMNOTE_FINEXP(目录!$C$4,2,AA$2)="--",EM_S_STMNOTE_FINEXP(目录!$C$4,2,AA$2)="NULL")=TRUE,0,EM_S_STMNOTE_FINEXP(目录!$C$4,2,AA$2)/unit)</t>
  </si>
  <si>
    <t>相关比率</t>
  </si>
  <si>
    <t>收入与成本假设</t>
  </si>
  <si>
    <t>经营收益假设：</t>
  </si>
  <si>
    <t xml:space="preserve">        营业收入</t>
  </si>
  <si>
    <t>增长率</t>
  </si>
  <si>
    <t xml:space="preserve">        营业成本</t>
  </si>
  <si>
    <t>1-(营业成本合计/营业收入合计)</t>
  </si>
  <si>
    <t xml:space="preserve">        营业税金及附加</t>
  </si>
  <si>
    <t>营业税金及附加／营业收入</t>
  </si>
  <si>
    <t xml:space="preserve">        销售费用</t>
  </si>
  <si>
    <t>销售费用／营业收入</t>
  </si>
  <si>
    <t xml:space="preserve">        管理费用</t>
  </si>
  <si>
    <t>管理费用／营业收入</t>
  </si>
  <si>
    <t xml:space="preserve">        其他财务费用</t>
  </si>
  <si>
    <t>其他财务费用／营业收入</t>
  </si>
  <si>
    <t xml:space="preserve">        资产减值损失</t>
  </si>
  <si>
    <t>-</t>
  </si>
  <si>
    <t xml:space="preserve">        其他经营性净收益</t>
  </si>
  <si>
    <t xml:space="preserve">        所得税</t>
  </si>
  <si>
    <t>非经营收益假设：</t>
  </si>
  <si>
    <t xml:space="preserve">        公允价值变动收益(金融资产)</t>
  </si>
  <si>
    <t xml:space="preserve">        资产处置收益</t>
  </si>
  <si>
    <t xml:space="preserve">        其他非经营性收益</t>
  </si>
  <si>
    <t xml:space="preserve">        税收减免或返还(追缴以“-”填列)</t>
  </si>
  <si>
    <t>利润分配：</t>
  </si>
  <si>
    <t xml:space="preserve">        少数股东损益</t>
  </si>
  <si>
    <t>少数股东损益／税后利润合计</t>
  </si>
  <si>
    <t xml:space="preserve">        普通股股利</t>
  </si>
  <si>
    <t>股利／归属母公司股东的净利润</t>
  </si>
  <si>
    <t>资产与负债假设</t>
  </si>
  <si>
    <t>资产：</t>
  </si>
  <si>
    <r>
      <rPr>
        <sz val="9"/>
        <color indexed="8"/>
        <rFont val="Arial"/>
        <family val="2"/>
      </rPr>
      <t xml:space="preserve">        </t>
    </r>
    <r>
      <rPr>
        <sz val="9"/>
        <color indexed="8"/>
        <rFont val="宋体"/>
        <family val="3"/>
        <charset val="134"/>
      </rPr>
      <t>以公允价值计量且其变动计入当期损益的金融资产</t>
    </r>
  </si>
  <si>
    <t xml:space="preserve">        应收票据及账款</t>
  </si>
  <si>
    <t>营业收入／平均应收票据及账款</t>
  </si>
  <si>
    <t xml:space="preserve">        预付账款</t>
  </si>
  <si>
    <t>营业收入／平均预付账款</t>
  </si>
  <si>
    <t xml:space="preserve">        其他应收款</t>
  </si>
  <si>
    <t>营业收入／平均其他应收款</t>
  </si>
  <si>
    <t xml:space="preserve">        存货</t>
  </si>
  <si>
    <t>营业成本／平均存货</t>
  </si>
  <si>
    <t xml:space="preserve">        混业经营金融类资产</t>
  </si>
  <si>
    <t xml:space="preserve">        其他流动资产</t>
  </si>
  <si>
    <t xml:space="preserve">        长期应收款</t>
  </si>
  <si>
    <t xml:space="preserve">        金融资产投资</t>
  </si>
  <si>
    <t xml:space="preserve">        其他非流动资产</t>
  </si>
  <si>
    <t>负债：</t>
  </si>
  <si>
    <r>
      <rPr>
        <sz val="9"/>
        <color indexed="8"/>
        <rFont val="Arial"/>
        <family val="2"/>
      </rPr>
      <t xml:space="preserve">        </t>
    </r>
    <r>
      <rPr>
        <sz val="9"/>
        <color indexed="8"/>
        <rFont val="宋体"/>
        <family val="3"/>
        <charset val="134"/>
      </rPr>
      <t>以公允价值计量且其变动计入当期损益的金融负债</t>
    </r>
  </si>
  <si>
    <t xml:space="preserve">        应付票据及账款</t>
  </si>
  <si>
    <t>营业收入／平均应付票据及账款</t>
  </si>
  <si>
    <t xml:space="preserve">        预收账款</t>
  </si>
  <si>
    <t>营业收入／平均预收账款</t>
  </si>
  <si>
    <t xml:space="preserve">        其他应付款</t>
  </si>
  <si>
    <t xml:space="preserve">        混业经营金融类负债</t>
  </si>
  <si>
    <t xml:space="preserve">        其他流动负债</t>
  </si>
  <si>
    <t xml:space="preserve">        长期应付款</t>
  </si>
  <si>
    <t xml:space="preserve">        专项应付款</t>
  </si>
  <si>
    <t xml:space="preserve">        预计负债</t>
  </si>
  <si>
    <t xml:space="preserve">        其他非流动负债</t>
  </si>
  <si>
    <t>股东权益</t>
  </si>
  <si>
    <t xml:space="preserve">        资本公积-新增其他资本公积</t>
  </si>
  <si>
    <t>投资预测过程</t>
  </si>
  <si>
    <t>固定资产</t>
  </si>
  <si>
    <t>折旧年限(年)</t>
  </si>
  <si>
    <t>投资额</t>
  </si>
  <si>
    <t>剩余建设期(年)</t>
  </si>
  <si>
    <t>建设期</t>
  </si>
  <si>
    <t>摊销年限(年)</t>
  </si>
  <si>
    <t>剩余开发期(年)</t>
  </si>
  <si>
    <t>开发期</t>
  </si>
  <si>
    <t>核算方法</t>
  </si>
  <si>
    <t>1、成本法</t>
  </si>
  <si>
    <t>2、公允价值计量</t>
  </si>
  <si>
    <t>公允价值变动增量</t>
  </si>
  <si>
    <t>投资成本</t>
  </si>
  <si>
    <t>新增长期股权投资</t>
  </si>
  <si>
    <t>对联营和合营企业的投资收益</t>
  </si>
  <si>
    <t>收到现金股利、出售处理收益</t>
  </si>
  <si>
    <t>筹资预测过程</t>
  </si>
  <si>
    <t>融资额预计方法</t>
  </si>
  <si>
    <t>1、目标资本结构</t>
  </si>
  <si>
    <t>2、分别预测D和E</t>
  </si>
  <si>
    <t>债务筹资／资金缺口</t>
  </si>
  <si>
    <t>长期带息债务增加</t>
  </si>
  <si>
    <t>长期带息债务筹资／资金缺口</t>
  </si>
  <si>
    <t>股权筹资额</t>
  </si>
  <si>
    <t>股权融资发行价格(元)</t>
  </si>
  <si>
    <t>银行存款利率</t>
  </si>
  <si>
    <t>短期借款利率</t>
  </si>
  <si>
    <t>长期借款利率</t>
  </si>
  <si>
    <t>最低现金余额/营业收入</t>
  </si>
  <si>
    <t>结果汇总</t>
  </si>
  <si>
    <t>投资额合计</t>
  </si>
  <si>
    <t xml:space="preserve">    固定资产投资</t>
  </si>
  <si>
    <t xml:space="preserve">    投资性房地产投资</t>
  </si>
  <si>
    <t xml:space="preserve">    无形资产投资</t>
  </si>
  <si>
    <t xml:space="preserve">    长期股权投资</t>
  </si>
  <si>
    <t xml:space="preserve">    长期待摊费用增加</t>
  </si>
  <si>
    <t>期末资产净额</t>
  </si>
  <si>
    <t xml:space="preserve">    期末固定资产</t>
  </si>
  <si>
    <t xml:space="preserve">    期末投资性房地产</t>
  </si>
  <si>
    <t xml:space="preserve">    期末在建工程</t>
  </si>
  <si>
    <t xml:space="preserve">    期末无形资产</t>
  </si>
  <si>
    <t xml:space="preserve">    期末开发支出</t>
  </si>
  <si>
    <t xml:space="preserve">    期末商誉</t>
  </si>
  <si>
    <t xml:space="preserve">    期末长期待摊费用</t>
  </si>
  <si>
    <t>折旧和摊销</t>
  </si>
  <si>
    <t xml:space="preserve">    固定资产折旧</t>
  </si>
  <si>
    <t xml:space="preserve">    成本法核算的投资性房地产折旧</t>
  </si>
  <si>
    <t xml:space="preserve">    无形资产摊销</t>
  </si>
  <si>
    <t xml:space="preserve">    长期待摊费用摊销</t>
  </si>
  <si>
    <t>当期损益</t>
  </si>
  <si>
    <t xml:space="preserve">    投资性房地产公允价值变动收益</t>
  </si>
  <si>
    <t xml:space="preserve">    对联营和合营企业的投资收益</t>
  </si>
  <si>
    <t xml:space="preserve">    收到现金股利、出售处理收益</t>
  </si>
  <si>
    <t xml:space="preserve">    长期股权投资初始计量收益</t>
  </si>
  <si>
    <t xml:space="preserve">    长期股权投资期末余额</t>
  </si>
  <si>
    <t>预测过程</t>
  </si>
  <si>
    <t>(包含生产性生物资产、油气资产)</t>
  </si>
  <si>
    <t>a、直线法折旧</t>
  </si>
  <si>
    <r>
      <rPr>
        <sz val="9"/>
        <rFont val="Arial"/>
        <family val="2"/>
      </rPr>
      <t>b</t>
    </r>
    <r>
      <rPr>
        <sz val="9"/>
        <rFont val="宋体"/>
        <family val="3"/>
        <charset val="134"/>
      </rPr>
      <t>、固定资产折旧年限</t>
    </r>
    <r>
      <rPr>
        <sz val="9"/>
        <rFont val="Arial"/>
        <family val="2"/>
      </rPr>
      <t>(</t>
    </r>
    <r>
      <rPr>
        <sz val="9"/>
        <rFont val="宋体"/>
        <family val="3"/>
        <charset val="134"/>
      </rPr>
      <t>年</t>
    </r>
    <r>
      <rPr>
        <sz val="9"/>
        <rFont val="Arial"/>
        <family val="2"/>
      </rPr>
      <t>)</t>
    </r>
  </si>
  <si>
    <t>c、现有在建工程剩余建设期(年)</t>
  </si>
  <si>
    <t>d、各年固定资产投资额和建设期</t>
  </si>
  <si>
    <t>e、每年折旧与净值计算表</t>
  </si>
  <si>
    <t>初始固定资产原值</t>
  </si>
  <si>
    <t>当期计提折旧</t>
  </si>
  <si>
    <t>期末固定资产</t>
  </si>
  <si>
    <t>期末在建工程</t>
  </si>
  <si>
    <t>(不包含商誉、开发支出)</t>
  </si>
  <si>
    <t>a、直线法摊销</t>
  </si>
  <si>
    <t>b、无形资产摊销年限</t>
  </si>
  <si>
    <t>c、现有研发支出剩余开发期</t>
  </si>
  <si>
    <t>d、各年无形资产投资额</t>
  </si>
  <si>
    <t>e、每年摊销与净值计算表</t>
  </si>
  <si>
    <t>初始无形资产原值</t>
  </si>
  <si>
    <t>当期计提摊销</t>
  </si>
  <si>
    <t>期末无形资产</t>
  </si>
  <si>
    <t>期末开发支出</t>
  </si>
  <si>
    <t>投资性房地产的核算方法：</t>
  </si>
  <si>
    <t>b、投资性房地产折旧年限(年)</t>
  </si>
  <si>
    <t>d、每年折旧与净值计算表</t>
  </si>
  <si>
    <t>初始投资性房地产原值</t>
  </si>
  <si>
    <t>期末投资性房地产</t>
  </si>
  <si>
    <t>期初投资性房地产</t>
  </si>
  <si>
    <t>新增投资性房地产</t>
  </si>
  <si>
    <t>1、投资额</t>
  </si>
  <si>
    <t>新增商誉(投资成本超出)</t>
  </si>
  <si>
    <t>长期股权投资初始计量收益</t>
  </si>
  <si>
    <t>2、投资收益</t>
  </si>
  <si>
    <t>3、期末余额</t>
  </si>
  <si>
    <t>期初长期股权投资</t>
  </si>
  <si>
    <t>期末长期股权投资</t>
  </si>
  <si>
    <t>b、长期待摊费用摊销年限</t>
  </si>
  <si>
    <t>c、各年长期待摊费用发生额</t>
  </si>
  <si>
    <t>d、每年摊销与净值计算表</t>
  </si>
  <si>
    <t>初始长期待摊费用净值</t>
  </si>
  <si>
    <t>期末长期待摊费用</t>
  </si>
  <si>
    <t>基本假设</t>
  </si>
  <si>
    <t>长期带息债务增加/(减少)</t>
  </si>
  <si>
    <t>短期借款增加/(减少)</t>
  </si>
  <si>
    <t>其中：新增股本</t>
  </si>
  <si>
    <t xml:space="preserve">            资本溢价</t>
  </si>
  <si>
    <t>a、债务筹资／资金缺口</t>
  </si>
  <si>
    <t>b、长期带息债务筹资／资金缺口</t>
  </si>
  <si>
    <r>
      <rPr>
        <sz val="9"/>
        <rFont val="Arial"/>
        <family val="2"/>
      </rPr>
      <t>c</t>
    </r>
    <r>
      <rPr>
        <sz val="9"/>
        <rFont val="宋体"/>
        <family val="3"/>
        <charset val="134"/>
      </rPr>
      <t>、股权融资发行价格</t>
    </r>
    <r>
      <rPr>
        <sz val="9"/>
        <rFont val="Arial"/>
        <family val="2"/>
      </rPr>
      <t>(</t>
    </r>
    <r>
      <rPr>
        <sz val="9"/>
        <rFont val="宋体"/>
        <family val="3"/>
        <charset val="134"/>
      </rPr>
      <t>元</t>
    </r>
    <r>
      <rPr>
        <sz val="9"/>
        <rFont val="Arial"/>
        <family val="2"/>
      </rPr>
      <t>)</t>
    </r>
  </si>
  <si>
    <t>期初现金余额</t>
  </si>
  <si>
    <t>经营现金净流量</t>
  </si>
  <si>
    <t>投资现金净流量</t>
  </si>
  <si>
    <t>最低现金余额</t>
  </si>
  <si>
    <t>现金剩余(缺口以“-”填列)</t>
  </si>
  <si>
    <t>长期带息债务增加(减少以“-”填列)</t>
  </si>
  <si>
    <t>其中：新增股本(面值=1)</t>
  </si>
  <si>
    <t xml:space="preserve">      新增资本溢价</t>
  </si>
  <si>
    <r>
      <rPr>
        <sz val="9"/>
        <rFont val="Arial"/>
        <family val="2"/>
      </rPr>
      <t xml:space="preserve">            </t>
    </r>
    <r>
      <rPr>
        <sz val="9"/>
        <rFont val="宋体"/>
        <family val="3"/>
        <charset val="134"/>
      </rPr>
      <t>新增资本溢价</t>
    </r>
  </si>
  <si>
    <t>债务、现金和利息计算</t>
  </si>
  <si>
    <t>计入短期借款前融资流入</t>
  </si>
  <si>
    <t>短期借款增加(减少以“-”填列)</t>
  </si>
  <si>
    <t>期末现金余额</t>
  </si>
  <si>
    <t>长期带息债务期初余额</t>
  </si>
  <si>
    <t>长期带息债务期末余额</t>
  </si>
  <si>
    <t>长期带息债务利息费用</t>
  </si>
  <si>
    <t>短期借款期初余额</t>
  </si>
  <si>
    <t>短期借款期末余额</t>
  </si>
  <si>
    <t>短期借款利息费用</t>
  </si>
  <si>
    <t>货币资金期初余额</t>
  </si>
  <si>
    <t>货币资金增加(减少以“-”填列)</t>
  </si>
  <si>
    <t>货币资金期末余额</t>
  </si>
  <si>
    <t>银行存款利息收入</t>
  </si>
  <si>
    <t>·</t>
  </si>
  <si>
    <t>预测方法</t>
  </si>
  <si>
    <t>1、经营活动收益：</t>
  </si>
  <si>
    <t>毛利率</t>
  </si>
  <si>
    <t>占营业收入百分比</t>
  </si>
  <si>
    <t>其他经营性净收益</t>
  </si>
  <si>
    <t>经营利润所得税</t>
  </si>
  <si>
    <t>2、非经营活动收益：</t>
  </si>
  <si>
    <t>公允价值变动收益(金融资产)</t>
  </si>
  <si>
    <t>公允价值变动收益(投资性房地产)</t>
  </si>
  <si>
    <t>其他非经营性收益</t>
  </si>
  <si>
    <t>税收减免或返还(追缴以“-”填列)</t>
  </si>
  <si>
    <t>3、利润分配：</t>
  </si>
  <si>
    <t>少数股东损益/税后利润合计</t>
  </si>
  <si>
    <t>股利支付率</t>
  </si>
  <si>
    <t>本期利润留存</t>
  </si>
  <si>
    <t>EBIT、EBITDA</t>
  </si>
  <si>
    <t>EBIT</t>
  </si>
  <si>
    <t>EBITDA</t>
  </si>
  <si>
    <t>非经常性损益</t>
  </si>
  <si>
    <t>非经常性损益合计</t>
  </si>
  <si>
    <t>扣税</t>
  </si>
  <si>
    <t>税后非经常性损益</t>
  </si>
  <si>
    <t>扣除非经常损益后的净利润</t>
  </si>
  <si>
    <t>NOPLAT</t>
  </si>
  <si>
    <t>非经常性损益(税后)</t>
  </si>
  <si>
    <t>利息费用(税后)</t>
  </si>
  <si>
    <r>
      <rPr>
        <b/>
        <sz val="9"/>
        <color indexed="30"/>
        <rFont val="宋体"/>
        <family val="3"/>
        <charset val="134"/>
      </rPr>
      <t>投入资本回报率</t>
    </r>
    <r>
      <rPr>
        <b/>
        <sz val="9"/>
        <color indexed="30"/>
        <rFont val="Arial"/>
        <family val="2"/>
      </rPr>
      <t>ROIC</t>
    </r>
  </si>
  <si>
    <t>期初投入资本(IC)</t>
  </si>
  <si>
    <t>ROIC=NOPLAT/IC</t>
  </si>
  <si>
    <t>经济增加值EVA</t>
  </si>
  <si>
    <t>WACC</t>
  </si>
  <si>
    <t>IC*WACC</t>
  </si>
  <si>
    <t>EVA=NOPLAT-IC*WACC</t>
  </si>
  <si>
    <r>
      <rPr>
        <b/>
        <sz val="9"/>
        <color indexed="30"/>
        <rFont val="宋体"/>
        <family val="3"/>
        <charset val="134"/>
      </rPr>
      <t>超额收益</t>
    </r>
    <r>
      <rPr>
        <b/>
        <sz val="9"/>
        <color indexed="30"/>
        <rFont val="Arial"/>
        <family val="2"/>
      </rPr>
      <t>AE</t>
    </r>
  </si>
  <si>
    <t>净利润</t>
  </si>
  <si>
    <t>Ke</t>
  </si>
  <si>
    <t>期初净资产</t>
  </si>
  <si>
    <t>AE=净利润-期初净资产*Ke</t>
  </si>
  <si>
    <t>1、资产：</t>
  </si>
  <si>
    <t>营业收入*2/(期初额+期末额)</t>
  </si>
  <si>
    <t>营业成本*2/(期初额+期末额)</t>
  </si>
  <si>
    <t>在建工程</t>
  </si>
  <si>
    <t>2、负债：</t>
  </si>
  <si>
    <t>长期带息债务</t>
  </si>
  <si>
    <t>3、股东权益：</t>
  </si>
  <si>
    <t>资本公积</t>
  </si>
  <si>
    <t>其中：期初资本公积</t>
  </si>
  <si>
    <t xml:space="preserve">      本期发行溢价</t>
  </si>
  <si>
    <t xml:space="preserve">      新增其他资本公积</t>
  </si>
  <si>
    <t>累计留存收益</t>
  </si>
  <si>
    <t>其中：期初留存收益</t>
  </si>
  <si>
    <t xml:space="preserve">      当期留存收益</t>
  </si>
  <si>
    <t xml:space="preserve">资产与负债和股东权益的差额   </t>
  </si>
  <si>
    <t>资产与负债和股东权益的差额(%)</t>
  </si>
  <si>
    <t>带息债务</t>
  </si>
  <si>
    <t>带息短债</t>
  </si>
  <si>
    <t>带息长债</t>
  </si>
  <si>
    <t>带息债务合计</t>
  </si>
  <si>
    <t>带息债务增量</t>
  </si>
  <si>
    <t>经营营运资本</t>
  </si>
  <si>
    <t>超额现金</t>
  </si>
  <si>
    <t>金融资产</t>
  </si>
  <si>
    <t>=</t>
  </si>
  <si>
    <t>经营流动资产</t>
  </si>
  <si>
    <t>流动负债</t>
  </si>
  <si>
    <t>交易性金融负债</t>
  </si>
  <si>
    <t>经营流动负债</t>
  </si>
  <si>
    <t xml:space="preserve">    经营营运资本增量</t>
  </si>
  <si>
    <r>
      <rPr>
        <b/>
        <sz val="9"/>
        <color indexed="30"/>
        <rFont val="宋体"/>
        <family val="3"/>
        <charset val="134"/>
      </rPr>
      <t>投资资本</t>
    </r>
    <r>
      <rPr>
        <b/>
        <sz val="9"/>
        <color indexed="30"/>
        <rFont val="Arial"/>
        <family val="2"/>
      </rPr>
      <t>IC</t>
    </r>
  </si>
  <si>
    <t>净资产</t>
  </si>
  <si>
    <t>非经营性资产</t>
  </si>
  <si>
    <r>
      <rPr>
        <b/>
        <sz val="9"/>
        <color indexed="8"/>
        <rFont val="宋体"/>
        <family val="3"/>
        <charset val="134"/>
      </rPr>
      <t>投资资本</t>
    </r>
    <r>
      <rPr>
        <b/>
        <sz val="9"/>
        <color indexed="8"/>
        <rFont val="Arial"/>
        <family val="2"/>
      </rPr>
      <t>IC</t>
    </r>
  </si>
  <si>
    <t>本期净投资</t>
  </si>
  <si>
    <t>1、将净利润调节为经营活动的现金流量：</t>
  </si>
  <si>
    <t>其他经营活动有关的现金流量</t>
  </si>
  <si>
    <t>2、投资活动产生的现金流量：</t>
  </si>
  <si>
    <t>金融资产的减少(增加以“-”填列)</t>
  </si>
  <si>
    <t>金融资产投资的减少(增加以“-”填列)</t>
  </si>
  <si>
    <t>资产处置收益收到的现金</t>
  </si>
  <si>
    <t>固定资产投资</t>
  </si>
  <si>
    <t>无形资产投资</t>
  </si>
  <si>
    <t>投资性房地产投资</t>
  </si>
  <si>
    <t>长期股权投资增加</t>
  </si>
  <si>
    <t>长期待摊费用增加</t>
  </si>
  <si>
    <t>其他投资活动有关的现金流量</t>
  </si>
  <si>
    <t>3、筹资活动产生的现金流量：</t>
  </si>
  <si>
    <t>支付普通股股利</t>
  </si>
  <si>
    <t>偿付利息</t>
  </si>
  <si>
    <t>其他筹资活动有关的现金流量</t>
  </si>
  <si>
    <t>4、现金及现金等价物净增加：</t>
  </si>
  <si>
    <r>
      <rPr>
        <b/>
        <sz val="9"/>
        <color indexed="30"/>
        <rFont val="宋体"/>
        <family val="3"/>
        <charset val="134"/>
      </rPr>
      <t>公司自由现金流量</t>
    </r>
    <r>
      <rPr>
        <b/>
        <sz val="9"/>
        <color indexed="30"/>
        <rFont val="Arial"/>
        <family val="2"/>
      </rPr>
      <t>(FCFF)</t>
    </r>
  </si>
  <si>
    <t>经营现金毛流量</t>
  </si>
  <si>
    <t>经营营运资本增加</t>
  </si>
  <si>
    <t>资本支出</t>
  </si>
  <si>
    <t>实体现金流量</t>
  </si>
  <si>
    <r>
      <rPr>
        <b/>
        <sz val="9"/>
        <color indexed="30"/>
        <rFont val="宋体"/>
        <family val="3"/>
        <charset val="134"/>
      </rPr>
      <t>股权自由现金流量</t>
    </r>
    <r>
      <rPr>
        <b/>
        <sz val="9"/>
        <color indexed="30"/>
        <rFont val="Arial"/>
        <family val="2"/>
      </rPr>
      <t>(FCFE)</t>
    </r>
  </si>
  <si>
    <t>税后利息支出</t>
  </si>
  <si>
    <t>偿还长期带息债务(新借债务"-"填列)</t>
  </si>
  <si>
    <t>偿还短期借款(新借债务"-"填列)</t>
  </si>
  <si>
    <t>股权现金流量</t>
  </si>
  <si>
    <t>待选指标</t>
  </si>
  <si>
    <t>营业收入增长率</t>
  </si>
  <si>
    <t>经营利润增长率</t>
  </si>
  <si>
    <t>净利润增长率</t>
  </si>
  <si>
    <t>扣除非经常损益净利润增长率</t>
  </si>
  <si>
    <t>EBIT增长率</t>
  </si>
  <si>
    <t>EBITDA增长率</t>
  </si>
  <si>
    <t>NOPLAT增长率</t>
  </si>
  <si>
    <t>总资产增长率</t>
  </si>
  <si>
    <t>股权权益增长率</t>
  </si>
  <si>
    <t>经营营运资本增长率</t>
  </si>
  <si>
    <t>企业价值(EV)</t>
  </si>
  <si>
    <t>经营效率</t>
  </si>
  <si>
    <t>销售毛利率</t>
  </si>
  <si>
    <t>销售净利率</t>
  </si>
  <si>
    <t>三费／营业收入</t>
  </si>
  <si>
    <t>EBIT／营业收入</t>
  </si>
  <si>
    <t>EBITDA／营业收入</t>
  </si>
  <si>
    <t>NOPLAT／营业收入</t>
  </si>
  <si>
    <t>权益净利率(ROE)</t>
  </si>
  <si>
    <t>资产报酬率(ROA)</t>
  </si>
  <si>
    <t>投入资本回报率(ROIC)</t>
  </si>
  <si>
    <t>税后经营利润／净利润</t>
  </si>
  <si>
    <t>扣除非经常损益净利润／净利润</t>
  </si>
  <si>
    <t>投资收益／净利润</t>
  </si>
  <si>
    <t>存货周转率</t>
  </si>
  <si>
    <t>应收账款周转率</t>
  </si>
  <si>
    <t>固定资产周转率</t>
  </si>
  <si>
    <t>总资产周转率</t>
  </si>
  <si>
    <t>ROIC－WACC</t>
  </si>
  <si>
    <t>财务政策</t>
  </si>
  <si>
    <t>资产负债率</t>
  </si>
  <si>
    <t>带息债务／总负债</t>
  </si>
  <si>
    <t>流动资产／总资产</t>
  </si>
  <si>
    <t>固定资产／总资产</t>
  </si>
  <si>
    <t>IC／总资产</t>
  </si>
  <si>
    <t>收益留存率</t>
  </si>
  <si>
    <t>累计折旧／固定资产原值</t>
  </si>
  <si>
    <t>权益乘数</t>
  </si>
  <si>
    <t>偿债能力</t>
  </si>
  <si>
    <t>流动比率(倍)</t>
  </si>
  <si>
    <t>速动比率(倍)</t>
  </si>
  <si>
    <t>现金比率(倍)</t>
  </si>
  <si>
    <t>经营现金流量／流动负债(倍)</t>
  </si>
  <si>
    <t>负债合计／股东权益</t>
  </si>
  <si>
    <t>带息债务／股东权益</t>
  </si>
  <si>
    <t>长期资本负债率</t>
  </si>
  <si>
    <t>利息保障倍数(倍)</t>
  </si>
  <si>
    <t>现金流量利息保障倍数(倍)</t>
  </si>
  <si>
    <t>每股指标</t>
  </si>
  <si>
    <t>每股收益EPS</t>
  </si>
  <si>
    <t>每股股利DPS</t>
  </si>
  <si>
    <t>每股净资产BPS</t>
  </si>
  <si>
    <t>每股经营现金流量</t>
  </si>
  <si>
    <t>每股自由现金流量</t>
  </si>
  <si>
    <t>每股销售额</t>
  </si>
  <si>
    <t>*上述指标采用当前股本摊薄</t>
  </si>
  <si>
    <t>稀释EPS(预测股本计算)</t>
  </si>
  <si>
    <t>估值指标</t>
  </si>
  <si>
    <t>PE(当前股价／EPS)</t>
  </si>
  <si>
    <t>PB(当前股价／BPS)</t>
  </si>
  <si>
    <r>
      <rPr>
        <sz val="9"/>
        <rFont val="Arial"/>
        <family val="2"/>
      </rPr>
      <t>PS(</t>
    </r>
    <r>
      <rPr>
        <sz val="9"/>
        <rFont val="宋体"/>
        <family val="3"/>
        <charset val="134"/>
      </rPr>
      <t>当前股价／每股销售收入</t>
    </r>
    <r>
      <rPr>
        <sz val="9"/>
        <rFont val="Arial"/>
        <family val="2"/>
      </rPr>
      <t>)</t>
    </r>
  </si>
  <si>
    <t>PCF(当前股价／经营现金流)</t>
  </si>
  <si>
    <t>股息率%(DPS／当前股价)</t>
  </si>
  <si>
    <t>股权价值</t>
  </si>
  <si>
    <t>EV／EBIT</t>
  </si>
  <si>
    <r>
      <rPr>
        <sz val="9"/>
        <rFont val="Arial"/>
        <family val="2"/>
      </rPr>
      <t>EV</t>
    </r>
    <r>
      <rPr>
        <sz val="9"/>
        <rFont val="宋体"/>
        <family val="3"/>
        <charset val="134"/>
      </rPr>
      <t>／</t>
    </r>
    <r>
      <rPr>
        <sz val="9"/>
        <rFont val="Arial"/>
        <family val="2"/>
      </rPr>
      <t>EBITDA</t>
    </r>
  </si>
  <si>
    <t>EV／NOPLAT</t>
  </si>
  <si>
    <t>EV／IC</t>
  </si>
  <si>
    <t>EV／Sales</t>
  </si>
  <si>
    <t>合理性检验</t>
  </si>
  <si>
    <t>销售收入增长率</t>
  </si>
  <si>
    <t>现金净流量</t>
  </si>
  <si>
    <t>较好情景</t>
  </si>
  <si>
    <t>较一般情景增加</t>
  </si>
  <si>
    <t>一般情景</t>
  </si>
  <si>
    <t>较一般情景减少</t>
  </si>
  <si>
    <t>较差情景</t>
  </si>
  <si>
    <t>营业成本 / 营业收入</t>
  </si>
  <si>
    <t>营业税金及附加 / 营业收入</t>
  </si>
  <si>
    <t>管理费用 / 营业收入</t>
  </si>
  <si>
    <t>销售费用 / 营业收入</t>
  </si>
  <si>
    <t>股利分配比例</t>
  </si>
  <si>
    <t>估值假设</t>
  </si>
  <si>
    <t>数值</t>
  </si>
  <si>
    <t>过渡期年数</t>
  </si>
  <si>
    <t>永续期增长率</t>
  </si>
  <si>
    <t>无风险利率Rf</t>
  </si>
  <si>
    <t>市场组合报酬率Rm</t>
  </si>
  <si>
    <t>有效税率Tx</t>
  </si>
  <si>
    <t>预测日期</t>
  </si>
  <si>
    <t>过渡期增长率</t>
  </si>
  <si>
    <t>资本成本</t>
  </si>
  <si>
    <t>β系数</t>
  </si>
  <si>
    <t>债务资本成本Kd</t>
  </si>
  <si>
    <t>债务资本比重Wd</t>
  </si>
  <si>
    <t>股权资本成本Ke</t>
  </si>
  <si>
    <t>FCFF估值</t>
  </si>
  <si>
    <r>
      <rPr>
        <sz val="9"/>
        <rFont val="宋体"/>
        <family val="3"/>
        <charset val="134"/>
      </rPr>
      <t>预测期</t>
    </r>
    <r>
      <rPr>
        <sz val="9"/>
        <rFont val="Arial"/>
        <family val="2"/>
      </rPr>
      <t>FCFF</t>
    </r>
  </si>
  <si>
    <r>
      <rPr>
        <sz val="9"/>
        <rFont val="宋体"/>
        <family val="3"/>
        <charset val="134"/>
      </rPr>
      <t>过渡期</t>
    </r>
    <r>
      <rPr>
        <sz val="9"/>
        <rFont val="Arial"/>
        <family val="2"/>
      </rPr>
      <t>FCFF</t>
    </r>
  </si>
  <si>
    <t>FCFF预测期现值</t>
  </si>
  <si>
    <t>FCFF过渡期现值</t>
  </si>
  <si>
    <t>永续价值(残值)现值</t>
  </si>
  <si>
    <t>企业价值</t>
  </si>
  <si>
    <t>非核心资产</t>
  </si>
  <si>
    <t>带息债务(账面价值)</t>
  </si>
  <si>
    <t>除：</t>
  </si>
  <si>
    <t>总股本(万股)</t>
  </si>
  <si>
    <t>每股价值(元)</t>
  </si>
  <si>
    <t>FCFE估值</t>
  </si>
  <si>
    <r>
      <rPr>
        <sz val="9"/>
        <rFont val="宋体"/>
        <family val="3"/>
        <charset val="134"/>
      </rPr>
      <t>预测期</t>
    </r>
    <r>
      <rPr>
        <sz val="9"/>
        <rFont val="Arial"/>
        <family val="2"/>
      </rPr>
      <t>FCFE</t>
    </r>
  </si>
  <si>
    <t>过渡期FCFE</t>
  </si>
  <si>
    <t>FCFE预测期现值</t>
  </si>
  <si>
    <t>FCFE过渡期现值</t>
  </si>
  <si>
    <t>总股权价值</t>
  </si>
  <si>
    <t>DDM估值</t>
  </si>
  <si>
    <t>预测期股利</t>
  </si>
  <si>
    <t>过渡期股利</t>
  </si>
  <si>
    <t>股利预测期现值</t>
  </si>
  <si>
    <t>股利过渡期现值</t>
  </si>
  <si>
    <t>股利现值合计</t>
  </si>
  <si>
    <t>经济利润估值EVA</t>
  </si>
  <si>
    <r>
      <rPr>
        <sz val="9"/>
        <rFont val="宋体"/>
        <family val="3"/>
        <charset val="134"/>
      </rPr>
      <t>预测期</t>
    </r>
    <r>
      <rPr>
        <sz val="9"/>
        <rFont val="Arial"/>
        <family val="2"/>
      </rPr>
      <t>EVA</t>
    </r>
  </si>
  <si>
    <r>
      <rPr>
        <sz val="9"/>
        <rFont val="宋体"/>
        <family val="3"/>
        <charset val="134"/>
      </rPr>
      <t>过渡期</t>
    </r>
    <r>
      <rPr>
        <sz val="9"/>
        <rFont val="Arial"/>
        <family val="2"/>
      </rPr>
      <t>EVA</t>
    </r>
  </si>
  <si>
    <t>EVA预测期现值</t>
  </si>
  <si>
    <t>EVA过渡期现值</t>
  </si>
  <si>
    <t>EVA现值合计</t>
  </si>
  <si>
    <t>基期投资资本</t>
  </si>
  <si>
    <t>超额利润估值AE</t>
  </si>
  <si>
    <t>预测期超额利润</t>
  </si>
  <si>
    <t>过渡期超额利润</t>
  </si>
  <si>
    <t>预测期超额利润现值</t>
  </si>
  <si>
    <t>过渡期超额利润现值</t>
  </si>
  <si>
    <t>超额利润现值合计</t>
  </si>
  <si>
    <t>基期净资产</t>
  </si>
  <si>
    <t>FCFF估值敏感性分析</t>
  </si>
  <si>
    <t>估值矩阵：只适用永续增长模型</t>
  </si>
  <si>
    <r>
      <rPr>
        <b/>
        <sz val="9"/>
        <rFont val="Arial"/>
        <family val="2"/>
      </rPr>
      <t xml:space="preserve">             </t>
    </r>
    <r>
      <rPr>
        <b/>
        <sz val="9"/>
        <rFont val="宋体"/>
        <family val="3"/>
        <charset val="134"/>
      </rPr>
      <t>永续增长率</t>
    </r>
    <r>
      <rPr>
        <b/>
        <sz val="9"/>
        <rFont val="Arial"/>
        <family val="2"/>
      </rPr>
      <t>g   WACC</t>
    </r>
  </si>
  <si>
    <t>FCFE估值敏感性分析</t>
  </si>
  <si>
    <r>
      <rPr>
        <b/>
        <sz val="9"/>
        <rFont val="Arial"/>
        <family val="2"/>
      </rPr>
      <t xml:space="preserve">             </t>
    </r>
    <r>
      <rPr>
        <b/>
        <sz val="9"/>
        <rFont val="宋体"/>
        <family val="3"/>
        <charset val="134"/>
      </rPr>
      <t>永续增长率</t>
    </r>
    <r>
      <rPr>
        <b/>
        <sz val="9"/>
        <rFont val="Arial"/>
        <family val="2"/>
      </rPr>
      <t>g   KE</t>
    </r>
  </si>
  <si>
    <t>DDM估值敏感性分析</t>
  </si>
  <si>
    <t>EVA估值敏感性分析</t>
  </si>
  <si>
    <t>AE估值敏感性分析</t>
  </si>
  <si>
    <t>目标公司</t>
  </si>
  <si>
    <t>行业类别</t>
  </si>
  <si>
    <t>所属行业</t>
  </si>
  <si>
    <t>代码</t>
  </si>
  <si>
    <t>简称</t>
  </si>
  <si>
    <t>最新价</t>
  </si>
  <si>
    <r>
      <rPr>
        <b/>
        <sz val="9"/>
        <rFont val="Arial"/>
        <family val="2"/>
      </rPr>
      <t>52</t>
    </r>
    <r>
      <rPr>
        <b/>
        <sz val="9"/>
        <rFont val="宋体"/>
        <family val="3"/>
        <charset val="134"/>
      </rPr>
      <t>周高</t>
    </r>
  </si>
  <si>
    <r>
      <rPr>
        <b/>
        <sz val="9"/>
        <rFont val="Arial"/>
        <family val="2"/>
      </rPr>
      <t>52</t>
    </r>
    <r>
      <rPr>
        <b/>
        <sz val="9"/>
        <rFont val="宋体"/>
        <family val="3"/>
        <charset val="134"/>
      </rPr>
      <t>周低</t>
    </r>
  </si>
  <si>
    <r>
      <rPr>
        <b/>
        <sz val="9"/>
        <rFont val="宋体"/>
        <family val="3"/>
        <charset val="134"/>
      </rPr>
      <t>总市值</t>
    </r>
    <r>
      <rPr>
        <b/>
        <sz val="9"/>
        <rFont val="Arial"/>
        <family val="2"/>
      </rPr>
      <t>(</t>
    </r>
    <r>
      <rPr>
        <b/>
        <sz val="9"/>
        <rFont val="宋体"/>
        <family val="3"/>
        <charset val="134"/>
      </rPr>
      <t>亿</t>
    </r>
    <r>
      <rPr>
        <b/>
        <sz val="9"/>
        <rFont val="Arial"/>
        <family val="2"/>
      </rPr>
      <t>)</t>
    </r>
  </si>
  <si>
    <t>净利润(亿)</t>
  </si>
  <si>
    <t>销售收入(亿)</t>
  </si>
  <si>
    <t>EPS</t>
  </si>
  <si>
    <t>P/E</t>
  </si>
  <si>
    <t>P/S</t>
  </si>
  <si>
    <t>P/B</t>
  </si>
  <si>
    <t>ROE</t>
  </si>
  <si>
    <t>EV/EBITDA</t>
  </si>
  <si>
    <t>平均</t>
  </si>
  <si>
    <t>相对估值法</t>
  </si>
  <si>
    <t>PE</t>
  </si>
  <si>
    <t>2020E</t>
  </si>
  <si>
    <t>2021E</t>
  </si>
  <si>
    <t>目标公司 EPS</t>
  </si>
  <si>
    <t>行业均值 PE</t>
  </si>
  <si>
    <t xml:space="preserve">                           PE
       预测EPS</t>
  </si>
  <si>
    <t>PS</t>
  </si>
  <si>
    <t>目标公司 SPS</t>
  </si>
  <si>
    <t>行业均值 P/S</t>
  </si>
  <si>
    <t xml:space="preserve">                           PS
       预测SPS</t>
  </si>
  <si>
    <t>PB</t>
  </si>
  <si>
    <t>目标公司 BPS</t>
  </si>
  <si>
    <t>行业均值 P/B</t>
  </si>
  <si>
    <t xml:space="preserve">                           PB
       预测BPS</t>
  </si>
  <si>
    <t>历史数据（单季）结束时间</t>
  </si>
  <si>
    <t>Q1</t>
  </si>
  <si>
    <t>Q2</t>
  </si>
  <si>
    <t>Q3</t>
  </si>
  <si>
    <t>Q4</t>
  </si>
  <si>
    <t>新准则利润表（单季）</t>
  </si>
  <si>
    <t xml:space="preserve">                手续费及佣金收入</t>
  </si>
  <si>
    <r>
      <rPr>
        <sz val="9"/>
        <rFont val="Arial"/>
        <family val="2"/>
      </rPr>
      <t xml:space="preserve">                </t>
    </r>
    <r>
      <rPr>
        <sz val="9"/>
        <rFont val="宋体"/>
        <family val="3"/>
        <charset val="134"/>
      </rPr>
      <t>营业总收入其他项目</t>
    </r>
  </si>
  <si>
    <r>
      <rPr>
        <sz val="9"/>
        <rFont val="Arial"/>
        <family val="2"/>
      </rPr>
      <t xml:space="preserve">                </t>
    </r>
    <r>
      <rPr>
        <sz val="9"/>
        <rFont val="宋体"/>
        <family val="3"/>
        <charset val="134"/>
      </rPr>
      <t>研发费用</t>
    </r>
  </si>
  <si>
    <r>
      <rPr>
        <sz val="9"/>
        <rFont val="Arial"/>
        <family val="2"/>
      </rPr>
      <t xml:space="preserve">                </t>
    </r>
    <r>
      <rPr>
        <sz val="9"/>
        <rFont val="宋体"/>
        <family val="3"/>
        <charset val="134"/>
      </rPr>
      <t>其他业务成本</t>
    </r>
  </si>
  <si>
    <r>
      <rPr>
        <sz val="9"/>
        <rFont val="Arial"/>
        <family val="2"/>
      </rPr>
      <t xml:space="preserve">                </t>
    </r>
    <r>
      <rPr>
        <sz val="9"/>
        <rFont val="宋体"/>
        <family val="3"/>
        <charset val="134"/>
      </rPr>
      <t>其中：</t>
    </r>
    <r>
      <rPr>
        <sz val="9"/>
        <rFont val="宋体"/>
        <family val="3"/>
        <charset val="134"/>
      </rPr>
      <t>利息费用</t>
    </r>
  </si>
  <si>
    <r>
      <rPr>
        <sz val="9"/>
        <rFont val="Arial"/>
        <family val="2"/>
      </rPr>
      <t xml:space="preserve">                </t>
    </r>
    <r>
      <rPr>
        <sz val="9"/>
        <rFont val="宋体"/>
        <family val="3"/>
        <charset val="134"/>
      </rPr>
      <t>营业总成本其他项目</t>
    </r>
  </si>
  <si>
    <t xml:space="preserve">                公允价值变动净收益</t>
  </si>
  <si>
    <t xml:space="preserve">                其中：对联营企业和合营企业的投资收益</t>
  </si>
  <si>
    <r>
      <rPr>
        <sz val="9"/>
        <rFont val="Arial"/>
        <family val="2"/>
      </rPr>
      <t xml:space="preserve">                </t>
    </r>
    <r>
      <rPr>
        <sz val="9"/>
        <rFont val="宋体"/>
        <family val="3"/>
        <charset val="134"/>
      </rPr>
      <t>净敞口套期收益</t>
    </r>
  </si>
  <si>
    <t xml:space="preserve">        其他收益</t>
  </si>
  <si>
    <r>
      <rPr>
        <sz val="9"/>
        <rFont val="Arial"/>
        <family val="2"/>
      </rPr>
      <t xml:space="preserve">                </t>
    </r>
    <r>
      <rPr>
        <sz val="9"/>
        <rFont val="宋体"/>
        <family val="3"/>
        <charset val="134"/>
      </rPr>
      <t>加：营业利润其他项目</t>
    </r>
  </si>
  <si>
    <r>
      <rPr>
        <sz val="9"/>
        <rFont val="Arial"/>
        <family val="2"/>
      </rPr>
      <t xml:space="preserve">                </t>
    </r>
    <r>
      <rPr>
        <sz val="9"/>
        <rFont val="宋体"/>
        <family val="3"/>
        <charset val="134"/>
      </rPr>
      <t>加：营业利润平衡项目</t>
    </r>
  </si>
  <si>
    <t xml:space="preserve">                加：营业外收入</t>
  </si>
  <si>
    <r>
      <rPr>
        <sz val="9"/>
        <rFont val="Arial"/>
        <family val="2"/>
      </rPr>
      <t xml:space="preserve">                </t>
    </r>
    <r>
      <rPr>
        <sz val="9"/>
        <rFont val="宋体"/>
        <family val="3"/>
        <charset val="134"/>
      </rPr>
      <t>加：影响利润总额的其他项目</t>
    </r>
  </si>
  <si>
    <r>
      <rPr>
        <sz val="9"/>
        <rFont val="Arial"/>
        <family val="2"/>
      </rPr>
      <t xml:space="preserve">                </t>
    </r>
    <r>
      <rPr>
        <sz val="9"/>
        <rFont val="宋体"/>
        <family val="3"/>
        <charset val="134"/>
      </rPr>
      <t>加：利润总额平衡项目</t>
    </r>
  </si>
  <si>
    <t>新准则资产负债表（单季）</t>
  </si>
  <si>
    <t xml:space="preserve">                流动资产：</t>
  </si>
  <si>
    <t xml:space="preserve">                交易性金融资产</t>
  </si>
  <si>
    <t xml:space="preserve">                应收票据</t>
  </si>
  <si>
    <t xml:space="preserve">                应收账款</t>
  </si>
  <si>
    <t xml:space="preserve">                其他应收款</t>
  </si>
  <si>
    <t xml:space="preserve">                应收股利</t>
  </si>
  <si>
    <t xml:space="preserve">                买入反售金融资产</t>
  </si>
  <si>
    <t xml:space="preserve">                存货</t>
  </si>
  <si>
    <t xml:space="preserve">                其中：消耗性生物资产</t>
  </si>
  <si>
    <t xml:space="preserve">                待摊费用</t>
  </si>
  <si>
    <t xml:space="preserve">                流动资产差额（特殊报表科目）</t>
  </si>
  <si>
    <t xml:space="preserve">                流动资产差额（合计平衡项目）</t>
  </si>
  <si>
    <t xml:space="preserve">                发放贷款及垫款</t>
  </si>
  <si>
    <t xml:space="preserve">                长期股权投资</t>
  </si>
  <si>
    <t xml:space="preserve">                非流动资产差额（特殊报表科目）</t>
  </si>
  <si>
    <t xml:space="preserve">                非流动资产差额（合计平衡项目）</t>
  </si>
  <si>
    <t xml:space="preserve">                资产差额（特殊报表科目）</t>
  </si>
  <si>
    <t xml:space="preserve">                资产差额（合计平衡项目）</t>
  </si>
  <si>
    <t xml:space="preserve">                吸收存款及同业存放</t>
  </si>
  <si>
    <t xml:space="preserve">                交易性金融负债</t>
  </si>
  <si>
    <t xml:space="preserve">                应付票据</t>
  </si>
  <si>
    <t xml:space="preserve">                应付账款</t>
  </si>
  <si>
    <t xml:space="preserve">                卖出回购金融资产款</t>
  </si>
  <si>
    <t xml:space="preserve">                应付手续费及佣金</t>
  </si>
  <si>
    <t xml:space="preserve">                应付分保账款</t>
  </si>
  <si>
    <t xml:space="preserve">                保险合同准备金</t>
  </si>
  <si>
    <t xml:space="preserve">                代理买卖证券款</t>
  </si>
  <si>
    <t xml:space="preserve">                代理承销证券款</t>
  </si>
  <si>
    <t xml:space="preserve">                预提费用</t>
  </si>
  <si>
    <t xml:space="preserve">                递延收益-流动负债</t>
  </si>
  <si>
    <t xml:space="preserve">                应付短期债券</t>
  </si>
  <si>
    <t xml:space="preserve">                流动负债差额（特殊报表科目）</t>
  </si>
  <si>
    <t xml:space="preserve">                流动负债差额（合计平衡项目）</t>
  </si>
  <si>
    <t xml:space="preserve">                递延收益-非流动负债</t>
  </si>
  <si>
    <t xml:space="preserve">                非流动负债差额（特殊报表科目）</t>
  </si>
  <si>
    <t xml:space="preserve">                非流动负债差额（合计平衡项目）</t>
  </si>
  <si>
    <t xml:space="preserve">                负债差额（特殊报表科目）</t>
  </si>
  <si>
    <t xml:space="preserve">                负债差额（合计平衡项目）</t>
  </si>
  <si>
    <t xml:space="preserve">                股东权益差额（特殊报表科目）</t>
  </si>
  <si>
    <t xml:space="preserve">                股东权益差额（合计平衡项目）</t>
  </si>
  <si>
    <t xml:space="preserve">                所有者权益合计</t>
  </si>
  <si>
    <t xml:space="preserve">                负债及股东权益差额（特殊报表项目）</t>
  </si>
  <si>
    <t xml:space="preserve">                负债及股东权益差额（合计平衡项目）</t>
  </si>
  <si>
    <t xml:space="preserve">                负债和所有者权益合计</t>
  </si>
  <si>
    <t>新准则现金流量表（单季）</t>
  </si>
  <si>
    <r>
      <rPr>
        <sz val="9"/>
        <rFont val="Arial"/>
        <family val="2"/>
      </rPr>
      <t xml:space="preserve">                </t>
    </r>
    <r>
      <rPr>
        <sz val="9"/>
        <rFont val="宋体"/>
        <family val="3"/>
        <charset val="134"/>
      </rPr>
      <t>子公司减资支付给少数股东的现金</t>
    </r>
  </si>
  <si>
    <r>
      <rPr>
        <sz val="9"/>
        <rFont val="Arial"/>
        <family val="2"/>
      </rPr>
      <t xml:space="preserve">                </t>
    </r>
    <r>
      <rPr>
        <sz val="9"/>
        <rFont val="宋体"/>
        <family val="3"/>
        <charset val="134"/>
      </rPr>
      <t>汇率变动对现金及现金等价物的影响</t>
    </r>
  </si>
  <si>
    <t>财务分析(单季度)</t>
  </si>
  <si>
    <r>
      <rPr>
        <sz val="9"/>
        <rFont val="Arial"/>
        <family val="2"/>
      </rPr>
      <t xml:space="preserve">                </t>
    </r>
    <r>
      <rPr>
        <sz val="9"/>
        <rFont val="宋体"/>
        <family val="3"/>
        <charset val="134"/>
      </rPr>
      <t>营业收入</t>
    </r>
    <r>
      <rPr>
        <sz val="9"/>
        <rFont val="Arial"/>
        <family val="2"/>
      </rPr>
      <t>(</t>
    </r>
    <r>
      <rPr>
        <sz val="9"/>
        <rFont val="宋体"/>
        <family val="3"/>
        <charset val="134"/>
      </rPr>
      <t>环比增长率</t>
    </r>
    <r>
      <rPr>
        <sz val="9"/>
        <rFont val="Arial"/>
        <family val="2"/>
      </rPr>
      <t>)</t>
    </r>
  </si>
  <si>
    <t xml:space="preserve">                营业成本(环比增长率)</t>
  </si>
  <si>
    <t xml:space="preserve">                营业利润(环比增长率)</t>
  </si>
  <si>
    <t xml:space="preserve">                利润总额(环比增长率)</t>
  </si>
  <si>
    <r>
      <rPr>
        <sz val="9"/>
        <rFont val="Arial"/>
        <family val="2"/>
      </rPr>
      <t xml:space="preserve">                </t>
    </r>
    <r>
      <rPr>
        <sz val="9"/>
        <rFont val="宋体"/>
        <family val="3"/>
        <charset val="134"/>
      </rPr>
      <t>净利润</t>
    </r>
    <r>
      <rPr>
        <sz val="9"/>
        <rFont val="Arial"/>
        <family val="2"/>
      </rPr>
      <t>(</t>
    </r>
    <r>
      <rPr>
        <sz val="9"/>
        <rFont val="宋体"/>
        <family val="3"/>
        <charset val="134"/>
      </rPr>
      <t>环比增长率</t>
    </r>
    <r>
      <rPr>
        <sz val="9"/>
        <rFont val="Arial"/>
        <family val="2"/>
      </rPr>
      <t>)</t>
    </r>
  </si>
  <si>
    <t xml:space="preserve">                毛利率</t>
  </si>
  <si>
    <t xml:space="preserve">                销售费用率</t>
  </si>
  <si>
    <t xml:space="preserve">                管理费用率</t>
  </si>
  <si>
    <t xml:space="preserve">                财务费用率</t>
  </si>
  <si>
    <t xml:space="preserve">                三项费用／营业收入</t>
  </si>
  <si>
    <t xml:space="preserve">                营业利润／营业收入</t>
  </si>
  <si>
    <t xml:space="preserve">                利润总额／营业收入</t>
  </si>
  <si>
    <t xml:space="preserve">                净利润／营业收入</t>
  </si>
  <si>
    <t xml:space="preserve">                营业收入(累计)</t>
  </si>
  <si>
    <t xml:space="preserve">                营业收入(累计)／营业收入(全年)</t>
  </si>
  <si>
    <t xml:space="preserve">                营业收入(单季)／营业收入(全年)</t>
  </si>
  <si>
    <t xml:space="preserve">                营业利润(累计)</t>
  </si>
  <si>
    <t xml:space="preserve">                营业利润(累计)／营业收入(全年)</t>
  </si>
  <si>
    <t xml:space="preserve">                营业利润(单季)／营业收入(全年)</t>
  </si>
  <si>
    <t xml:space="preserve">                净利润(累计)</t>
  </si>
  <si>
    <t xml:space="preserve">                净利润(累计)／净利润(全年)</t>
  </si>
  <si>
    <t xml:space="preserve">                净利润(单季)／净利润(全年)</t>
  </si>
  <si>
    <t>非流动资产</t>
  </si>
  <si>
    <t>资产总额</t>
  </si>
  <si>
    <t>非流动负债</t>
  </si>
  <si>
    <t>负债总额</t>
  </si>
  <si>
    <t>平均资产总额</t>
  </si>
  <si>
    <t>所得税</t>
  </si>
  <si>
    <t>其他收益</t>
  </si>
  <si>
    <t>销售收入</t>
  </si>
  <si>
    <t>成本费用</t>
  </si>
  <si>
    <t>所有者权益</t>
  </si>
  <si>
    <r>
      <rPr>
        <sz val="9"/>
        <color indexed="8"/>
        <rFont val="宋体"/>
        <family val="3"/>
        <charset val="134"/>
      </rPr>
      <t>权益收益率</t>
    </r>
  </si>
  <si>
    <t>总资产收益率</t>
  </si>
  <si>
    <r>
      <rPr>
        <sz val="9"/>
        <color indexed="8"/>
        <rFont val="宋体"/>
        <family val="3"/>
        <charset val="134"/>
      </rPr>
      <t>销售净利率</t>
    </r>
  </si>
  <si>
    <r>
      <rPr>
        <sz val="9"/>
        <color indexed="8"/>
        <rFont val="宋体"/>
        <family val="3"/>
        <charset val="134"/>
      </rPr>
      <t>权益乘数</t>
    </r>
  </si>
  <si>
    <r>
      <rPr>
        <sz val="9"/>
        <color indexed="8"/>
        <rFont val="宋体"/>
        <family val="3"/>
        <charset val="134"/>
      </rPr>
      <t>资产负债率</t>
    </r>
  </si>
  <si>
    <t>报告期</t>
  </si>
  <si>
    <t>投资评级</t>
  </si>
  <si>
    <t>上次评级</t>
  </si>
  <si>
    <t>单位:百万元</t>
  </si>
  <si>
    <t>收盘价</t>
  </si>
  <si>
    <t>会计年度</t>
  </si>
  <si>
    <t>52周内高</t>
  </si>
  <si>
    <r>
      <rPr>
        <sz val="9"/>
        <rFont val="Arial"/>
        <family val="2"/>
      </rPr>
      <t xml:space="preserve">        </t>
    </r>
    <r>
      <rPr>
        <sz val="9"/>
        <rFont val="宋体"/>
        <family val="3"/>
        <charset val="134"/>
      </rPr>
      <t>营业收入</t>
    </r>
  </si>
  <si>
    <t>52周内低</t>
  </si>
  <si>
    <t>应收和预付款项</t>
  </si>
  <si>
    <r>
      <rPr>
        <sz val="9"/>
        <rFont val="Arial"/>
        <family val="2"/>
      </rPr>
      <t xml:space="preserve">  </t>
    </r>
    <r>
      <rPr>
        <sz val="9"/>
        <rFont val="宋体"/>
        <family val="3"/>
        <charset val="134"/>
      </rPr>
      <t>减</t>
    </r>
    <r>
      <rPr>
        <sz val="9"/>
        <rFont val="Arial"/>
        <family val="2"/>
      </rPr>
      <t xml:space="preserve">: </t>
    </r>
    <r>
      <rPr>
        <sz val="9"/>
        <rFont val="宋体"/>
        <family val="3"/>
        <charset val="134"/>
      </rPr>
      <t>营业成本</t>
    </r>
  </si>
  <si>
    <t>总市值(百万元)</t>
  </si>
  <si>
    <r>
      <rPr>
        <sz val="9"/>
        <rFont val="Arial"/>
        <family val="2"/>
      </rPr>
      <t xml:space="preserve">        </t>
    </r>
    <r>
      <rPr>
        <sz val="9"/>
        <rFont val="宋体"/>
        <family val="3"/>
        <charset val="134"/>
      </rPr>
      <t>营业税金及附加</t>
    </r>
  </si>
  <si>
    <t>流通市值(百万元)</t>
  </si>
  <si>
    <r>
      <rPr>
        <sz val="9"/>
        <rFont val="Arial"/>
        <family val="2"/>
      </rPr>
      <t xml:space="preserve">        </t>
    </r>
    <r>
      <rPr>
        <sz val="9"/>
        <rFont val="宋体"/>
        <family val="3"/>
        <charset val="134"/>
      </rPr>
      <t>营业费用</t>
    </r>
  </si>
  <si>
    <t>总股本(百万股)</t>
  </si>
  <si>
    <r>
      <rPr>
        <sz val="9"/>
        <rFont val="Arial"/>
        <family val="2"/>
      </rPr>
      <t xml:space="preserve">        </t>
    </r>
    <r>
      <rPr>
        <sz val="9"/>
        <rFont val="宋体"/>
        <family val="3"/>
        <charset val="134"/>
      </rPr>
      <t>管理费用</t>
    </r>
  </si>
  <si>
    <r>
      <rPr>
        <sz val="9"/>
        <color indexed="63"/>
        <rFont val="Arial"/>
        <family val="2"/>
      </rPr>
      <t>A</t>
    </r>
    <r>
      <rPr>
        <sz val="9"/>
        <color indexed="63"/>
        <rFont val="宋体"/>
        <family val="3"/>
        <charset val="134"/>
      </rPr>
      <t>股</t>
    </r>
    <r>
      <rPr>
        <sz val="9"/>
        <color indexed="63"/>
        <rFont val="Arial"/>
        <family val="2"/>
      </rPr>
      <t>(</t>
    </r>
    <r>
      <rPr>
        <sz val="9"/>
        <color indexed="63"/>
        <rFont val="宋体"/>
        <family val="3"/>
        <charset val="134"/>
      </rPr>
      <t>百万股</t>
    </r>
    <r>
      <rPr>
        <sz val="9"/>
        <color indexed="63"/>
        <rFont val="Arial"/>
        <family val="2"/>
      </rPr>
      <t>)</t>
    </r>
  </si>
  <si>
    <t xml:space="preserve">        财务费用</t>
  </si>
  <si>
    <t>—已流通(百万股)</t>
  </si>
  <si>
    <t>固定资产和在建工程</t>
  </si>
  <si>
    <t>—限售股(百万股)</t>
  </si>
  <si>
    <t>无形资产和开发支出</t>
  </si>
  <si>
    <r>
      <rPr>
        <sz val="9"/>
        <rFont val="Arial"/>
        <family val="2"/>
      </rPr>
      <t xml:space="preserve">  </t>
    </r>
    <r>
      <rPr>
        <sz val="9"/>
        <rFont val="宋体"/>
        <family val="3"/>
        <charset val="134"/>
      </rPr>
      <t>加</t>
    </r>
    <r>
      <rPr>
        <sz val="9"/>
        <rFont val="Arial"/>
        <family val="2"/>
      </rPr>
      <t xml:space="preserve">: </t>
    </r>
    <r>
      <rPr>
        <sz val="9"/>
        <rFont val="宋体"/>
        <family val="3"/>
        <charset val="134"/>
      </rPr>
      <t>投资收益</t>
    </r>
  </si>
  <si>
    <r>
      <rPr>
        <sz val="9"/>
        <color indexed="63"/>
        <rFont val="Arial"/>
        <family val="2"/>
      </rPr>
      <t>B</t>
    </r>
    <r>
      <rPr>
        <sz val="9"/>
        <color indexed="63"/>
        <rFont val="宋体"/>
        <family val="3"/>
        <charset val="134"/>
      </rPr>
      <t>股</t>
    </r>
    <r>
      <rPr>
        <sz val="9"/>
        <color indexed="63"/>
        <rFont val="Arial"/>
        <family val="2"/>
      </rPr>
      <t>(</t>
    </r>
    <r>
      <rPr>
        <sz val="9"/>
        <color indexed="63"/>
        <rFont val="宋体"/>
        <family val="3"/>
        <charset val="134"/>
      </rPr>
      <t>百万股</t>
    </r>
    <r>
      <rPr>
        <sz val="9"/>
        <color indexed="63"/>
        <rFont val="Arial"/>
        <family val="2"/>
      </rPr>
      <t>)</t>
    </r>
  </si>
  <si>
    <t xml:space="preserve">        公允价值变动损益</t>
  </si>
  <si>
    <r>
      <rPr>
        <sz val="9"/>
        <color indexed="63"/>
        <rFont val="Arial"/>
        <family val="2"/>
      </rPr>
      <t>H</t>
    </r>
    <r>
      <rPr>
        <sz val="9"/>
        <rFont val="宋体"/>
        <family val="3"/>
        <charset val="134"/>
      </rPr>
      <t>股</t>
    </r>
    <r>
      <rPr>
        <sz val="9"/>
        <rFont val="Arial"/>
        <family val="2"/>
      </rPr>
      <t>(</t>
    </r>
    <r>
      <rPr>
        <sz val="9"/>
        <rFont val="宋体"/>
        <family val="3"/>
        <charset val="134"/>
      </rPr>
      <t>百万股</t>
    </r>
    <r>
      <rPr>
        <sz val="9"/>
        <rFont val="Arial"/>
        <family val="2"/>
      </rPr>
      <t>)</t>
    </r>
  </si>
  <si>
    <r>
      <rPr>
        <sz val="9"/>
        <rFont val="Arial"/>
        <family val="2"/>
      </rPr>
      <t xml:space="preserve">        </t>
    </r>
    <r>
      <rPr>
        <sz val="9"/>
        <rFont val="宋体"/>
        <family val="3"/>
        <charset val="134"/>
      </rPr>
      <t>其他经营损益</t>
    </r>
  </si>
  <si>
    <r>
      <rPr>
        <sz val="9"/>
        <rFont val="Arial"/>
        <family val="2"/>
      </rPr>
      <t xml:space="preserve">        </t>
    </r>
    <r>
      <rPr>
        <b/>
        <sz val="9"/>
        <rFont val="宋体"/>
        <family val="3"/>
        <charset val="134"/>
      </rPr>
      <t>营业利润</t>
    </r>
  </si>
  <si>
    <t>应付和预收款项</t>
  </si>
  <si>
    <r>
      <rPr>
        <sz val="9"/>
        <rFont val="Arial"/>
        <family val="2"/>
      </rPr>
      <t xml:space="preserve">  </t>
    </r>
    <r>
      <rPr>
        <sz val="9"/>
        <rFont val="宋体"/>
        <family val="3"/>
        <charset val="134"/>
      </rPr>
      <t>加</t>
    </r>
    <r>
      <rPr>
        <sz val="9"/>
        <rFont val="Arial"/>
        <family val="2"/>
      </rPr>
      <t xml:space="preserve">: </t>
    </r>
    <r>
      <rPr>
        <sz val="9"/>
        <rFont val="宋体"/>
        <family val="3"/>
        <charset val="134"/>
      </rPr>
      <t>其他非经营损益</t>
    </r>
  </si>
  <si>
    <t>分析师：</t>
  </si>
  <si>
    <r>
      <rPr>
        <sz val="9"/>
        <rFont val="Arial"/>
        <family val="2"/>
      </rPr>
      <t xml:space="preserve">        </t>
    </r>
    <r>
      <rPr>
        <b/>
        <sz val="9"/>
        <rFont val="宋体"/>
        <family val="3"/>
        <charset val="134"/>
      </rPr>
      <t>利润总额</t>
    </r>
  </si>
  <si>
    <t>其他负债</t>
  </si>
  <si>
    <r>
      <rPr>
        <sz val="9"/>
        <rFont val="Arial"/>
        <family val="2"/>
      </rPr>
      <t xml:space="preserve">  </t>
    </r>
    <r>
      <rPr>
        <sz val="9"/>
        <rFont val="宋体"/>
        <family val="3"/>
        <charset val="134"/>
      </rPr>
      <t>减</t>
    </r>
    <r>
      <rPr>
        <sz val="9"/>
        <rFont val="Arial"/>
        <family val="2"/>
      </rPr>
      <t xml:space="preserve">: </t>
    </r>
    <r>
      <rPr>
        <sz val="9"/>
        <rFont val="宋体"/>
        <family val="3"/>
        <charset val="134"/>
      </rPr>
      <t>所得税</t>
    </r>
  </si>
  <si>
    <r>
      <rPr>
        <sz val="9"/>
        <rFont val="Arial"/>
        <family val="2"/>
      </rPr>
      <t xml:space="preserve">        </t>
    </r>
    <r>
      <rPr>
        <b/>
        <sz val="9"/>
        <rFont val="宋体"/>
        <family val="3"/>
        <charset val="134"/>
      </rPr>
      <t>净利润</t>
    </r>
  </si>
  <si>
    <t xml:space="preserve">  减: 少数股东损益</t>
  </si>
  <si>
    <t xml:space="preserve">        归属母公司股东净利润</t>
  </si>
  <si>
    <t>留存收益</t>
  </si>
  <si>
    <t>归属母公司股东权益</t>
  </si>
  <si>
    <t>主要财务比率</t>
  </si>
  <si>
    <t>收益率</t>
  </si>
  <si>
    <r>
      <rPr>
        <sz val="9"/>
        <rFont val="Arial"/>
        <family val="2"/>
      </rPr>
      <t xml:space="preserve">        </t>
    </r>
    <r>
      <rPr>
        <sz val="9"/>
        <rFont val="宋体"/>
        <family val="3"/>
        <charset val="134"/>
      </rPr>
      <t>毛利率</t>
    </r>
  </si>
  <si>
    <r>
      <rPr>
        <sz val="9"/>
        <rFont val="Arial"/>
        <family val="2"/>
      </rPr>
      <t xml:space="preserve">        </t>
    </r>
    <r>
      <rPr>
        <sz val="9"/>
        <rFont val="宋体"/>
        <family val="3"/>
        <charset val="134"/>
      </rPr>
      <t>三费</t>
    </r>
    <r>
      <rPr>
        <sz val="9"/>
        <rFont val="Arial"/>
        <family val="2"/>
      </rPr>
      <t>/</t>
    </r>
    <r>
      <rPr>
        <sz val="9"/>
        <rFont val="宋体"/>
        <family val="3"/>
        <charset val="134"/>
      </rPr>
      <t>营业收入</t>
    </r>
  </si>
  <si>
    <r>
      <rPr>
        <sz val="9"/>
        <rFont val="Arial"/>
        <family val="2"/>
      </rPr>
      <t xml:space="preserve">        EBIT/</t>
    </r>
    <r>
      <rPr>
        <sz val="9"/>
        <rFont val="宋体"/>
        <family val="3"/>
        <charset val="134"/>
      </rPr>
      <t>营业收入</t>
    </r>
  </si>
  <si>
    <t>折旧摊销</t>
  </si>
  <si>
    <r>
      <rPr>
        <sz val="9"/>
        <rFont val="Arial"/>
        <family val="2"/>
      </rPr>
      <t xml:space="preserve">        EBITDA/</t>
    </r>
    <r>
      <rPr>
        <sz val="9"/>
        <rFont val="宋体"/>
        <family val="3"/>
        <charset val="134"/>
      </rPr>
      <t>营业收入</t>
    </r>
  </si>
  <si>
    <t>净营运资金增加</t>
  </si>
  <si>
    <r>
      <rPr>
        <sz val="9"/>
        <rFont val="Arial"/>
        <family val="2"/>
      </rPr>
      <t xml:space="preserve">        </t>
    </r>
    <r>
      <rPr>
        <sz val="9"/>
        <rFont val="宋体"/>
        <family val="3"/>
        <charset val="134"/>
      </rPr>
      <t>销售净利率</t>
    </r>
  </si>
  <si>
    <t>经营活动产生现金流量净额</t>
  </si>
  <si>
    <t>资产获利率</t>
  </si>
  <si>
    <t>投资活动产生现金流量净额</t>
  </si>
  <si>
    <t xml:space="preserve">        ROE</t>
  </si>
  <si>
    <t>融资活动产生现金流量净额</t>
  </si>
  <si>
    <t xml:space="preserve">        ROA</t>
  </si>
  <si>
    <r>
      <rPr>
        <sz val="9"/>
        <rFont val="Arial"/>
        <family val="2"/>
      </rPr>
      <t>现金净增加额（减）</t>
    </r>
    <r>
      <rPr>
        <sz val="9"/>
        <rFont val="Times New Roman"/>
        <family val="1"/>
      </rPr>
      <t xml:space="preserve"> </t>
    </r>
  </si>
  <si>
    <t xml:space="preserve">        ROIC</t>
  </si>
  <si>
    <t>估值和财务指标汇总</t>
  </si>
  <si>
    <r>
      <rPr>
        <sz val="9"/>
        <rFont val="Arial"/>
        <family val="2"/>
      </rPr>
      <t xml:space="preserve">        </t>
    </r>
    <r>
      <rPr>
        <sz val="9"/>
        <rFont val="宋体"/>
        <family val="3"/>
        <charset val="134"/>
      </rPr>
      <t>销售收入</t>
    </r>
    <r>
      <rPr>
        <sz val="9"/>
        <rFont val="宋体"/>
        <family val="3"/>
        <charset val="134"/>
      </rPr>
      <t>增长率</t>
    </r>
  </si>
  <si>
    <r>
      <rPr>
        <sz val="9"/>
        <rFont val="Arial"/>
        <family val="2"/>
      </rPr>
      <t xml:space="preserve">        EBIT </t>
    </r>
    <r>
      <rPr>
        <sz val="9"/>
        <rFont val="宋体"/>
        <family val="3"/>
        <charset val="134"/>
      </rPr>
      <t>增长率</t>
    </r>
  </si>
  <si>
    <t xml:space="preserve">        EBIT</t>
  </si>
  <si>
    <r>
      <rPr>
        <sz val="9"/>
        <rFont val="Arial"/>
        <family val="2"/>
      </rPr>
      <t xml:space="preserve">        EBITDA </t>
    </r>
    <r>
      <rPr>
        <sz val="9"/>
        <rFont val="宋体"/>
        <family val="3"/>
        <charset val="134"/>
      </rPr>
      <t>增长率</t>
    </r>
  </si>
  <si>
    <t xml:space="preserve">        EBITDA</t>
  </si>
  <si>
    <r>
      <rPr>
        <sz val="9"/>
        <rFont val="Arial"/>
        <family val="2"/>
      </rPr>
      <t xml:space="preserve">        </t>
    </r>
    <r>
      <rPr>
        <sz val="9"/>
        <rFont val="宋体"/>
        <family val="3"/>
        <charset val="134"/>
      </rPr>
      <t>净利润增长率</t>
    </r>
  </si>
  <si>
    <t xml:space="preserve">        NOPLAT</t>
  </si>
  <si>
    <r>
      <rPr>
        <sz val="9"/>
        <rFont val="Arial"/>
        <family val="2"/>
      </rPr>
      <t xml:space="preserve">        </t>
    </r>
    <r>
      <rPr>
        <sz val="9"/>
        <rFont val="宋体"/>
        <family val="3"/>
        <charset val="134"/>
      </rPr>
      <t>总资产增长率</t>
    </r>
  </si>
  <si>
    <r>
      <rPr>
        <sz val="9"/>
        <rFont val="Arial"/>
        <family val="2"/>
      </rPr>
      <t xml:space="preserve">        </t>
    </r>
    <r>
      <rPr>
        <sz val="9"/>
        <rFont val="宋体"/>
        <family val="3"/>
        <charset val="134"/>
      </rPr>
      <t>净利润</t>
    </r>
  </si>
  <si>
    <t xml:space="preserve">        股东权益增长率</t>
  </si>
  <si>
    <t xml:space="preserve">        EPS</t>
  </si>
  <si>
    <t xml:space="preserve">    经营营运资本增长率</t>
  </si>
  <si>
    <t xml:space="preserve">        BPS</t>
  </si>
  <si>
    <t>资本结构</t>
  </si>
  <si>
    <t xml:space="preserve">        PE</t>
  </si>
  <si>
    <r>
      <rPr>
        <sz val="9"/>
        <rFont val="Arial"/>
        <family val="2"/>
      </rPr>
      <t xml:space="preserve">        </t>
    </r>
    <r>
      <rPr>
        <sz val="9"/>
        <rFont val="宋体"/>
        <family val="3"/>
        <charset val="134"/>
      </rPr>
      <t>资产负债率</t>
    </r>
  </si>
  <si>
    <t xml:space="preserve">        PB</t>
  </si>
  <si>
    <r>
      <rPr>
        <sz val="9"/>
        <rFont val="Arial"/>
        <family val="2"/>
      </rPr>
      <t xml:space="preserve">        </t>
    </r>
    <r>
      <rPr>
        <sz val="9"/>
        <rFont val="宋体"/>
        <family val="3"/>
        <charset val="134"/>
      </rPr>
      <t>投资资本</t>
    </r>
    <r>
      <rPr>
        <sz val="9"/>
        <rFont val="Arial"/>
        <family val="2"/>
      </rPr>
      <t>/</t>
    </r>
    <r>
      <rPr>
        <sz val="9"/>
        <rFont val="宋体"/>
        <family val="3"/>
        <charset val="134"/>
      </rPr>
      <t>总资产</t>
    </r>
  </si>
  <si>
    <t xml:space="preserve">        PS</t>
  </si>
  <si>
    <t xml:space="preserve">        带息债务/总负债</t>
  </si>
  <si>
    <t xml:space="preserve">        PCF</t>
  </si>
  <si>
    <r>
      <rPr>
        <sz val="9"/>
        <rFont val="Arial"/>
        <family val="2"/>
      </rPr>
      <t xml:space="preserve">        </t>
    </r>
    <r>
      <rPr>
        <sz val="9"/>
        <rFont val="宋体"/>
        <family val="3"/>
        <charset val="134"/>
      </rPr>
      <t>流动比率</t>
    </r>
  </si>
  <si>
    <t xml:space="preserve">        EV/EBIT</t>
  </si>
  <si>
    <r>
      <rPr>
        <sz val="9"/>
        <rFont val="Arial"/>
        <family val="2"/>
      </rPr>
      <t xml:space="preserve">        </t>
    </r>
    <r>
      <rPr>
        <sz val="9"/>
        <rFont val="宋体"/>
        <family val="3"/>
        <charset val="134"/>
      </rPr>
      <t>速动比率</t>
    </r>
  </si>
  <si>
    <t xml:space="preserve">        EV/EBITDA</t>
  </si>
  <si>
    <r>
      <rPr>
        <sz val="9"/>
        <rFont val="Arial"/>
        <family val="2"/>
      </rPr>
      <t xml:space="preserve">        </t>
    </r>
    <r>
      <rPr>
        <sz val="9"/>
        <rFont val="宋体"/>
        <family val="3"/>
        <charset val="134"/>
      </rPr>
      <t>股利支付率</t>
    </r>
  </si>
  <si>
    <t xml:space="preserve">        EV/NOPLAT</t>
  </si>
  <si>
    <r>
      <rPr>
        <sz val="9"/>
        <rFont val="Arial"/>
        <family val="2"/>
      </rPr>
      <t xml:space="preserve">        </t>
    </r>
    <r>
      <rPr>
        <sz val="9"/>
        <rFont val="宋体"/>
        <family val="3"/>
        <charset val="134"/>
      </rPr>
      <t>收益留存率</t>
    </r>
  </si>
  <si>
    <t xml:space="preserve">        EV/IC</t>
  </si>
  <si>
    <t>资产管理效率</t>
  </si>
  <si>
    <t xml:space="preserve">        ROIC-WACC</t>
  </si>
  <si>
    <r>
      <rPr>
        <sz val="9"/>
        <rFont val="Arial"/>
        <family val="2"/>
      </rPr>
      <t xml:space="preserve">        </t>
    </r>
    <r>
      <rPr>
        <sz val="9"/>
        <rFont val="宋体"/>
        <family val="3"/>
        <charset val="134"/>
      </rPr>
      <t>总资产周转率</t>
    </r>
  </si>
  <si>
    <r>
      <rPr>
        <sz val="9"/>
        <rFont val="Arial"/>
        <family val="2"/>
      </rPr>
      <t xml:space="preserve">        </t>
    </r>
    <r>
      <rPr>
        <sz val="9"/>
        <rFont val="宋体"/>
        <family val="3"/>
        <charset val="134"/>
      </rPr>
      <t>股息率</t>
    </r>
    <r>
      <rPr>
        <sz val="9"/>
        <rFont val="Arial"/>
        <family val="2"/>
      </rPr>
      <t>%</t>
    </r>
  </si>
  <si>
    <r>
      <rPr>
        <sz val="9"/>
        <rFont val="Arial"/>
        <family val="2"/>
      </rPr>
      <t xml:space="preserve">        </t>
    </r>
    <r>
      <rPr>
        <sz val="9"/>
        <rFont val="宋体"/>
        <family val="3"/>
        <charset val="134"/>
      </rPr>
      <t>固定资产周转率</t>
    </r>
  </si>
  <si>
    <r>
      <rPr>
        <sz val="9"/>
        <rFont val="Arial"/>
        <family val="2"/>
      </rPr>
      <t xml:space="preserve">        </t>
    </r>
    <r>
      <rPr>
        <sz val="9"/>
        <rFont val="宋体"/>
        <family val="3"/>
        <charset val="134"/>
      </rPr>
      <t>应收账款周转率</t>
    </r>
  </si>
  <si>
    <r>
      <rPr>
        <sz val="9"/>
        <rFont val="Arial"/>
        <family val="2"/>
      </rPr>
      <t xml:space="preserve">        </t>
    </r>
    <r>
      <rPr>
        <sz val="9"/>
        <rFont val="宋体"/>
        <family val="3"/>
        <charset val="134"/>
      </rPr>
      <t>存货周转率</t>
    </r>
  </si>
  <si>
    <t>p</t>
  </si>
  <si>
    <t>MyFun1</t>
  </si>
  <si>
    <t>$D$21</t>
  </si>
  <si>
    <t>Rect50</t>
  </si>
  <si>
    <t>SPE_DPAOS</t>
  </si>
  <si>
    <t>DEC_BENNIANLDZC</t>
  </si>
  <si>
    <t>MyFun2</t>
  </si>
  <si>
    <t>$D$22</t>
  </si>
  <si>
    <t>Rect49</t>
  </si>
  <si>
    <t>上年同期流动资产</t>
  </si>
  <si>
    <t>DEC_SHANGNIANLDZC</t>
  </si>
  <si>
    <t>MyFun3</t>
  </si>
  <si>
    <t>$D$23</t>
  </si>
  <si>
    <t>Rect29</t>
  </si>
  <si>
    <t>同比流动资产增长</t>
  </si>
  <si>
    <t>DEC_LDZCTB</t>
  </si>
  <si>
    <t>MyFun4</t>
  </si>
  <si>
    <t>$D$24</t>
  </si>
  <si>
    <t>Rect44</t>
  </si>
  <si>
    <t>DEC_BENNIANFLDZC</t>
  </si>
  <si>
    <t>MyFun5</t>
  </si>
  <si>
    <t>$D$25</t>
  </si>
  <si>
    <t>Rect45</t>
  </si>
  <si>
    <t>上年同期非流动资产</t>
  </si>
  <si>
    <t>DEC_SHANGNIANFLDZC</t>
  </si>
  <si>
    <t>MyFun6</t>
  </si>
  <si>
    <t>$D$26</t>
  </si>
  <si>
    <t>Rect28</t>
  </si>
  <si>
    <t>同比非流动资产增长</t>
  </si>
  <si>
    <t>DEC_FLDZCTB</t>
  </si>
  <si>
    <t>MyFun7</t>
  </si>
  <si>
    <t>$D$27</t>
  </si>
  <si>
    <t>Rect24</t>
  </si>
  <si>
    <t>DEC_BENNIANZXZE</t>
  </si>
  <si>
    <t>MyFun8</t>
  </si>
  <si>
    <t>$D$28</t>
  </si>
  <si>
    <t>Rect19</t>
  </si>
  <si>
    <t>上年同期资产总额</t>
  </si>
  <si>
    <t>DEC_SHANGNIANZXZE</t>
  </si>
  <si>
    <t>MyFun9</t>
  </si>
  <si>
    <t>$D$29</t>
  </si>
  <si>
    <t>Rect40</t>
  </si>
  <si>
    <t>同比资产总额增长</t>
  </si>
  <si>
    <t>DEC_ZCZETB</t>
  </si>
  <si>
    <t>MyFun10</t>
  </si>
  <si>
    <t>$D$30</t>
  </si>
  <si>
    <t>Rect37</t>
  </si>
  <si>
    <t>DEC_BENNIANLDFZ</t>
  </si>
  <si>
    <t>MyFun11</t>
  </si>
  <si>
    <t>$D$34</t>
  </si>
  <si>
    <t>Rect21</t>
  </si>
  <si>
    <t>上年同期流动负债</t>
  </si>
  <si>
    <t>DEC_SHANGNIANLDFZ</t>
  </si>
  <si>
    <t>MyFun12</t>
  </si>
  <si>
    <t>$D$35</t>
  </si>
  <si>
    <t>Rect34</t>
  </si>
  <si>
    <t>同比流动负债增长</t>
  </si>
  <si>
    <t>DEC_LDFZTB</t>
  </si>
  <si>
    <t>MyFun13</t>
  </si>
  <si>
    <t>$D$36</t>
  </si>
  <si>
    <t>Rect2</t>
  </si>
  <si>
    <t>DEC_BENNIANFLDFZ</t>
  </si>
  <si>
    <t>2018E</t>
  </si>
  <si>
    <t>MyFun14</t>
  </si>
  <si>
    <t>$D$37</t>
  </si>
  <si>
    <t>Rect5</t>
  </si>
  <si>
    <t>上年同期非流动负债</t>
  </si>
  <si>
    <t>DEC_SHANGNIANFLDFZ</t>
  </si>
  <si>
    <t>MyFun15</t>
  </si>
  <si>
    <t>$D$38</t>
  </si>
  <si>
    <t>Rect10</t>
  </si>
  <si>
    <t>同比非流动负债增长</t>
  </si>
  <si>
    <t>DEC_FLDFZTB</t>
  </si>
  <si>
    <t>MyFun16</t>
  </si>
  <si>
    <t>$D$39</t>
  </si>
  <si>
    <t>Rect11</t>
  </si>
  <si>
    <t>DEC_BENNIANFZZE</t>
  </si>
  <si>
    <t>MyFun17</t>
  </si>
  <si>
    <t>$D$40</t>
  </si>
  <si>
    <t>Rect7</t>
  </si>
  <si>
    <t>上年同期负债总额</t>
  </si>
  <si>
    <t>DEC_SHANGNIANFZZE</t>
  </si>
  <si>
    <t>MyFun18</t>
  </si>
  <si>
    <t>$D$41</t>
  </si>
  <si>
    <t>Rect14</t>
  </si>
  <si>
    <t>同比负债总额增长</t>
  </si>
  <si>
    <t>DEC_FZZETB</t>
  </si>
  <si>
    <t>MyFun19</t>
  </si>
  <si>
    <t>$D$42</t>
  </si>
  <si>
    <t>Rect33</t>
  </si>
  <si>
    <t>DEC_ZCBENNIANPINGJU</t>
  </si>
  <si>
    <t>MyFun20</t>
  </si>
  <si>
    <t>$D$43</t>
  </si>
  <si>
    <t>上年同期平均资产总额</t>
  </si>
  <si>
    <t>DEC_ZCSHANGNIANPINGJU</t>
  </si>
  <si>
    <t>MyFun21</t>
  </si>
  <si>
    <t>$D$44</t>
  </si>
  <si>
    <t>同比平均资产总额增长</t>
  </si>
  <si>
    <t>DEC_PJZCTB</t>
  </si>
  <si>
    <t>MyFun22</t>
  </si>
  <si>
    <t>$D$45</t>
  </si>
  <si>
    <t>DEC_BENNIANJLR</t>
  </si>
  <si>
    <t>n</t>
  </si>
  <si>
    <t>MyFun23</t>
  </si>
  <si>
    <t>$D$46</t>
  </si>
  <si>
    <t>上年同期净利润</t>
  </si>
  <si>
    <t>DEC_SHANGNIANJLR</t>
  </si>
  <si>
    <t>MyFun24</t>
  </si>
  <si>
    <t>$D$47</t>
  </si>
  <si>
    <t>同比净利润增长</t>
  </si>
  <si>
    <t>DEC_JLRTB</t>
  </si>
  <si>
    <t>MyFun25</t>
  </si>
  <si>
    <t>$D$48</t>
  </si>
  <si>
    <t>DEC_BENNIANSDS</t>
  </si>
  <si>
    <t>MyFun26</t>
  </si>
  <si>
    <t>$D$49</t>
  </si>
  <si>
    <t>上年同期所得税</t>
  </si>
  <si>
    <t>DEC_SHANGNIANSDS</t>
  </si>
  <si>
    <t>MyFun27</t>
  </si>
  <si>
    <t>$D$50</t>
  </si>
  <si>
    <t>同比所得税增长</t>
  </si>
  <si>
    <t>DEC_SDSTB</t>
  </si>
  <si>
    <t>MyFun28</t>
  </si>
  <si>
    <t>$D$54</t>
  </si>
  <si>
    <t>销售收入净利率</t>
  </si>
  <si>
    <t>DEC_BENNIANQTSY</t>
  </si>
  <si>
    <t>MyFun29</t>
  </si>
  <si>
    <t>$D$55</t>
  </si>
  <si>
    <t>期间费用／营业收入</t>
  </si>
  <si>
    <t>上年同期其他收益</t>
  </si>
  <si>
    <t>DEC_SHANGNIANQTSY</t>
  </si>
  <si>
    <t>MyFun30</t>
  </si>
  <si>
    <t>$D$56</t>
  </si>
  <si>
    <t>EBIT／销售收入</t>
  </si>
  <si>
    <t>同比其他收益增长</t>
  </si>
  <si>
    <t>DEC_QTSYTB</t>
  </si>
  <si>
    <t>MyFun31</t>
  </si>
  <si>
    <t>$D$57</t>
  </si>
  <si>
    <t>EBITDA／销售收入</t>
  </si>
  <si>
    <t>DEC_BENNIANXSSR</t>
  </si>
  <si>
    <t>MyFun32</t>
  </si>
  <si>
    <t>$D$58</t>
  </si>
  <si>
    <t>投入资本／总资产</t>
  </si>
  <si>
    <t>上年同期销售收入</t>
  </si>
  <si>
    <t>DEC_SHANGNIANXSSR</t>
  </si>
  <si>
    <t>MyFun33</t>
  </si>
  <si>
    <t>$D$59</t>
  </si>
  <si>
    <t>同比销售收入增长</t>
  </si>
  <si>
    <t>DEC_XSSRTB</t>
  </si>
  <si>
    <t>MyFun34</t>
  </si>
  <si>
    <t>$D$60</t>
  </si>
  <si>
    <t>筹资性现金流</t>
  </si>
  <si>
    <t>DEC_BENNIANCBFY</t>
  </si>
  <si>
    <t>MyFun35</t>
  </si>
  <si>
    <t>$D$61</t>
  </si>
  <si>
    <t>投资性现金流</t>
  </si>
  <si>
    <t>上年同期成本费用</t>
  </si>
  <si>
    <t>DEC_SHANGNIANCBFY</t>
  </si>
  <si>
    <t>MyFun36</t>
  </si>
  <si>
    <t>$D$62</t>
  </si>
  <si>
    <t>经营性现金流</t>
  </si>
  <si>
    <t>同比成本费用增长</t>
  </si>
  <si>
    <t>DEC_CBFYTB</t>
  </si>
  <si>
    <t>MyFun37</t>
  </si>
  <si>
    <t>$D$65</t>
  </si>
  <si>
    <t>DEC_SYZQYBENNIANPINJUN</t>
  </si>
  <si>
    <t>MyFun38</t>
  </si>
  <si>
    <t>$D$66</t>
  </si>
  <si>
    <t>上年同期所有者权益</t>
  </si>
  <si>
    <t>DEC_SYZQYSHANGNIANPINGJUN</t>
  </si>
  <si>
    <t>MyFun39</t>
  </si>
  <si>
    <t>$D$67</t>
  </si>
  <si>
    <t>同比所有者权益增长</t>
  </si>
  <si>
    <t>DEC_SYZQY</t>
  </si>
  <si>
    <t>MyFun40</t>
  </si>
  <si>
    <t>$D$68</t>
  </si>
  <si>
    <t>权益收益率</t>
  </si>
  <si>
    <t>DEC_BQQYSYL</t>
  </si>
  <si>
    <t>MyFun41</t>
  </si>
  <si>
    <t>$D$69</t>
  </si>
  <si>
    <t>上年同期权益收益率</t>
  </si>
  <si>
    <t>DEC_SQQYSYL</t>
  </si>
  <si>
    <t>MyFun42</t>
  </si>
  <si>
    <t>$D$70</t>
  </si>
  <si>
    <t>同比权益收益率增长</t>
  </si>
  <si>
    <t>DEC_QYSYL</t>
  </si>
  <si>
    <t>MyFun43</t>
  </si>
  <si>
    <t>$D$71</t>
  </si>
  <si>
    <t>DEC_BQZCSYL</t>
  </si>
  <si>
    <t>MyFun44</t>
  </si>
  <si>
    <t>$D$72</t>
  </si>
  <si>
    <t>上年同期资产收益率</t>
  </si>
  <si>
    <t>DEC_SQZCSYL</t>
  </si>
  <si>
    <t>MyFun45</t>
  </si>
  <si>
    <t>$D$73</t>
  </si>
  <si>
    <t>同比资产收益率增长</t>
  </si>
  <si>
    <t>DEC_ZCSYL</t>
  </si>
  <si>
    <t>MyFun46</t>
  </si>
  <si>
    <t>$D$77</t>
  </si>
  <si>
    <t>DEC_BENNIANXSJJL</t>
  </si>
  <si>
    <t>MyFun47</t>
  </si>
  <si>
    <t>$D$78</t>
  </si>
  <si>
    <t>上年同期销售净利率</t>
  </si>
  <si>
    <t>DEC_SHANGNIANXSJJL</t>
  </si>
  <si>
    <t>MyFun48</t>
  </si>
  <si>
    <t>$D$79</t>
  </si>
  <si>
    <t>同比销售净利率增长</t>
  </si>
  <si>
    <t>DEC_XSJLL</t>
  </si>
  <si>
    <t>MyFun49</t>
  </si>
  <si>
    <t>$D$80</t>
  </si>
  <si>
    <t>DEC_BQZCCZZL</t>
  </si>
  <si>
    <t>MyFun50</t>
  </si>
  <si>
    <t>$D$81</t>
  </si>
  <si>
    <t>上年同期总资产周转率</t>
  </si>
  <si>
    <t>DEC_SQZCCZZL</t>
  </si>
  <si>
    <t>MyFun51</t>
  </si>
  <si>
    <t>$D$84</t>
  </si>
  <si>
    <t>同比总资产周转率增长</t>
  </si>
  <si>
    <t>DED_ZZCZZL</t>
  </si>
  <si>
    <t>MyFun52</t>
  </si>
  <si>
    <t>$D$87</t>
  </si>
  <si>
    <t>DEC_BQQYCS</t>
  </si>
  <si>
    <t>MyFun53</t>
  </si>
  <si>
    <t>$D$88</t>
  </si>
  <si>
    <t>上年同期权益乘数</t>
  </si>
  <si>
    <t>DEC_SQQYCS</t>
  </si>
  <si>
    <t>MyFun54</t>
  </si>
  <si>
    <t>$D$89</t>
  </si>
  <si>
    <t>同比权益乘数增长</t>
  </si>
  <si>
    <t>DEC_QYCS</t>
  </si>
  <si>
    <t>PS(当前股价／每股销售收入)</t>
  </si>
  <si>
    <t>MyFun55</t>
  </si>
  <si>
    <t>$D$90</t>
  </si>
  <si>
    <t>DEC_BENNIANZCFZL</t>
  </si>
  <si>
    <t>MyFun56</t>
  </si>
  <si>
    <t>$D$91</t>
  </si>
  <si>
    <t>上年同期资产负债率</t>
  </si>
  <si>
    <t>DEC_SHANGNIANZCFZL</t>
  </si>
  <si>
    <t>股息率(DPS／当前股价)</t>
  </si>
  <si>
    <t>MyFun57</t>
  </si>
  <si>
    <t>$D$92</t>
  </si>
  <si>
    <t>同比资产负债率增长</t>
  </si>
  <si>
    <t>DEC_ZCFZL</t>
  </si>
  <si>
    <t>MyFun58</t>
  </si>
  <si>
    <t>$D$93</t>
  </si>
  <si>
    <t>MyFun59</t>
  </si>
  <si>
    <t>$D$94</t>
  </si>
  <si>
    <t>MyFun60</t>
  </si>
  <si>
    <t>$D$95</t>
  </si>
  <si>
    <t>EV／EBITDA</t>
  </si>
  <si>
    <t>MyFun61</t>
  </si>
  <si>
    <t>$D$96</t>
  </si>
  <si>
    <t>MyFun62</t>
  </si>
  <si>
    <t>$D$97</t>
  </si>
  <si>
    <t>MyFun63</t>
  </si>
  <si>
    <t>$D$98</t>
  </si>
  <si>
    <t>MyFun64</t>
  </si>
  <si>
    <t>$D$99</t>
  </si>
  <si>
    <t>2461870525.76</t>
  </si>
  <si>
    <t>2779701869.74</t>
  </si>
  <si>
    <t>4101916888.21</t>
  </si>
  <si>
    <t>5950410061.15</t>
  </si>
  <si>
    <t>8279327393.49</t>
  </si>
  <si>
    <t>19060025429.94</t>
  </si>
  <si>
    <t>4980197705.79</t>
  </si>
  <si>
    <t>19744043759.03</t>
  </si>
  <si>
    <t>18777164841.71</t>
  </si>
  <si>
    <t>21997663878.19</t>
  </si>
  <si>
    <t>19732436723.75</t>
  </si>
  <si>
    <t>21646358303.69</t>
  </si>
  <si>
    <t>26301998819.16</t>
  </si>
  <si>
    <t>27514209773.16</t>
  </si>
  <si>
    <t>31066517421.96</t>
  </si>
  <si>
    <t>36340062510.69</t>
  </si>
  <si>
    <t>3397848225.01</t>
  </si>
  <si>
    <t>3135782127.23</t>
  </si>
  <si>
    <t>3444078646.11</t>
  </si>
  <si>
    <t>4002965178.39</t>
  </si>
  <si>
    <t>0</t>
  </si>
  <si>
    <t>1569315196.5</t>
  </si>
  <si>
    <t>1502659046.58</t>
  </si>
  <si>
    <t>1573353129.92</t>
  </si>
  <si>
    <t>1436566027.9</t>
  </si>
  <si>
    <t>1713515822.07</t>
  </si>
  <si>
    <t>1614704781.25</t>
  </si>
  <si>
    <t>1594951120.83</t>
  </si>
  <si>
    <t>1842040637.88</t>
  </si>
  <si>
    <t>2228750649.34</t>
  </si>
  <si>
    <t>3129005513.79</t>
  </si>
  <si>
    <t>3696891933.82</t>
  </si>
  <si>
    <t>2005986015.72</t>
  </si>
  <si>
    <t>1716178446.64</t>
  </si>
  <si>
    <t>52.4656738709957</t>
  </si>
  <si>
    <t>74.2813201882616</t>
  </si>
  <si>
    <t>122.683300458066</t>
  </si>
  <si>
    <t>166.984108918245</t>
  </si>
  <si>
    <t>236.302307812638</t>
  </si>
  <si>
    <t>585.685959254428</t>
  </si>
  <si>
    <t>21.4114727703141</t>
  </si>
  <si>
    <t>231.809800604132</t>
  </si>
  <si>
    <t>126.795776387275</t>
  </si>
  <si>
    <t>15.4125631104116</t>
  </si>
  <si>
    <t>296.217939316124</t>
  </si>
  <si>
    <t>9.63487808210499</t>
  </si>
  <si>
    <t>40.0743884440689</t>
  </si>
  <si>
    <t>25.0778715663507</t>
  </si>
  <si>
    <t>57.4388295621304</t>
  </si>
  <si>
    <t>67.8807215553445</t>
  </si>
  <si>
    <t>.216574033191519</t>
  </si>
  <si>
    <t>8.27920453313696</t>
  </si>
  <si>
    <t>-21.7683880046027</t>
  </si>
  <si>
    <t>-12.4415616848024</t>
  </si>
  <si>
    <t>.25730544310064</t>
  </si>
  <si>
    <t>14.0322434400473</t>
  </si>
  <si>
    <t>204471578.2</t>
  </si>
  <si>
    <t>202010758.53</t>
  </si>
  <si>
    <t>199668251.97</t>
  </si>
  <si>
    <t>232363937.69</t>
  </si>
  <si>
    <t>270646648.97</t>
  </si>
  <si>
    <t>634685837.31</t>
  </si>
  <si>
    <t>994733849.55</t>
  </si>
  <si>
    <t>3989431898.78</t>
  </si>
  <si>
    <t>4003425108.19</t>
  </si>
  <si>
    <t>5287859767.93</t>
  </si>
  <si>
    <t>5399199498.75</t>
  </si>
  <si>
    <t>5339511987.9</t>
  </si>
  <si>
    <t>5387929405.83</t>
  </si>
  <si>
    <t>5405368280.71</t>
  </si>
  <si>
    <t>5422803581.13</t>
  </si>
  <si>
    <t>5504692615.26</t>
  </si>
  <si>
    <t>187784571.3</t>
  </si>
  <si>
    <t>196557062.89</t>
  </si>
  <si>
    <t>196001990.78</t>
  </si>
  <si>
    <t>199940136.54</t>
  </si>
  <si>
    <t>4507648036.09</t>
  </si>
  <si>
    <t>6101476121.21</t>
  </si>
  <si>
    <t>6114251666.79</t>
  </si>
  <si>
    <t>6077271684.9</t>
  </si>
  <si>
    <t>5963371193.39</t>
  </si>
  <si>
    <t>196282290.47</t>
  </si>
  <si>
    <t>198452209.64</t>
  </si>
  <si>
    <t>201308131.56</t>
  </si>
  <si>
    <t>204031748.06</t>
  </si>
  <si>
    <t>139177992.93</t>
  </si>
  <si>
    <t>186086844.86</t>
  </si>
  <si>
    <t>3549235987.31</t>
  </si>
  <si>
    <t>4127563638.61</t>
  </si>
  <si>
    <t>4.1721989846311</t>
  </si>
  <si>
    <t>1.79315155848118</t>
  </si>
  <si>
    <t>13.8861671771142</t>
  </si>
  <si>
    <t>32.3639458122009</t>
  </si>
  <si>
    <t>214.184176094633</t>
  </si>
  <si>
    <t>398.193298000855</t>
  </si>
  <si>
    <t>1616.88943578773</t>
  </si>
  <si>
    <t>1379.2073441241</t>
  </si>
  <si>
    <t>733.146016041831</t>
  </si>
  <si>
    <t>442.778302074721</t>
  </si>
  <si>
    <t>33.8414120951122</t>
  </si>
  <si>
    <t>34.582994816305</t>
  </si>
  <si>
    <t>2.22223201705669</t>
  </si>
  <si>
    <t>3.0935528889966</t>
  </si>
  <si>
    <t>41.2271141090955</t>
  </si>
  <si>
    <t>7.44453036990462</t>
  </si>
  <si>
    <t>27.0033340191163</t>
  </si>
  <si>
    <t>47.8227025777544</t>
  </si>
  <si>
    <t>35.6417275225772</t>
  </si>
  <si>
    <t>-2.26346748026955</t>
  </si>
  <si>
    <t>-.814611698639323</t>
  </si>
  <si>
    <t>.43717744427604</t>
  </si>
  <si>
    <t>2666342103.96</t>
  </si>
  <si>
    <t>2981712628.27</t>
  </si>
  <si>
    <t>4301585140.18</t>
  </si>
  <si>
    <t>6182773998.84</t>
  </si>
  <si>
    <t>8549974042.46</t>
  </si>
  <si>
    <t>19694711267.25</t>
  </si>
  <si>
    <t>5974931555.34</t>
  </si>
  <si>
    <t>23733475657.81</t>
  </si>
  <si>
    <t>22780589949.9</t>
  </si>
  <si>
    <t>27285523646.12</t>
  </si>
  <si>
    <t>25131636222.5</t>
  </si>
  <si>
    <t>26985870291.59</t>
  </si>
  <si>
    <t>31689928224.99</t>
  </si>
  <si>
    <t>32919578053.87</t>
  </si>
  <si>
    <t>36489321003.09</t>
  </si>
  <si>
    <t>41844755125.95</t>
  </si>
  <si>
    <t>3585632796.31</t>
  </si>
  <si>
    <t>3332339190.12</t>
  </si>
  <si>
    <t>3640080636.89</t>
  </si>
  <si>
    <t>4202905314.93</t>
  </si>
  <si>
    <t>6076963232.59</t>
  </si>
  <si>
    <t>7604135167.79</t>
  </si>
  <si>
    <t>7687604796.71</t>
  </si>
  <si>
    <t>7513837712.8</t>
  </si>
  <si>
    <t>7676887015.46</t>
  </si>
  <si>
    <t>1810987071.72</t>
  </si>
  <si>
    <t>1793403330.47</t>
  </si>
  <si>
    <t>2043348769.44</t>
  </si>
  <si>
    <t>2432782397.4</t>
  </si>
  <si>
    <t>3268183506.72</t>
  </si>
  <si>
    <t>3882978778.68</t>
  </si>
  <si>
    <t>5555222003.03</t>
  </si>
  <si>
    <t>5843742085.25</t>
  </si>
  <si>
    <t>47.2314267504748</t>
  </si>
  <si>
    <t>66.2600139974413</t>
  </si>
  <si>
    <t>110.516442641307</t>
  </si>
  <si>
    <t>154.144143982945</t>
  </si>
  <si>
    <t>220.663054818125</t>
  </si>
  <si>
    <t>560.516747339161</t>
  </si>
  <si>
    <t>38.9006926662848</t>
  </si>
  <si>
    <t>283.86451877851</t>
  </si>
  <si>
    <t>166.440457441969</t>
  </si>
  <si>
    <t>38.5423897607102</t>
  </si>
  <si>
    <t>320.617976787349</t>
  </si>
  <si>
    <t>13.7038277944332</t>
  </si>
  <si>
    <t>39.109339550397</t>
  </si>
  <si>
    <t>20.6485112062387</t>
  </si>
  <si>
    <t>45.1927788546518</t>
  </si>
  <si>
    <t>55.061721833706</t>
  </si>
  <si>
    <t>1.96303797715409</t>
  </si>
  <si>
    <t>8.23920382997194</t>
  </si>
  <si>
    <t>9.39190601699491</t>
  </si>
  <si>
    <t>30.1244144053406</t>
  </si>
  <si>
    <t>26.5040531343407</t>
  </si>
  <si>
    <t>.956740590016944</t>
  </si>
  <si>
    <t>953776342.99</t>
  </si>
  <si>
    <t>1267619528.65</t>
  </si>
  <si>
    <t>2557034433.7</t>
  </si>
  <si>
    <t>4298478864.45</t>
  </si>
  <si>
    <t>6529599674.82</t>
  </si>
  <si>
    <t>16795432758.48</t>
  </si>
  <si>
    <t>2626761812.64</t>
  </si>
  <si>
    <t>15034500985.99</t>
  </si>
  <si>
    <t>13957597106.44</t>
  </si>
  <si>
    <t>14361976849.99</t>
  </si>
  <si>
    <t>11938778512.95</t>
  </si>
  <si>
    <t>13838586515.84</t>
  </si>
  <si>
    <t>18436187278.78</t>
  </si>
  <si>
    <t>19564614101.48</t>
  </si>
  <si>
    <t>21391167723.12</t>
  </si>
  <si>
    <t>21744303219.42</t>
  </si>
  <si>
    <t>2621670070.96</t>
  </si>
  <si>
    <t>2405065610.17</t>
  </si>
  <si>
    <t>2671079940.21</t>
  </si>
  <si>
    <t>3004640008.67</t>
  </si>
  <si>
    <t>3638869040.22</t>
  </si>
  <si>
    <t>3203552013.08</t>
  </si>
  <si>
    <t>3046704138.24</t>
  </si>
  <si>
    <t>3070584930.16</t>
  </si>
  <si>
    <t>3146721697.87</t>
  </si>
  <si>
    <t>104090363.91</t>
  </si>
  <si>
    <t>120658011.82</t>
  </si>
  <si>
    <t>376433416.04</t>
  </si>
  <si>
    <t>738047844.89</t>
  </si>
  <si>
    <t>2472814190.71</t>
  </si>
  <si>
    <t>2877790860.03</t>
  </si>
  <si>
    <t>2594772608.83</t>
  </si>
  <si>
    <t>3414669576.26</t>
  </si>
  <si>
    <t>816.296482366674</t>
  </si>
  <si>
    <t>950.588775274252</t>
  </si>
  <si>
    <t>579.279342572576</t>
  </si>
  <si>
    <t>482.411952586983</t>
  </si>
  <si>
    <t>584.604910030617</t>
  </si>
  <si>
    <t>1224.95850520439</t>
  </si>
  <si>
    <t>2.72688462935969</t>
  </si>
  <si>
    <t>249.763287434791</t>
  </si>
  <si>
    <t>113.758848957685</t>
  </si>
  <si>
    <t>-14.4887955165153</t>
  </si>
  <si>
    <t>354.505561010538</t>
  </si>
  <si>
    <t>-7.95446733659082</t>
  </si>
  <si>
    <t>32.0871145526445</t>
  </si>
  <si>
    <t>36.2250775490814</t>
  </si>
  <si>
    <t>79.1738384284204</t>
  </si>
  <si>
    <t>57.1280650269514</t>
  </si>
  <si>
    <t>-2.73973599773576</t>
  </si>
  <si>
    <t>4.40786543601287</t>
  </si>
  <si>
    <t>40.2384558799852</t>
  </si>
  <si>
    <t>-6.18266448524814</t>
  </si>
  <si>
    <t>-16.2733227119435</t>
  </si>
  <si>
    <t>-1.77397822722914</t>
  </si>
  <si>
    <t>5560000</t>
  </si>
  <si>
    <t>5800000</t>
  </si>
  <si>
    <t>4587666.67</t>
  </si>
  <si>
    <t>4505666.67</t>
  </si>
  <si>
    <t>5004666.66</t>
  </si>
  <si>
    <t>522181296.57</t>
  </si>
  <si>
    <t>519851951.71</t>
  </si>
  <si>
    <t>518944865.71</t>
  </si>
  <si>
    <t>523340338.07</t>
  </si>
  <si>
    <t>316103544.7</t>
  </si>
  <si>
    <t>313424605.36</t>
  </si>
  <si>
    <t>313058944.18</t>
  </si>
  <si>
    <t>1832753741.27</t>
  </si>
  <si>
    <t>5420005291.15</t>
  </si>
  <si>
    <t>1982218.63</t>
  </si>
  <si>
    <t>3283928.57</t>
  </si>
  <si>
    <t>3830828.57</t>
  </si>
  <si>
    <t>7144938.51</t>
  </si>
  <si>
    <t>870881112.41</t>
  </si>
  <si>
    <t>1719534060.49</t>
  </si>
  <si>
    <t>1845408473.22</t>
  </si>
  <si>
    <t>1688632531.82</t>
  </si>
  <si>
    <t>1685514424.63</t>
  </si>
  <si>
    <t>1800000</t>
  </si>
  <si>
    <t>2760000</t>
  </si>
  <si>
    <t>2001708.69</t>
  </si>
  <si>
    <t>2000943756.65</t>
  </si>
  <si>
    <t>959979167.53</t>
  </si>
  <si>
    <t>208.888888888889</t>
  </si>
  <si>
    <t>101.449275362319</t>
  </si>
  <si>
    <t>110.144927536232</t>
  </si>
  <si>
    <t>-17.4880095323741</t>
  </si>
  <si>
    <t>-18.962829676259</t>
  </si>
  <si>
    <t>-13.7126437931034</t>
  </si>
  <si>
    <t>11282.2850292216</t>
  </si>
  <si>
    <t>11231.5109641564</t>
  </si>
  <si>
    <t>11417.6044682862</t>
  </si>
  <si>
    <t>10357.0468649355</t>
  </si>
  <si>
    <t>-39.4647899539187</t>
  </si>
  <si>
    <t>-39.7088720492398</t>
  </si>
  <si>
    <t>-39.6739490327773</t>
  </si>
  <si>
    <t>250.20303384771</t>
  </si>
  <si>
    <t>1614.62970979775</t>
  </si>
  <si>
    <t>64.0562678478455</t>
  </si>
  <si>
    <t>260.451587017926</t>
  </si>
  <si>
    <t>-56.476482184185</t>
  </si>
  <si>
    <t>79.1220183365347</t>
  </si>
  <si>
    <t>111.901308562449</t>
  </si>
  <si>
    <t>-1.97842175050058</t>
  </si>
  <si>
    <t>959336342.99</t>
  </si>
  <si>
    <t>1273179528.65</t>
  </si>
  <si>
    <t>2562834433.7</t>
  </si>
  <si>
    <t>4303066531.12</t>
  </si>
  <si>
    <t>6534187341.49</t>
  </si>
  <si>
    <t>16799938425.15</t>
  </si>
  <si>
    <t>2631766479.3</t>
  </si>
  <si>
    <t>15556682282.56</t>
  </si>
  <si>
    <t>14477449058.15</t>
  </si>
  <si>
    <t>14880921715.7</t>
  </si>
  <si>
    <t>12462118851.02</t>
  </si>
  <si>
    <t>14154690060.54</t>
  </si>
  <si>
    <t>18749611884.14</t>
  </si>
  <si>
    <t>19877673045.66</t>
  </si>
  <si>
    <t>23223921464.39</t>
  </si>
  <si>
    <t>27164308510.57</t>
  </si>
  <si>
    <t>2623652289.59</t>
  </si>
  <si>
    <t>2408349538.74</t>
  </si>
  <si>
    <t>2674910768.78</t>
  </si>
  <si>
    <t>3011784947.18</t>
  </si>
  <si>
    <t>4509750152.63</t>
  </si>
  <si>
    <t>4923086073.57</t>
  </si>
  <si>
    <t>4892112611.46</t>
  </si>
  <si>
    <t>4759217461.98</t>
  </si>
  <si>
    <t>4832236122.5</t>
  </si>
  <si>
    <t>105890363.91</t>
  </si>
  <si>
    <t>123418011.82</t>
  </si>
  <si>
    <t>379193416.04</t>
  </si>
  <si>
    <t>743607844.89</t>
  </si>
  <si>
    <t>2474815899.4</t>
  </si>
  <si>
    <t>2879773078.66</t>
  </si>
  <si>
    <t>4595716365.48</t>
  </si>
  <si>
    <t>4374648743.79</t>
  </si>
  <si>
    <t>805.971334469465</t>
  </si>
  <si>
    <t>931.599447985663</t>
  </si>
  <si>
    <t>575.864697352671</t>
  </si>
  <si>
    <t>478.674170894007</t>
  </si>
  <si>
    <t>581.115376190654</t>
  </si>
  <si>
    <t>1219.52627631106</t>
  </si>
  <si>
    <t>2.68968001575044</t>
  </si>
  <si>
    <t>261.525488161832</t>
  </si>
  <si>
    <t>121.564646091838</t>
  </si>
  <si>
    <t>-11.4227603749855</t>
  </si>
  <si>
    <t>373.526771810495</t>
  </si>
  <si>
    <t>-9.01215436913383</t>
  </si>
  <si>
    <t>29.5090855359288</t>
  </si>
  <si>
    <t>33.5782381321731</t>
  </si>
  <si>
    <t>86.3561224381131</t>
  </si>
  <si>
    <t>91.9103024819866</t>
  </si>
  <si>
    <t>-2.68570929563344</t>
  </si>
  <si>
    <t>4.58410662625637</t>
  </si>
  <si>
    <t>-1.87057263794001</t>
  </si>
  <si>
    <t>12.5367169320401</t>
  </si>
  <si>
    <t>8.47857300048016</t>
  </si>
  <si>
    <t>-1.84538620110129</t>
  </si>
  <si>
    <t>2549562250.68</t>
  </si>
  <si>
    <t>2824027366.115</t>
  </si>
  <si>
    <t>3641648884.225</t>
  </si>
  <si>
    <t>5242179569.51</t>
  </si>
  <si>
    <t>7366374020.65</t>
  </si>
  <si>
    <t>14122342654.855</t>
  </si>
  <si>
    <t>12834821411.295</t>
  </si>
  <si>
    <t>14854203606.575</t>
  </si>
  <si>
    <t>23257032803.855</t>
  </si>
  <si>
    <t>25033056798.01</t>
  </si>
  <si>
    <t>26208579934.31</t>
  </si>
  <si>
    <t>26058753257.045</t>
  </si>
  <si>
    <t>29337899258.29</t>
  </si>
  <si>
    <t>32304753139.43</t>
  </si>
  <si>
    <t>34704449528.48</t>
  </si>
  <si>
    <t>39167038064.52</t>
  </si>
  <si>
    <t>3734305787.495</t>
  </si>
  <si>
    <t>3458985993.215</t>
  </si>
  <si>
    <t>3486209913.505</t>
  </si>
  <si>
    <t>3921492975.91</t>
  </si>
  <si>
    <t>5960352658.92</t>
  </si>
  <si>
    <t>6840549200.19</t>
  </si>
  <si>
    <t>7645869982.25</t>
  </si>
  <si>
    <t>7600721254.755</t>
  </si>
  <si>
    <t>7595362364.13</t>
  </si>
  <si>
    <t>1806179046.31</t>
  </si>
  <si>
    <t>1802195201.095</t>
  </si>
  <si>
    <t>1918376049.955</t>
  </si>
  <si>
    <t>2238065583.42</t>
  </si>
  <si>
    <t>3465700425.945</t>
  </si>
  <si>
    <t>3575581142.7</t>
  </si>
  <si>
    <t>5201154313.675</t>
  </si>
  <si>
    <t>5699482044.14</t>
  </si>
  <si>
    <t>41.1577803368233</t>
  </si>
  <si>
    <t>56.6993056245596</t>
  </si>
  <si>
    <t>89.8297721299441</t>
  </si>
  <si>
    <t>134.22814810902</t>
  </si>
  <si>
    <t>188.92701163446</t>
  </si>
  <si>
    <t>400.078109168008</t>
  </si>
  <si>
    <t>252.445329556434</t>
  </si>
  <si>
    <t>183.359305220509</t>
  </si>
  <si>
    <t>215.71886980839</t>
  </si>
  <si>
    <t>77.2585286294841</t>
  </si>
  <si>
    <t>104.199023067401</t>
  </si>
  <si>
    <t>75.4301606954577</t>
  </si>
  <si>
    <t>26.1463554087908</t>
  </si>
  <si>
    <t>29.0483755144041</t>
  </si>
  <si>
    <t>32.4163675234</t>
  </si>
  <si>
    <t>50.3028087267804</t>
  </si>
  <si>
    <t>-.193739559245637</t>
  </si>
  <si>
    <t>9.67428284815246</t>
  </si>
  <si>
    <t>14.5967279465041</t>
  </si>
  <si>
    <t>20.0205412915232</t>
  </si>
  <si>
    <t>28.2788187173376</t>
  </si>
  <si>
    <t>11.0343941962881</t>
  </si>
  <si>
    <t>17831208.46</t>
  </si>
  <si>
    <t>32809580.66</t>
  </si>
  <si>
    <t>62590887.52</t>
  </si>
  <si>
    <t>165668861.84</t>
  </si>
  <si>
    <t>198756467.93</t>
  </si>
  <si>
    <t>1041890078.07</t>
  </si>
  <si>
    <t>1475409774.98</t>
  </si>
  <si>
    <t>1848513821.56</t>
  </si>
  <si>
    <t>116856318.12</t>
  </si>
  <si>
    <t>336498120.93</t>
  </si>
  <si>
    <t>574414275.49</t>
  </si>
  <si>
    <t>712434076.3</t>
  </si>
  <si>
    <t>100048135.96</t>
  </si>
  <si>
    <t>259220434.61</t>
  </si>
  <si>
    <t>634844279.53</t>
  </si>
  <si>
    <t>4834712.61</t>
  </si>
  <si>
    <t>99721256.41</t>
  </si>
  <si>
    <t>140310431.12</t>
  </si>
  <si>
    <t>320536319.3</t>
  </si>
  <si>
    <t>36699491.73</t>
  </si>
  <si>
    <t>102697774.25</t>
  </si>
  <si>
    <t>86666145.04</t>
  </si>
  <si>
    <t>95809777.45</t>
  </si>
  <si>
    <t>137853414.03</t>
  </si>
  <si>
    <t>433519696.91</t>
  </si>
  <si>
    <t>237916154.56</t>
  </si>
  <si>
    <t>196983691.4</t>
  </si>
  <si>
    <t>-14904208.75</t>
  </si>
  <si>
    <t>-16861800.27</t>
  </si>
  <si>
    <t>4997731.23</t>
  </si>
  <si>
    <t>4607474.94</t>
  </si>
  <si>
    <t>68829673.83</t>
  </si>
  <si>
    <t>125787862.95</t>
  </si>
  <si>
    <t>234914657.38</t>
  </si>
  <si>
    <t>1880398.9</t>
  </si>
  <si>
    <t>24017857.07</t>
  </si>
  <si>
    <t>49256269.33</t>
  </si>
  <si>
    <t>-6276167.61</t>
  </si>
  <si>
    <t>29781306.86</t>
  </si>
  <si>
    <t>-219.638746068959</t>
  </si>
  <si>
    <t>-294.579345826874</t>
  </si>
  <si>
    <t>3214.88137748456</t>
  </si>
  <si>
    <t>1014.65506320484</t>
  </si>
  <si>
    <t>3075.56657875919</t>
  </si>
  <si>
    <t>1015.78832680414</t>
  </si>
  <si>
    <t>-41.2062815680768</t>
  </si>
  <si>
    <t>-67.703107265084</t>
  </si>
  <si>
    <t>-61.4590884855402</t>
  </si>
  <si>
    <t>-14.3836314804473</t>
  </si>
  <si>
    <t>-22.9652653353377</t>
  </si>
  <si>
    <t>-10.8908037039665</t>
  </si>
  <si>
    <t>4.93193501775183</t>
  </si>
  <si>
    <t>44.8811985602286</t>
  </si>
  <si>
    <t>11.5452857131158</t>
  </si>
  <si>
    <t>36.4479862069644</t>
  </si>
  <si>
    <t>1851.68651343074</t>
  </si>
  <si>
    <t>327.589247245029</t>
  </si>
  <si>
    <t>136.150804696717</t>
  </si>
  <si>
    <t>94.5128584710863</t>
  </si>
  <si>
    <t>34.2321340815232</t>
  </si>
  <si>
    <t>-1097.27877598858</t>
  </si>
  <si>
    <t>1355.67721036537</t>
  </si>
  <si>
    <t>-83.8745710788567</t>
  </si>
  <si>
    <t>-65.7070341380418</t>
  </si>
  <si>
    <t>4106695.83</t>
  </si>
  <si>
    <t>6432458.11</t>
  </si>
  <si>
    <t>14044373.57</t>
  </si>
  <si>
    <t>31584938.56</t>
  </si>
  <si>
    <t>36454703.53</t>
  </si>
  <si>
    <t>185259382.56</t>
  </si>
  <si>
    <t>261824756.07</t>
  </si>
  <si>
    <t>322412515.04</t>
  </si>
  <si>
    <t>31884787.47</t>
  </si>
  <si>
    <t>59348004.06</t>
  </si>
  <si>
    <t>89614971.6</t>
  </si>
  <si>
    <t>85741779.79</t>
  </si>
  <si>
    <t>16276669.82</t>
  </si>
  <si>
    <t>23065657.33</t>
  </si>
  <si>
    <t>44239500.94</t>
  </si>
  <si>
    <t>2257757.86</t>
  </si>
  <si>
    <t>5186757.66</t>
  </si>
  <si>
    <t>9686144.01</t>
  </si>
  <si>
    <t>2450748.28</t>
  </si>
  <si>
    <t>9948325.22</t>
  </si>
  <si>
    <t>18609821.7</t>
  </si>
  <si>
    <t>11116992.73</t>
  </si>
  <si>
    <t>18170883.66</t>
  </si>
  <si>
    <t>19746713.97</t>
  </si>
  <si>
    <t>76565373.51</t>
  </si>
  <si>
    <t>30266967.54</t>
  </si>
  <si>
    <t>24618257.18</t>
  </si>
  <si>
    <t>5874.31</t>
  </si>
  <si>
    <t>-3033965.58</t>
  </si>
  <si>
    <t>-20889.96</t>
  </si>
  <si>
    <t>1499748.56</t>
  </si>
  <si>
    <t>14735285.76</t>
  </si>
  <si>
    <t>11039463.41</t>
  </si>
  <si>
    <t>20391801.31</t>
  </si>
  <si>
    <t>4820070.36</t>
  </si>
  <si>
    <t>17413543.42</t>
  </si>
  <si>
    <t>16444439.84</t>
  </si>
  <si>
    <t>-146280.61</t>
  </si>
  <si>
    <t>7611915.46</t>
  </si>
  <si>
    <t>69809.4162548452</t>
  </si>
  <si>
    <t>-312.014867683502</t>
  </si>
  <si>
    <t>-151296.740252255</t>
  </si>
  <si>
    <t>787.689398949228</t>
  </si>
  <si>
    <t>2780.07134118748</t>
  </si>
  <si>
    <t>920.779300955525</t>
  </si>
  <si>
    <t>-12.5358749831534</t>
  </si>
  <si>
    <t>-67.9649131720608</t>
  </si>
  <si>
    <t>-73.406187480234</t>
  </si>
  <si>
    <t>-48.9516126293314</t>
  </si>
  <si>
    <t>-61.1349063960416</t>
  </si>
  <si>
    <t>-48.4037991182921</t>
  </si>
  <si>
    <t>50.5424255916605</t>
  </si>
  <si>
    <t>-64.8004270532722</t>
  </si>
  <si>
    <t>-12.258923733323</t>
  </si>
  <si>
    <t>-87.981697924851</t>
  </si>
  <si>
    <t>106.393775961395</t>
  </si>
  <si>
    <t>6.8698153566266</t>
  </si>
  <si>
    <t>11.747379424735</t>
  </si>
  <si>
    <t>10.4986477909727</t>
  </si>
  <si>
    <t>6.1090981328424</t>
  </si>
  <si>
    <t>-9700.98099809674</t>
  </si>
  <si>
    <t>905.862110691387</t>
  </si>
  <si>
    <t>-88.4399901696431</t>
  </si>
  <si>
    <t>-72.5288567965132</t>
  </si>
  <si>
    <t>-416613</t>
  </si>
  <si>
    <t>1476173</t>
  </si>
  <si>
    <t>3367416</t>
  </si>
  <si>
    <t>-265248</t>
  </si>
  <si>
    <t>10083947</t>
  </si>
  <si>
    <t>15990860</t>
  </si>
  <si>
    <t>121460213</t>
  </si>
  <si>
    <t>-49869830</t>
  </si>
  <si>
    <t>5717919</t>
  </si>
  <si>
    <t>97785600</t>
  </si>
  <si>
    <t>151595863</t>
  </si>
  <si>
    <t>33889632</t>
  </si>
  <si>
    <t>80717476</t>
  </si>
  <si>
    <t>204463483</t>
  </si>
  <si>
    <t>3963757</t>
  </si>
  <si>
    <t>7102818</t>
  </si>
  <si>
    <t>7979708</t>
  </si>
  <si>
    <t>27563411</t>
  </si>
  <si>
    <t>21561270</t>
  </si>
  <si>
    <t>38243369</t>
  </si>
  <si>
    <t>42997916</t>
  </si>
  <si>
    <t>58393988</t>
  </si>
  <si>
    <t>68823760</t>
  </si>
  <si>
    <t>5906912</t>
  </si>
  <si>
    <t>92067681</t>
  </si>
  <si>
    <t>52797551</t>
  </si>
  <si>
    <t>2764200</t>
  </si>
  <si>
    <t>8363214</t>
  </si>
  <si>
    <t>2899126</t>
  </si>
  <si>
    <t>4317856</t>
  </si>
  <si>
    <t>11796828</t>
  </si>
  <si>
    <t>24249603</t>
  </si>
  <si>
    <t>14699258</t>
  </si>
  <si>
    <t>33302572</t>
  </si>
  <si>
    <t>33754291</t>
  </si>
  <si>
    <t>871631</t>
  </si>
  <si>
    <t>-46.5967375732581</t>
  </si>
  <si>
    <t>-59.735385307544</t>
  </si>
  <si>
    <t>-36.3321386022477</t>
  </si>
  <si>
    <t>583.114202510332</t>
  </si>
  <si>
    <t>3506.92656410758</t>
  </si>
  <si>
    <t>18701.1858359744</t>
  </si>
  <si>
    <t>-43.2968130313351</t>
  </si>
  <si>
    <t>24.8111286345403</t>
  </si>
  <si>
    <t>-167.956181166472</t>
  </si>
  <si>
    <t>1311.65814178272</t>
  </si>
  <si>
    <t>34.8740522519208</t>
  </si>
  <si>
    <t>36.7224720884962</t>
  </si>
  <si>
    <t>64.4987238076824</t>
  </si>
  <si>
    <t>-32.3571664599775</t>
  </si>
  <si>
    <t>13.6654140429818</t>
  </si>
  <si>
    <t>46.6827126512428</t>
  </si>
  <si>
    <t>14.8360838705407</t>
  </si>
  <si>
    <t>99.4219993159373</t>
  </si>
  <si>
    <t>72.9972318485071</t>
  </si>
  <si>
    <t>79.9625957592368</t>
  </si>
  <si>
    <t>69.3574826395364</t>
  </si>
  <si>
    <t>475.75191104046</t>
  </si>
  <si>
    <t>-46.0068238938969</t>
  </si>
  <si>
    <t>109162147.57</t>
  </si>
  <si>
    <t>200151647.71</t>
  </si>
  <si>
    <t>331555378.25</t>
  </si>
  <si>
    <t>612007004.55</t>
  </si>
  <si>
    <t>383422506.21</t>
  </si>
  <si>
    <t>1569961925.43</t>
  </si>
  <si>
    <t>2294607942.75</t>
  </si>
  <si>
    <t>2925879408.31</t>
  </si>
  <si>
    <t>601246725.26</t>
  </si>
  <si>
    <t>1165821481.62</t>
  </si>
  <si>
    <t>1747531658.15</t>
  </si>
  <si>
    <t>2351818010.17</t>
  </si>
  <si>
    <t>535921524.71</t>
  </si>
  <si>
    <t>1093917464.35</t>
  </si>
  <si>
    <t>2546785181.27</t>
  </si>
  <si>
    <t>967411190.48</t>
  </si>
  <si>
    <t>2064375110.64</t>
  </si>
  <si>
    <t>3103283969.17</t>
  </si>
  <si>
    <t>4850411290.27</t>
  </si>
  <si>
    <t>1053575103.4</t>
  </si>
  <si>
    <t>2269067455.33</t>
  </si>
  <si>
    <t>1293915235.48</t>
  </si>
  <si>
    <t>1917896974</t>
  </si>
  <si>
    <t>2779004649.9</t>
  </si>
  <si>
    <t>724646017.32</t>
  </si>
  <si>
    <t>581710176.53</t>
  </si>
  <si>
    <t>671254212</t>
  </si>
  <si>
    <t>32867669.22</t>
  </si>
  <si>
    <t>77161090.63</t>
  </si>
  <si>
    <t>248474867.84</t>
  </si>
  <si>
    <t>871131182.78</t>
  </si>
  <si>
    <t>1890820751.5</t>
  </si>
  <si>
    <t>2680535867.8</t>
  </si>
  <si>
    <t>4307560219.3</t>
  </si>
  <si>
    <t>1094095390.55</t>
  </si>
  <si>
    <t>2056373597.21</t>
  </si>
  <si>
    <t>1630940261.88</t>
  </si>
  <si>
    <t>64530060.75</t>
  </si>
  <si>
    <t>131403730.54</t>
  </si>
  <si>
    <t>232.126220570501</t>
  </si>
  <si>
    <t>159.394529128366</t>
  </si>
  <si>
    <t>146.305394935994</t>
  </si>
  <si>
    <t>251.241263336388</t>
  </si>
  <si>
    <t>684.386210851844</t>
  </si>
  <si>
    <t>378.079398856122</t>
  </si>
  <si>
    <t>56.8104937822033</t>
  </si>
  <si>
    <t>-25.7420538207835</t>
  </si>
  <si>
    <t>-19.620131865639</t>
  </si>
  <si>
    <t>-10.8649573969407</t>
  </si>
  <si>
    <t>-6.16766961354012</t>
  </si>
  <si>
    <t>8.29006199701256</t>
  </si>
  <si>
    <t>11.0522972433091</t>
  </si>
  <si>
    <t>9.1787843454922</t>
  </si>
  <si>
    <t>15.7710294590075</t>
  </si>
  <si>
    <t>12.6022862904565</t>
  </si>
  <si>
    <t>-3.70354244245838</t>
  </si>
  <si>
    <t>10.3431525481836</t>
  </si>
  <si>
    <t>22.8118651726295</t>
  </si>
  <si>
    <t>17.5945568839672</t>
  </si>
  <si>
    <t>22.4734259606151</t>
  </si>
  <si>
    <t>413.799885505299</t>
  </si>
  <si>
    <t>451.465330810691</t>
  </si>
  <si>
    <t>-74.6488205809641</t>
  </si>
  <si>
    <t>-61.5884376761098</t>
  </si>
  <si>
    <t>86807630.7</t>
  </si>
  <si>
    <t>162385781.92</t>
  </si>
  <si>
    <t>256396290.14</t>
  </si>
  <si>
    <t>418120619.89</t>
  </si>
  <si>
    <t>147946086.43</t>
  </si>
  <si>
    <t>352896412.08</t>
  </si>
  <si>
    <t>573364271.46</t>
  </si>
  <si>
    <t>876413284.56</t>
  </si>
  <si>
    <t>402635790.1</t>
  </si>
  <si>
    <t>775693276.11</t>
  </si>
  <si>
    <t>1181288011.2</t>
  </si>
  <si>
    <t>1705238016.58</t>
  </si>
  <si>
    <t>453486350.66</t>
  </si>
  <si>
    <t>892348848.29</t>
  </si>
  <si>
    <t>2072164883.6</t>
  </si>
  <si>
    <t>964282477.17</t>
  </si>
  <si>
    <t>1966569915.03</t>
  </si>
  <si>
    <t>2961267102.51</t>
  </si>
  <si>
    <t>4554987633.98</t>
  </si>
  <si>
    <t>1028488556.78</t>
  </si>
  <si>
    <t>2186003228.87</t>
  </si>
  <si>
    <t>1239130014.08</t>
  </si>
  <si>
    <t>1862310301.31</t>
  </si>
  <si>
    <t>2690228282.34</t>
  </si>
  <si>
    <t>220467859.38</t>
  </si>
  <si>
    <t>405594735.09</t>
  </si>
  <si>
    <t>502449814.71</t>
  </si>
  <si>
    <t>47766003.66</t>
  </si>
  <si>
    <t>99821056.48</t>
  </si>
  <si>
    <t>251861240.19</t>
  </si>
  <si>
    <t>867923085.59</t>
  </si>
  <si>
    <t>1811573648.18</t>
  </si>
  <si>
    <t>2555505369.06</t>
  </si>
  <si>
    <t>4076503363.29</t>
  </si>
  <si>
    <t>1102094179.26</t>
  </si>
  <si>
    <t>2048244768.7</t>
  </si>
  <si>
    <t>1598993843.34</t>
  </si>
  <si>
    <t>71824140.36</t>
  </si>
  <si>
    <t>94010508.22</t>
  </si>
  <si>
    <t>81.7351757494715</t>
  </si>
  <si>
    <t>62.6768816582655</t>
  </si>
  <si>
    <t>66.0122929493147</t>
  </si>
  <si>
    <t>70.4298173294113</t>
  </si>
  <si>
    <t>117.319772647248</t>
  </si>
  <si>
    <t>109.607764570561</t>
  </si>
  <si>
    <t>172.150348695101</t>
  </si>
  <si>
    <t>119.80764030385</t>
  </si>
  <si>
    <t>94.5700785943824</t>
  </si>
  <si>
    <t>12.6294188967579</t>
  </si>
  <si>
    <t>15.038878867819</t>
  </si>
  <si>
    <t>21.5176335181585</t>
  </si>
  <si>
    <t>11.1022961803691</t>
  </si>
  <si>
    <t>8.55589100701024</t>
  </si>
  <si>
    <t>15.8779448622036</t>
  </si>
  <si>
    <t>11.7376150109154</t>
  </si>
  <si>
    <t>-6.67870531077684</t>
  </si>
  <si>
    <t>6.72568348642403</t>
  </si>
  <si>
    <t>20.4806806951239</t>
  </si>
  <si>
    <t>16.4676342605536</t>
  </si>
  <si>
    <t>23.0660708461372</t>
  </si>
  <si>
    <t>256.977875203072</t>
  </si>
  <si>
    <t>134.514059709229</t>
  </si>
  <si>
    <t>-29.2605494832798</t>
  </si>
  <si>
    <t>-57.4659346453884</t>
  </si>
  <si>
    <t>1698090156.74</t>
  </si>
  <si>
    <t>1707769430.295</t>
  </si>
  <si>
    <t>1723641903.05</t>
  </si>
  <si>
    <t>1809229087.1</t>
  </si>
  <si>
    <t>1947747084.345</t>
  </si>
  <si>
    <t>2455279771.535</t>
  </si>
  <si>
    <t>3118968959.07</t>
  </si>
  <si>
    <t>5759979225.645</t>
  </si>
  <si>
    <t>8239967133.5</t>
  </si>
  <si>
    <t>10353871411.085</t>
  </si>
  <si>
    <t>12537059650.95</t>
  </si>
  <si>
    <t>12750348801.265</t>
  </si>
  <si>
    <t>12885748285.95</t>
  </si>
  <si>
    <t>12991110674.53</t>
  </si>
  <si>
    <t>13153652273.455</t>
  </si>
  <si>
    <t>13972923077.04</t>
  </si>
  <si>
    <t>982593103.37</t>
  </si>
  <si>
    <t>942985079.05</t>
  </si>
  <si>
    <t>944579759.745</t>
  </si>
  <si>
    <t>1078145117.93</t>
  </si>
  <si>
    <t>1518153210.71</t>
  </si>
  <si>
    <t>2124131087.09</t>
  </si>
  <si>
    <t>2738270639.735</t>
  </si>
  <si>
    <t>2775056218.035</t>
  </si>
  <si>
    <t>2799635571.89</t>
  </si>
  <si>
    <t>1712325711.005</t>
  </si>
  <si>
    <t>1687541013.23</t>
  </si>
  <si>
    <t>1667070336.025</t>
  </si>
  <si>
    <t>1676664952.955</t>
  </si>
  <si>
    <t>838508235.725</t>
  </si>
  <si>
    <t>898286653.67</t>
  </si>
  <si>
    <t>895887233.47</t>
  </si>
  <si>
    <t>1214299489.505</t>
  </si>
  <si>
    <t>1.19869187808848</t>
  </si>
  <si>
    <t>3.39347211707279</t>
  </si>
  <si>
    <t>7.90641767225857</t>
  </si>
  <si>
    <t>14.702218643343</t>
  </si>
  <si>
    <t>43.7711513029528</t>
  </si>
  <si>
    <t>80.952258908939</t>
  </si>
  <si>
    <t>218.366494697343</t>
  </si>
  <si>
    <t>323.051185635376</t>
  </si>
  <si>
    <t>321.69823297212</t>
  </si>
  <si>
    <t>301.961667957357</t>
  </si>
  <si>
    <t>121.361020617869</t>
  </si>
  <si>
    <t>56.3810641132577</t>
  </si>
  <si>
    <t>25.4710451650146</t>
  </si>
  <si>
    <t>4.91815975732617</t>
  </si>
  <si>
    <t>9.58855553546664</t>
  </si>
  <si>
    <t>12.4598470084991</t>
  </si>
  <si>
    <t>20.0223907953189</t>
  </si>
  <si>
    <t>69.4580694971849</t>
  </si>
  <si>
    <t>74.926458048326</t>
  </si>
  <si>
    <t>80.3685306869906</t>
  </si>
  <si>
    <t>31.8014499625549</t>
  </si>
  <si>
    <t>-.831357852861116</t>
  </si>
  <si>
    <t>1.05007430784667</t>
  </si>
  <si>
    <t>1.9211949855744</t>
  </si>
  <si>
    <t>3.63131619214205</t>
  </si>
  <si>
    <t>9.156875877203</t>
  </si>
  <si>
    <t>10.204428979897</t>
  </si>
  <si>
    <t>42.4346785302853</t>
  </si>
  <si>
    <t>47.3044071403625</t>
  </si>
  <si>
    <t>32.0923695927567</t>
  </si>
  <si>
    <t>1.41816485705282</t>
  </si>
  <si>
    <t>3.24997392347118</t>
  </si>
  <si>
    <t>4.58173041751838</t>
  </si>
  <si>
    <t>5.58756538667646</t>
  </si>
  <si>
    <t>1.9953677641914</t>
  </si>
  <si>
    <t>4.54338921090292</t>
  </si>
  <si>
    <t>.492036082221459</t>
  </si>
  <si>
    <t>10.5750619628534</t>
  </si>
  <si>
    <t>14.8542703432348</t>
  </si>
  <si>
    <t>29.7303502069757</t>
  </si>
  <si>
    <t>2.4173773418321</t>
  </si>
  <si>
    <t>4.8348133914227</t>
  </si>
  <si>
    <t>3.16499559183044</t>
  </si>
  <si>
    <t>3.45253464875181</t>
  </si>
  <si>
    <t>4.92397708523674</t>
  </si>
  <si>
    <t>13.8994553199806</t>
  </si>
  <si>
    <t>1.89770297967731</t>
  </si>
  <si>
    <t>.776424727069111</t>
  </si>
  <si>
    <t>1.49755890839176</t>
  </si>
  <si>
    <t>8.20858649891348</t>
  </si>
  <si>
    <t>26.1514135181952</t>
  </si>
  <si>
    <t>.209892364769697</t>
  </si>
  <si>
    <t>1.9779187323706</t>
  </si>
  <si>
    <t>-.870407344479597</t>
  </si>
  <si>
    <t>-.999193509242543</t>
  </si>
  <si>
    <t>-.376478872808992</t>
  </si>
  <si>
    <t>.298075725933906</t>
  </si>
  <si>
    <t>1.72781288313435</t>
  </si>
  <si>
    <t>1.92048165232627</t>
  </si>
  <si>
    <t>2.92038849481694</t>
  </si>
  <si>
    <t>8.8588001512691</t>
  </si>
  <si>
    <t>9.15435467205033</t>
  </si>
  <si>
    <t>40.5134835447109</t>
  </si>
  <si>
    <t>22.9354937155537</t>
  </si>
  <si>
    <t>-8.78626412284417</t>
  </si>
  <si>
    <t>-39.1847046068141</t>
  </si>
  <si>
    <t>-26.5048042060803</t>
  </si>
  <si>
    <t>-1.25460615927978</t>
  </si>
  <si>
    <t>-1.04417617577354</t>
  </si>
  <si>
    <t>2.36647546393996</t>
  </si>
  <si>
    <t>3.57893668878045</t>
  </si>
  <si>
    <t>2.2074849770624</t>
  </si>
  <si>
    <t>2.8568946590521</t>
  </si>
  <si>
    <t>.747618249998347</t>
  </si>
  <si>
    <t>.089163693814029</t>
  </si>
  <si>
    <t>4.00779506495104</t>
  </si>
  <si>
    <t>12.1716424368463</t>
  </si>
  <si>
    <t>-45.4067041606852</t>
  </si>
  <si>
    <t>-.641740129983714</t>
  </si>
  <si>
    <t>-3.08417150912663</t>
  </si>
  <si>
    <t>1.16180108782501</t>
  </si>
  <si>
    <t>1.71875129947681</t>
  </si>
  <si>
    <t>3.16030497702858</t>
  </si>
  <si>
    <t>2.69815878711602</t>
  </si>
  <si>
    <t>7.37760089479076</t>
  </si>
  <si>
    <t>11.4953666101002</t>
  </si>
  <si>
    <t>12.4443818768028</t>
  </si>
  <si>
    <t>1.3442150658834</t>
  </si>
  <si>
    <t>2.19170316335234</t>
  </si>
  <si>
    <t>2.73395303786221</t>
  </si>
  <si>
    <t>1.6208636417291</t>
  </si>
  <si>
    <t>.129467507084982</t>
  </si>
  <si>
    <t>2.88296213415171</t>
  </si>
  <si>
    <t>4.02472698435228</t>
  </si>
  <si>
    <t>8.17383382474676</t>
  </si>
  <si>
    <t>.615726850911702</t>
  </si>
  <si>
    <t>1.50130890436615</t>
  </si>
  <si>
    <t>1.13350273077095</t>
  </si>
  <si>
    <t>1.26053533919642</t>
  </si>
  <si>
    <t>1.81496823220745</t>
  </si>
  <si>
    <t>.699383137448172</t>
  </si>
  <si>
    <t>3.37768390394969</t>
  </si>
  <si>
    <t>.502455833921472</t>
  </si>
  <si>
    <t>.90777964756702</t>
  </si>
  <si>
    <t>.341020108765045</t>
  </si>
  <si>
    <t>.802421964010011</t>
  </si>
  <si>
    <t>.567603561146667</t>
  </si>
  <si>
    <t>1.98602491186849</t>
  </si>
  <si>
    <t>6.56997136981796</t>
  </si>
  <si>
    <t>.036153491832688</t>
  </si>
  <si>
    <t>.421404206276854</t>
  </si>
  <si>
    <t>-.825178920132481</t>
  </si>
  <si>
    <t>-.935625633658047</t>
  </si>
  <si>
    <t>-.327160444384573</t>
  </si>
  <si>
    <t>.223305843538461</t>
  </si>
  <si>
    <t>.817797316732196</t>
  </si>
  <si>
    <t>1.52456205758065</t>
  </si>
  <si>
    <t>2.09742672148306</t>
  </si>
  <si>
    <t>2.93699913349012</t>
  </si>
  <si>
    <t>1.99877564966785</t>
  </si>
  <si>
    <t>6.21579980696575</t>
  </si>
  <si>
    <t>9.28407689977417</t>
  </si>
  <si>
    <t>-2.19570295319455</t>
  </si>
  <si>
    <t>-6.03338582890736</t>
  </si>
  <si>
    <t>-9.71042883894054</t>
  </si>
  <si>
    <t>-1.11308939613312</t>
  </si>
  <si>
    <t>.896937222283225</t>
  </si>
  <si>
    <t>1.6038624549288</t>
  </si>
  <si>
    <t>.579573359079014</t>
  </si>
  <si>
    <t>1.0799046980893</t>
  </si>
  <si>
    <t>.517775879859247</t>
  </si>
  <si>
    <t>.313659327841296</t>
  </si>
  <si>
    <t>2.04591174386138</t>
  </si>
  <si>
    <t>2.5598865872175</t>
  </si>
  <si>
    <t>-10.5875869625332</t>
  </si>
  <si>
    <t>-.161435725156427</t>
  </si>
  <si>
    <t>-.541793101873393</t>
  </si>
  <si>
    <t>-1.62409960220568</t>
  </si>
  <si>
    <t>16.3346076061446</t>
  </si>
  <si>
    <t>16.3923610099567</t>
  </si>
  <si>
    <t>18.8779587441363</t>
  </si>
  <si>
    <t>27.0697656412959</t>
  </si>
  <si>
    <t>51.8374546905552</t>
  </si>
  <si>
    <t>66.3640347701193</t>
  </si>
  <si>
    <t>64.298991888426</t>
  </si>
  <si>
    <t>63.1780590925895</t>
  </si>
  <si>
    <t>19.4356681226775</t>
  </si>
  <si>
    <t>28.8636061554132</t>
  </si>
  <si>
    <t>32.8700354474892</t>
  </si>
  <si>
    <t>30.2929084316563</t>
  </si>
  <si>
    <t>18.6684302359638</t>
  </si>
  <si>
    <t>23.6965258401855</t>
  </si>
  <si>
    <t>24.9272802511527</t>
  </si>
  <si>
    <t>.499757771832385</t>
  </si>
  <si>
    <t>4.83057831379706</t>
  </si>
  <si>
    <t>4.52135326685966</t>
  </si>
  <si>
    <t>6.60843586487193</t>
  </si>
  <si>
    <t>3.48332943817359</t>
  </si>
  <si>
    <t>4.5259903582313</t>
  </si>
  <si>
    <t>6.697977012988</t>
  </si>
  <si>
    <t>4.99556434724319</t>
  </si>
  <si>
    <t>4.96053196726247</t>
  </si>
  <si>
    <t>59.8250299523222</t>
  </si>
  <si>
    <t>40.8994313936899</t>
  </si>
  <si>
    <t>29.3456171862352</t>
  </si>
  <si>
    <t>-45.3461079039057</t>
  </si>
  <si>
    <t>-21.8527241286092</t>
  </si>
  <si>
    <t>2.01136286878646</t>
  </si>
  <si>
    <t>.528907130301131</t>
  </si>
  <si>
    <t>3.64020089029576</t>
  </si>
  <si>
    <t>4.69263867949053</t>
  </si>
  <si>
    <t>5.45354319894278</t>
  </si>
  <si>
    <t>.171867911723376</t>
  </si>
  <si>
    <t>1.1679714767096</t>
  </si>
  <si>
    <t>3.02011486755633</t>
  </si>
  <si>
    <t>-9.7259595559888</t>
  </si>
  <si>
    <t>22.6639736464213</t>
  </si>
  <si>
    <t>61.6807155100503</t>
  </si>
  <si>
    <t>38.2450851385659</t>
  </si>
  <si>
    <t>25.0584027725094</t>
  </si>
  <si>
    <t>35.5028470844106</t>
  </si>
  <si>
    <t>49.9716737601626</t>
  </si>
  <si>
    <t>36.1082934512936</t>
  </si>
  <si>
    <t>-32.4017865678778</t>
  </si>
  <si>
    <t>-37.5004286147061</t>
  </si>
  <si>
    <t>-32.8851506609332</t>
  </si>
  <si>
    <t>-5.1670803152277</t>
  </si>
  <si>
    <t>-5.36562818050364</t>
  </si>
  <si>
    <t>-.029149358468746</t>
  </si>
  <si>
    <t>1.1903774235013</t>
  </si>
  <si>
    <t>-.17128541263087</t>
  </si>
  <si>
    <t>1.15489266592915</t>
  </si>
  <si>
    <t>3.31146152645021</t>
  </si>
  <si>
    <t>3.35801888152169</t>
  </si>
  <si>
    <t>3.21464757481442</t>
  </si>
  <si>
    <t>1.97544947968686</t>
  </si>
  <si>
    <t>.434541609031175</t>
  </si>
  <si>
    <t>28.6039183001251</t>
  </si>
  <si>
    <t>37.161056305901</t>
  </si>
  <si>
    <t>-23.399560494736</t>
  </si>
  <si>
    <t>-.76723788671364</t>
  </si>
  <si>
    <t>-3.5244182612539</t>
  </si>
  <si>
    <t>.259060517678962</t>
  </si>
  <si>
    <t>.59681511133303</t>
  </si>
  <si>
    <t>.890159814286682</t>
  </si>
  <si>
    <t>1.23687873982343</t>
  </si>
  <si>
    <t>.176763886919219</t>
  </si>
  <si>
    <t>.331708374419261</t>
  </si>
  <si>
    <t>.16923060926799</t>
  </si>
  <si>
    <t>.252330918305966</t>
  </si>
  <si>
    <t>.36588177320205</t>
  </si>
  <si>
    <t>.042816035396227</t>
  </si>
  <si>
    <t>.070874542545722</t>
  </si>
  <si>
    <t>.091045399705128</t>
  </si>
  <si>
    <t>.11674666928802</t>
  </si>
  <si>
    <t>.052050371748049</t>
  </si>
  <si>
    <t>.111168661163329</t>
  </si>
  <si>
    <t>.056459376729799</t>
  </si>
  <si>
    <t>.196973158965917</t>
  </si>
  <si>
    <t>.025852254254908</t>
  </si>
  <si>
    <t>.046571279369792</t>
  </si>
  <si>
    <t>.02219540997597</t>
  </si>
  <si>
    <t>.09025059591192</t>
  </si>
  <si>
    <t>.018267208568404</t>
  </si>
  <si>
    <t>.033862430696454</t>
  </si>
  <si>
    <t>.01934202158859</t>
  </si>
  <si>
    <t>.065023685913514</t>
  </si>
  <si>
    <t>.545581129097281</t>
  </si>
  <si>
    <t>1.20471611393701</t>
  </si>
  <si>
    <t>.210356264122635</t>
  </si>
  <si>
    <t>.360800083460968</t>
  </si>
  <si>
    <t>.018197348312255</t>
  </si>
  <si>
    <t>.0428150572053</t>
  </si>
  <si>
    <t>.033637857786806</t>
  </si>
  <si>
    <t>.111022156669915</t>
  </si>
  <si>
    <t>.036083580465217</t>
  </si>
  <si>
    <t>.178779888649692</t>
  </si>
  <si>
    <t>.066677846053852</t>
  </si>
  <si>
    <t>.051233982235749</t>
  </si>
  <si>
    <t>.032162625886421</t>
  </si>
  <si>
    <t>-.033592377203416</t>
  </si>
  <si>
    <t>-.029091709041707</t>
  </si>
  <si>
    <t>-.007533277651229</t>
  </si>
  <si>
    <t>.034173398782789</t>
  </si>
  <si>
    <t>.024618687083972</t>
  </si>
  <si>
    <t>.028059485340422</t>
  </si>
  <si>
    <t>.057407541918322</t>
  </si>
  <si>
    <t>.005724512618105</t>
  </si>
  <si>
    <t>.009234336351822</t>
  </si>
  <si>
    <t>.040294118617607</t>
  </si>
  <si>
    <t>.020375796264582</t>
  </si>
  <si>
    <t>.080226489677897</t>
  </si>
  <si>
    <t>-.026198117493141</t>
  </si>
  <si>
    <t>-.064597381793537</t>
  </si>
  <si>
    <t>-.156584478673722</t>
  </si>
  <si>
    <t>-.106722563053997</t>
  </si>
  <si>
    <t>-.007585045686504</t>
  </si>
  <si>
    <t>-.012708848673338</t>
  </si>
  <si>
    <t>-.047335824465262</t>
  </si>
  <si>
    <t>-.025226909998406</t>
  </si>
  <si>
    <t>1.56199947588042</t>
  </si>
  <si>
    <t>1.74518868199461</t>
  </si>
  <si>
    <t>2.47395162753855</t>
  </si>
  <si>
    <t>3.28922138418667</t>
  </si>
  <si>
    <t>4.24150731738916</t>
  </si>
  <si>
    <t>6.803542917365</t>
  </si>
  <si>
    <t>1.787208055672</t>
  </si>
  <si>
    <t>2.90254071108705</t>
  </si>
  <si>
    <t>2.74361115232126</t>
  </si>
  <si>
    <t>2.19962912144785</t>
  </si>
  <si>
    <t>1.98363011672987</t>
  </si>
  <si>
    <t>2.10314794162795</t>
  </si>
  <si>
    <t>2.44892994809958</t>
  </si>
  <si>
    <t>2.52413876907912</t>
  </si>
  <si>
    <t>2.75071405852778</t>
  </si>
  <si>
    <t>2.85037344041776</t>
  </si>
  <si>
    <t>3.72734454727746</t>
  </si>
  <si>
    <t>3.60646808667508</t>
  </si>
  <si>
    <t>3.77144040356132</t>
  </si>
  <si>
    <t>3.52853114489948</t>
  </si>
  <si>
    <t>3.8775603077184</t>
  </si>
  <si>
    <t>2.83625360840409</t>
  </si>
  <si>
    <t>2.75000046048152</t>
  </si>
  <si>
    <t>2.72772180142191</t>
  </si>
  <si>
    <t>2.69870972021872</t>
  </si>
  <si>
    <t>1.06210226283646</t>
  </si>
  <si>
    <t>1.07390365079363</t>
  </si>
  <si>
    <t>1.2278593854025</t>
  </si>
  <si>
    <t>1.4402196586404</t>
  </si>
  <si>
    <t>4.11938107450585</t>
  </si>
  <si>
    <t>3.87057088950211</t>
  </si>
  <si>
    <t>5.78967104061493</t>
  </si>
  <si>
    <t>3.97778815023586</t>
  </si>
  <si>
    <t>1.24609224213605</t>
  </si>
  <si>
    <t>1.84900172554627</t>
  </si>
  <si>
    <t>2.67950784150873</t>
  </si>
  <si>
    <t>5.05835423537038</t>
  </si>
  <si>
    <t>-1.49789616506789</t>
  </si>
  <si>
    <t>-4.60391379591715</t>
  </si>
  <si>
    <t>-.512912987830777</t>
  </si>
  <si>
    <t>-.34203974460263</t>
  </si>
  <si>
    <t>-1.91211073289653</t>
  </si>
  <si>
    <t>-1.14153454183177</t>
  </si>
  <si>
    <t>-1.12755984723688</t>
  </si>
  <si>
    <t>-.137543888185378</t>
  </si>
  <si>
    <t>.499897213043961</t>
  </si>
  <si>
    <t>.671285031200983</t>
  </si>
  <si>
    <t>-.686743571866545</t>
  </si>
  <si>
    <t>-.386680673099623</t>
  </si>
  <si>
    <t>.196422061057866</t>
  </si>
  <si>
    <t>-.799392769459102</t>
  </si>
  <si>
    <t>-.294681204221676</t>
  </si>
  <si>
    <t>.324509647631274</t>
  </si>
  <si>
    <t>.767083941797908</t>
  </si>
  <si>
    <t>.747225498789817</t>
  </si>
  <si>
    <t>35.979491962611</t>
  </si>
  <si>
    <t>42.6996054743446</t>
  </si>
  <si>
    <t>59.5788378047251</t>
  </si>
  <si>
    <t>69.5976681652496</t>
  </si>
  <si>
    <t>76.4234757794654</t>
  </si>
  <si>
    <t>85.3017756756167</t>
  </si>
  <si>
    <t>44.0468054725732</t>
  </si>
  <si>
    <t>65.5474255303215</t>
  </si>
  <si>
    <t>63.5516862820032</t>
  </si>
  <si>
    <t>54.5377904734332</t>
  </si>
  <si>
    <t>49.5873756117114</t>
  </si>
  <si>
    <t>52.4522274345595</t>
  </si>
  <si>
    <t>59.1658389095197</t>
  </si>
  <si>
    <t>60.3825268146874</t>
  </si>
  <si>
    <t>63.6458032815227</t>
  </si>
  <si>
    <t>64.9168777038059</t>
  </si>
  <si>
    <t>73.1712486646714</t>
  </si>
  <si>
    <t>72.2720407898595</t>
  </si>
  <si>
    <t>73.4849316707825</t>
  </si>
  <si>
    <t>71.6595954822304</t>
  </si>
  <si>
    <t>74.2105880852589</t>
  </si>
  <si>
    <t>64.7422220270816</t>
  </si>
  <si>
    <t>63.6363697253745</t>
  </si>
  <si>
    <t>63.3393698918006</t>
  </si>
  <si>
    <t>62.9452551896187</t>
  </si>
  <si>
    <t>5.84710766650751</t>
  </si>
  <si>
    <t>6.88177666022599</t>
  </si>
  <si>
    <t>18.5574495020702</t>
  </si>
  <si>
    <t>30.5661470456511</t>
  </si>
  <si>
    <t>75.7245085629774</t>
  </si>
  <si>
    <t>74.1640179563115</t>
  </si>
  <si>
    <t>82.7278615143256</t>
  </si>
  <si>
    <t>74.8604007495798</t>
  </si>
  <si>
    <t>30.1323842961034</t>
  </si>
  <si>
    <t>35.8178288141186</t>
  </si>
  <si>
    <t>41.021388302655</t>
  </si>
  <si>
    <t>39.0315211195986</t>
  </si>
  <si>
    <t>40.4439838168545</t>
  </si>
  <si>
    <t>42.6021702012721</t>
  </si>
  <si>
    <t>-15.532032332152</t>
  </si>
  <si>
    <t>-4.05024263492812</t>
  </si>
  <si>
    <t>-12.8717894974622</t>
  </si>
  <si>
    <t>-30.7639852021835</t>
  </si>
  <si>
    <t>5.54057013913826</t>
  </si>
  <si>
    <t>-13.0951980957621</t>
  </si>
  <si>
    <t>-4.38584737248351</t>
  </si>
  <si>
    <t>5.84473634125418</t>
  </si>
  <si>
    <t>14.0584276698113</t>
  </si>
  <si>
    <t>12.4646502692464</t>
  </si>
  <si>
    <t>-3.45246777311786</t>
  </si>
  <si>
    <t>-2.50442247408109</t>
  </si>
  <si>
    <t>-8.51727342906662</t>
  </si>
  <si>
    <t>-10.1181787224981</t>
  </si>
  <si>
    <t>-10.5742183598844</t>
  </si>
  <si>
    <t>-1.79696683746295</t>
  </si>
  <si>
    <t>源名称</t>
  </si>
  <si>
    <t>字段名</t>
  </si>
  <si>
    <t>备注</t>
  </si>
  <si>
    <t>SPE_ZHENGQUANHANGQING</t>
  </si>
  <si>
    <t>NEW</t>
  </si>
  <si>
    <t>52周最高</t>
  </si>
  <si>
    <t>FTWPMAX</t>
  </si>
  <si>
    <t>52周低</t>
  </si>
  <si>
    <t>FTWPMIN</t>
  </si>
  <si>
    <t>总市值</t>
  </si>
  <si>
    <t>ZSZ</t>
  </si>
  <si>
    <t>净利润（历史）</t>
  </si>
  <si>
    <t>SPE_ZQXXLSSJBGQ</t>
  </si>
  <si>
    <t>NETPROFIT</t>
  </si>
  <si>
    <t>净利润（预测）</t>
  </si>
  <si>
    <t>SPE_ZHENGQUANYUCE</t>
  </si>
  <si>
    <t>DEC_JINGLR</t>
  </si>
  <si>
    <t>销售收入（历史）</t>
  </si>
  <si>
    <t>OPERATEREVE</t>
  </si>
  <si>
    <t>销售收入（预测）</t>
  </si>
  <si>
    <t>DEC_SHOURU</t>
  </si>
  <si>
    <t>EPS(历史)</t>
  </si>
  <si>
    <t>BASICEPS</t>
  </si>
  <si>
    <t>EPS(预测)</t>
  </si>
  <si>
    <t>PE（TTM）</t>
  </si>
  <si>
    <t>SPE_ZHENGQUANLISHI</t>
  </si>
  <si>
    <t>PE预测</t>
  </si>
  <si>
    <t>PS（TTM）</t>
  </si>
  <si>
    <t>PS预测</t>
  </si>
  <si>
    <t>PB（MRQ）</t>
  </si>
  <si>
    <t>PB预测</t>
  </si>
  <si>
    <t>EV/EBITDA(TTM)</t>
  </si>
  <si>
    <t>QYBS</t>
  </si>
  <si>
    <t>EV/EBITDA(预测)</t>
  </si>
  <si>
    <t>DEC_EV</t>
  </si>
  <si>
    <t>ROE(历史)</t>
  </si>
  <si>
    <t>ROE(预测)</t>
  </si>
  <si>
    <r>
      <rPr>
        <sz val="11"/>
        <color theme="1"/>
        <rFont val="宋体"/>
        <family val="3"/>
        <charset val="134"/>
      </rPr>
      <t>申万一级</t>
    </r>
  </si>
  <si>
    <r>
      <rPr>
        <sz val="11"/>
        <color theme="1"/>
        <rFont val="宋体"/>
        <family val="3"/>
        <charset val="134"/>
      </rPr>
      <t>申万二级</t>
    </r>
  </si>
  <si>
    <r>
      <rPr>
        <sz val="11"/>
        <color theme="1"/>
        <rFont val="宋体"/>
        <family val="3"/>
        <charset val="134"/>
      </rPr>
      <t>申万三级</t>
    </r>
  </si>
  <si>
    <t>东财一级</t>
  </si>
  <si>
    <t>东财二级</t>
  </si>
  <si>
    <t>东财三级</t>
  </si>
  <si>
    <t>自定义</t>
  </si>
  <si>
    <t>26301998819.16</t>
    <phoneticPr fontId="96" type="noConversion"/>
  </si>
  <si>
    <t>27514209773.16</t>
    <phoneticPr fontId="96" type="noConversion"/>
  </si>
  <si>
    <t>31066517421.96</t>
    <phoneticPr fontId="96" type="noConversion"/>
  </si>
  <si>
    <t>36340062510.69</t>
    <phoneticPr fontId="96" type="noConversion"/>
  </si>
  <si>
    <t>39691070604.99</t>
    <phoneticPr fontId="96" type="noConversion"/>
  </si>
  <si>
    <t>39561553579.61</t>
    <phoneticPr fontId="96" type="noConversion"/>
  </si>
  <si>
    <t>34325117534.96</t>
    <phoneticPr fontId="96" type="noConversion"/>
  </si>
  <si>
    <t>34371791166.71</t>
    <phoneticPr fontId="96" type="noConversion"/>
  </si>
  <si>
    <t>50.905149368635</t>
    <phoneticPr fontId="96" type="noConversion"/>
  </si>
  <si>
    <t>43.7858979261041</t>
    <phoneticPr fontId="96" type="noConversion"/>
  </si>
  <si>
    <t>10.4891065475417</t>
    <phoneticPr fontId="96" type="noConversion"/>
  </si>
  <si>
    <t>-5.41625745250439</t>
    <phoneticPr fontId="96" type="noConversion"/>
  </si>
  <si>
    <t>5387929405.83</t>
    <phoneticPr fontId="96" type="noConversion"/>
  </si>
  <si>
    <t>5405368280.71</t>
    <phoneticPr fontId="96" type="noConversion"/>
  </si>
  <si>
    <t>5422803581.13</t>
    <phoneticPr fontId="96" type="noConversion"/>
  </si>
  <si>
    <t>5504692615.26</t>
    <phoneticPr fontId="96" type="noConversion"/>
  </si>
  <si>
    <t>5448147457.95</t>
    <phoneticPr fontId="96" type="noConversion"/>
  </si>
  <si>
    <t>5525044694.89</t>
    <phoneticPr fontId="96" type="noConversion"/>
  </si>
  <si>
    <t>5468610639.92</t>
    <phoneticPr fontId="96" type="noConversion"/>
  </si>
  <si>
    <t>5439170524.01</t>
    <phoneticPr fontId="96" type="noConversion"/>
  </si>
  <si>
    <t>1.11764738518736</t>
    <phoneticPr fontId="96" type="noConversion"/>
  </si>
  <si>
    <t>2.21402886843226</t>
    <phoneticPr fontId="96" type="noConversion"/>
  </si>
  <si>
    <t>.84471174558852</t>
    <phoneticPr fontId="96" type="noConversion"/>
  </si>
  <si>
    <t>-1.19029518684406</t>
    <phoneticPr fontId="96" type="noConversion"/>
  </si>
  <si>
    <t>31689928224.99</t>
    <phoneticPr fontId="96" type="noConversion"/>
  </si>
  <si>
    <t>32919578053.87</t>
    <phoneticPr fontId="96" type="noConversion"/>
  </si>
  <si>
    <t>36489321003.09</t>
    <phoneticPr fontId="96" type="noConversion"/>
  </si>
  <si>
    <t>41844755125.95</t>
    <phoneticPr fontId="96" type="noConversion"/>
  </si>
  <si>
    <t>45139218062.94</t>
    <phoneticPr fontId="96" type="noConversion"/>
  </si>
  <si>
    <t>45086598274.5</t>
    <phoneticPr fontId="96" type="noConversion"/>
  </si>
  <si>
    <t>39793728174.88</t>
    <phoneticPr fontId="96" type="noConversion"/>
  </si>
  <si>
    <t>39810961690.72</t>
    <phoneticPr fontId="96" type="noConversion"/>
  </si>
  <si>
    <t>42.4402660127964</t>
    <phoneticPr fontId="96" type="noConversion"/>
  </si>
  <si>
    <t>36.959830410705</t>
    <phoneticPr fontId="96" type="noConversion"/>
  </si>
  <si>
    <t>9.05581984249632</t>
    <phoneticPr fontId="96" type="noConversion"/>
  </si>
  <si>
    <t>-4.8603305936632</t>
    <phoneticPr fontId="96" type="noConversion"/>
  </si>
  <si>
    <t>18436187278.78</t>
    <phoneticPr fontId="96" type="noConversion"/>
  </si>
  <si>
    <t>19564614101.48</t>
    <phoneticPr fontId="96" type="noConversion"/>
  </si>
  <si>
    <t>21391167723.12</t>
    <phoneticPr fontId="96" type="noConversion"/>
  </si>
  <si>
    <t>21744303219.42</t>
    <phoneticPr fontId="96" type="noConversion"/>
  </si>
  <si>
    <t>24675342861.34</t>
    <phoneticPr fontId="96" type="noConversion"/>
  </si>
  <si>
    <t>24273504896.09</t>
    <phoneticPr fontId="96" type="noConversion"/>
  </si>
  <si>
    <t>19005947008.83</t>
    <phoneticPr fontId="96" type="noConversion"/>
  </si>
  <si>
    <t>19289050740.08</t>
    <phoneticPr fontId="96" type="noConversion"/>
  </si>
  <si>
    <t>33.8418973956793</t>
    <phoneticPr fontId="96" type="noConversion"/>
  </si>
  <si>
    <t>24.0684062061505</t>
    <phoneticPr fontId="96" type="noConversion"/>
  </si>
  <si>
    <t>-11.1504932557375</t>
    <phoneticPr fontId="96" type="noConversion"/>
  </si>
  <si>
    <t>-11.2914746201074</t>
    <phoneticPr fontId="96" type="noConversion"/>
  </si>
  <si>
    <t>313424605.36</t>
    <phoneticPr fontId="96" type="noConversion"/>
  </si>
  <si>
    <t>313058944.18</t>
    <phoneticPr fontId="96" type="noConversion"/>
  </si>
  <si>
    <t>1832753741.27</t>
    <phoneticPr fontId="96" type="noConversion"/>
  </si>
  <si>
    <t>5420005291.15</t>
    <phoneticPr fontId="96" type="noConversion"/>
  </si>
  <si>
    <t>5478065231.62</t>
    <phoneticPr fontId="96" type="noConversion"/>
  </si>
  <si>
    <t>5537456921.95</t>
    <phoneticPr fontId="96" type="noConversion"/>
  </si>
  <si>
    <t>5257678138.08</t>
    <phoneticPr fontId="96" type="noConversion"/>
  </si>
  <si>
    <t>4826671476.09</t>
    <phoneticPr fontId="96" type="noConversion"/>
  </si>
  <si>
    <t>1647.80956502374</t>
    <phoneticPr fontId="96" type="noConversion"/>
  </si>
  <si>
    <t>1668.82246135926</t>
    <phoneticPr fontId="96" type="noConversion"/>
  </si>
  <si>
    <t>186.873136291443</t>
    <phoneticPr fontId="96" type="noConversion"/>
  </si>
  <si>
    <t>-10.9471076721792</t>
    <phoneticPr fontId="96" type="noConversion"/>
  </si>
  <si>
    <t>18749611884.14</t>
    <phoneticPr fontId="96" type="noConversion"/>
  </si>
  <si>
    <t>19877673045.66</t>
    <phoneticPr fontId="96" type="noConversion"/>
  </si>
  <si>
    <t>23223921464.39</t>
    <phoneticPr fontId="96" type="noConversion"/>
  </si>
  <si>
    <t>27164308510.57</t>
    <phoneticPr fontId="96" type="noConversion"/>
  </si>
  <si>
    <t>30153408092.96</t>
    <phoneticPr fontId="96" type="noConversion"/>
  </si>
  <si>
    <t>29810961818.04</t>
    <phoneticPr fontId="96" type="noConversion"/>
  </si>
  <si>
    <t>24263625146.91</t>
    <phoneticPr fontId="96" type="noConversion"/>
  </si>
  <si>
    <t>24115722216.17</t>
    <phoneticPr fontId="96" type="noConversion"/>
  </si>
  <si>
    <t>60.8215054225538</t>
    <phoneticPr fontId="96" type="noConversion"/>
  </si>
  <si>
    <t>49.9720905438114</t>
    <phoneticPr fontId="96" type="noConversion"/>
  </si>
  <si>
    <t>4.47686530508731</t>
    <phoneticPr fontId="96" type="noConversion"/>
  </si>
  <si>
    <t>-11.2227642136142</t>
    <phoneticPr fontId="96" type="noConversion"/>
  </si>
  <si>
    <t>29337899258.29</t>
    <phoneticPr fontId="96" type="noConversion"/>
  </si>
  <si>
    <t>32304753139.43</t>
    <phoneticPr fontId="96" type="noConversion"/>
  </si>
  <si>
    <t>34704449528.48</t>
    <phoneticPr fontId="96" type="noConversion"/>
  </si>
  <si>
    <t>39167038064.52</t>
    <phoneticPr fontId="96" type="noConversion"/>
  </si>
  <si>
    <t>43491986594.445</t>
    <phoneticPr fontId="96" type="noConversion"/>
  </si>
  <si>
    <t>45112908168.72</t>
    <phoneticPr fontId="96" type="noConversion"/>
  </si>
  <si>
    <t>42440163224.69</t>
    <phoneticPr fontId="96" type="noConversion"/>
  </si>
  <si>
    <t>39802344932.8</t>
    <phoneticPr fontId="96" type="noConversion"/>
  </si>
  <si>
    <t>48.2450608052841</t>
    <phoneticPr fontId="96" type="noConversion"/>
  </si>
  <si>
    <t>39.6478963142326</t>
    <phoneticPr fontId="96" type="noConversion"/>
  </si>
  <si>
    <t>22.2902647969153</t>
    <phoneticPr fontId="96" type="noConversion"/>
  </si>
  <si>
    <t>1.62204470818921</t>
    <phoneticPr fontId="96" type="noConversion"/>
  </si>
  <si>
    <t>100048135.96</t>
    <phoneticPr fontId="96" type="noConversion"/>
  </si>
  <si>
    <t>259220434.61</t>
    <phoneticPr fontId="96" type="noConversion"/>
  </si>
  <si>
    <t>456204126.01</t>
    <phoneticPr fontId="96" type="noConversion"/>
  </si>
  <si>
    <t>634844279.53</t>
    <phoneticPr fontId="96" type="noConversion"/>
  </si>
  <si>
    <t>300862516.19</t>
    <phoneticPr fontId="96" type="noConversion"/>
  </si>
  <si>
    <t>558257892.12</t>
    <phoneticPr fontId="96" type="noConversion"/>
  </si>
  <si>
    <t>800396532.87</t>
    <phoneticPr fontId="96" type="noConversion"/>
  </si>
  <si>
    <t>958218736.74</t>
    <phoneticPr fontId="96" type="noConversion"/>
  </si>
  <si>
    <t>200.717762807982</t>
    <phoneticPr fontId="96" type="noConversion"/>
  </si>
  <si>
    <t>115.360294785365</t>
    <phoneticPr fontId="96" type="noConversion"/>
  </si>
  <si>
    <t>75.4470175161141</t>
    <phoneticPr fontId="96" type="noConversion"/>
  </si>
  <si>
    <t>50.9376027534511</t>
    <phoneticPr fontId="96" type="noConversion"/>
  </si>
  <si>
    <t>16276669.82</t>
    <phoneticPr fontId="96" type="noConversion"/>
  </si>
  <si>
    <t>23065657.33</t>
    <phoneticPr fontId="96" type="noConversion"/>
  </si>
  <si>
    <t>47683914.51</t>
    <phoneticPr fontId="96" type="noConversion"/>
  </si>
  <si>
    <t>44239500.94</t>
    <phoneticPr fontId="96" type="noConversion"/>
  </si>
  <si>
    <t>66631684.4</t>
    <phoneticPr fontId="96" type="noConversion"/>
  </si>
  <si>
    <t>106963789.78</t>
    <phoneticPr fontId="96" type="noConversion"/>
  </si>
  <si>
    <t>162203160.28</t>
    <phoneticPr fontId="96" type="noConversion"/>
  </si>
  <si>
    <t>162615256.92</t>
    <phoneticPr fontId="96" type="noConversion"/>
  </si>
  <si>
    <t>309.369269862107</t>
    <phoneticPr fontId="96" type="noConversion"/>
  </si>
  <si>
    <t>363.736143521386</t>
    <phoneticPr fontId="96" type="noConversion"/>
  </si>
  <si>
    <t>240.163264586811</t>
    <phoneticPr fontId="96" type="noConversion"/>
  </si>
  <si>
    <t>267.579320437063</t>
    <phoneticPr fontId="96" type="noConversion"/>
  </si>
  <si>
    <t>33889632</t>
    <phoneticPr fontId="96" type="noConversion"/>
  </si>
  <si>
    <t>80717476</t>
    <phoneticPr fontId="96" type="noConversion"/>
  </si>
  <si>
    <t>133515027</t>
    <phoneticPr fontId="96" type="noConversion"/>
  </si>
  <si>
    <t>204463483</t>
    <phoneticPr fontId="96" type="noConversion"/>
  </si>
  <si>
    <t>80137317</t>
    <phoneticPr fontId="96" type="noConversion"/>
  </si>
  <si>
    <t>139098525</t>
    <phoneticPr fontId="96" type="noConversion"/>
  </si>
  <si>
    <t>219361126</t>
    <phoneticPr fontId="96" type="noConversion"/>
  </si>
  <si>
    <t>269830962</t>
    <phoneticPr fontId="96" type="noConversion"/>
  </si>
  <si>
    <t>136.465587022182</t>
    <phoneticPr fontId="96" type="noConversion"/>
  </si>
  <si>
    <t>72.3276449412184</t>
    <phoneticPr fontId="96" type="noConversion"/>
  </si>
  <si>
    <t>64.2969565445957</t>
    <phoneticPr fontId="96" type="noConversion"/>
  </si>
  <si>
    <t>31.9702465177806</t>
    <phoneticPr fontId="96" type="noConversion"/>
  </si>
  <si>
    <t>535921524.71</t>
    <phoneticPr fontId="96" type="noConversion"/>
  </si>
  <si>
    <t>1093917464.35</t>
    <phoneticPr fontId="96" type="noConversion"/>
  </si>
  <si>
    <t>1765171676.35</t>
    <phoneticPr fontId="96" type="noConversion"/>
  </si>
  <si>
    <t>2546785181.27</t>
    <phoneticPr fontId="96" type="noConversion"/>
  </si>
  <si>
    <t>822919465.4</t>
    <phoneticPr fontId="96" type="noConversion"/>
  </si>
  <si>
    <t>1634753572.05</t>
    <phoneticPr fontId="96" type="noConversion"/>
  </si>
  <si>
    <t>2378702082.05</t>
    <phoneticPr fontId="96" type="noConversion"/>
  </si>
  <si>
    <t>3123446007.42</t>
    <phoneticPr fontId="96" type="noConversion"/>
  </si>
  <si>
    <t>53.5522324551718</t>
    <phoneticPr fontId="96" type="noConversion"/>
  </si>
  <si>
    <t>49.4403028862294</t>
    <phoneticPr fontId="96" type="noConversion"/>
  </si>
  <si>
    <t>34.7575487370526</t>
    <phoneticPr fontId="96" type="noConversion"/>
  </si>
  <si>
    <t>22.6426959914396</t>
    <phoneticPr fontId="96" type="noConversion"/>
  </si>
  <si>
    <t>453486350.66</t>
    <phoneticPr fontId="96" type="noConversion"/>
  </si>
  <si>
    <t>892348848.29</t>
    <phoneticPr fontId="96" type="noConversion"/>
  </si>
  <si>
    <t>1394798663</t>
    <phoneticPr fontId="96" type="noConversion"/>
  </si>
  <si>
    <t>2072164883.6</t>
    <phoneticPr fontId="96" type="noConversion"/>
  </si>
  <si>
    <t>535562581.42</t>
    <phoneticPr fontId="96" type="noConversion"/>
  </si>
  <si>
    <t>1108630415.39</t>
    <phoneticPr fontId="96" type="noConversion"/>
  </si>
  <si>
    <t>1635463515.07</t>
    <phoneticPr fontId="96" type="noConversion"/>
  </si>
  <si>
    <t>2272442976.05</t>
    <phoneticPr fontId="96" type="noConversion"/>
  </si>
  <si>
    <t>18.0989418183253</t>
    <phoneticPr fontId="96" type="noConversion"/>
  </si>
  <si>
    <t>24.2373335847812</t>
    <phoneticPr fontId="96" type="noConversion"/>
  </si>
  <si>
    <t>17.2544510153434</t>
    <phoneticPr fontId="96" type="noConversion"/>
  </si>
  <si>
    <t>9.66516197794329</t>
    <phoneticPr fontId="96" type="noConversion"/>
  </si>
  <si>
    <t>12885748285.95</t>
    <phoneticPr fontId="96" type="noConversion"/>
  </si>
  <si>
    <t>12991110674.53</t>
    <phoneticPr fontId="96" type="noConversion"/>
  </si>
  <si>
    <t>13153652273.455</t>
    <phoneticPr fontId="96" type="noConversion"/>
  </si>
  <si>
    <t>13972923077.04</t>
    <phoneticPr fontId="96" type="noConversion"/>
  </si>
  <si>
    <t>14833128292.68</t>
    <phoneticPr fontId="96" type="noConversion"/>
  </si>
  <si>
    <t>15130723213.22</t>
    <phoneticPr fontId="96" type="noConversion"/>
  </si>
  <si>
    <t>15402869742.215</t>
    <phoneticPr fontId="96" type="noConversion"/>
  </si>
  <si>
    <t>15612671251.26</t>
    <phoneticPr fontId="96" type="noConversion"/>
  </si>
  <si>
    <t>15.1126652757398</t>
    <phoneticPr fontId="96" type="noConversion"/>
  </si>
  <si>
    <t>16.4698199583879</t>
    <phoneticPr fontId="96" type="noConversion"/>
  </si>
  <si>
    <t>17.0995661281018</t>
    <phoneticPr fontId="96" type="noConversion"/>
  </si>
  <si>
    <t>11.7351835774033</t>
    <phoneticPr fontId="96" type="noConversion"/>
  </si>
  <si>
    <t>.776424727069111</t>
    <phoneticPr fontId="96" type="noConversion"/>
  </si>
  <si>
    <t>1.9953677641914</t>
    <phoneticPr fontId="96" type="noConversion"/>
  </si>
  <si>
    <t>3.46826962219955</t>
    <phoneticPr fontId="96" type="noConversion"/>
  </si>
  <si>
    <t>4.54338921090292</t>
    <phoneticPr fontId="96" type="noConversion"/>
  </si>
  <si>
    <t>2.0283146633234</t>
    <phoneticPr fontId="96" type="noConversion"/>
  </si>
  <si>
    <t>3.68956515992732</t>
    <phoneticPr fontId="96" type="noConversion"/>
  </si>
  <si>
    <t>5.19641174836618</t>
    <phoneticPr fontId="96" type="noConversion"/>
  </si>
  <si>
    <t>6.13744260235204</t>
    <phoneticPr fontId="96" type="noConversion"/>
  </si>
  <si>
    <t>1.25188993625429</t>
    <phoneticPr fontId="96" type="noConversion"/>
  </si>
  <si>
    <t>1.69419739573591</t>
    <phoneticPr fontId="96" type="noConversion"/>
  </si>
  <si>
    <t>1.72814212616663</t>
    <phoneticPr fontId="96" type="noConversion"/>
  </si>
  <si>
    <t>1.59405339144911</t>
    <phoneticPr fontId="96" type="noConversion"/>
  </si>
  <si>
    <t>.341020108765045</t>
    <phoneticPr fontId="96" type="noConversion"/>
  </si>
  <si>
    <t>.802421964010011</t>
    <phoneticPr fontId="96" type="noConversion"/>
  </si>
  <si>
    <t>1.31454073528992</t>
    <phoneticPr fontId="96" type="noConversion"/>
  </si>
  <si>
    <t>1.6208636417291</t>
    <phoneticPr fontId="96" type="noConversion"/>
  </si>
  <si>
    <t>.69176540266024</t>
    <phoneticPr fontId="96" type="noConversion"/>
  </si>
  <si>
    <t>1.23746819875177</t>
    <phoneticPr fontId="96" type="noConversion"/>
  </si>
  <si>
    <t>1.88594122183856</t>
    <phoneticPr fontId="96" type="noConversion"/>
  </si>
  <si>
    <t>2.40744292417394</t>
    <phoneticPr fontId="96" type="noConversion"/>
  </si>
  <si>
    <t>.350745293895195</t>
    <phoneticPr fontId="96" type="noConversion"/>
  </si>
  <si>
    <t>.43504623474176</t>
    <phoneticPr fontId="96" type="noConversion"/>
  </si>
  <si>
    <t>.571400486548645</t>
    <phoneticPr fontId="96" type="noConversion"/>
  </si>
  <si>
    <t>.786579282444848</t>
    <phoneticPr fontId="96" type="noConversion"/>
  </si>
  <si>
    <t>18.6684302359638</t>
    <phoneticPr fontId="96" type="noConversion"/>
  </si>
  <si>
    <t>23.6965258401855</t>
    <phoneticPr fontId="96" type="noConversion"/>
  </si>
  <si>
    <t>25.8447454217786</t>
    <phoneticPr fontId="96" type="noConversion"/>
  </si>
  <si>
    <t>24.9272802511527</t>
    <phoneticPr fontId="96" type="noConversion"/>
  </si>
  <si>
    <t>36.5603839549182</t>
    <phoneticPr fontId="96" type="noConversion"/>
  </si>
  <si>
    <t>34.1493605926145</t>
    <phoneticPr fontId="96" type="noConversion"/>
  </si>
  <si>
    <t>33.6484563960278</t>
    <phoneticPr fontId="96" type="noConversion"/>
  </si>
  <si>
    <t>30.6782551855762</t>
    <phoneticPr fontId="96" type="noConversion"/>
  </si>
  <si>
    <t>17.8919537189543</t>
    <phoneticPr fontId="96" type="noConversion"/>
  </si>
  <si>
    <t>10.4528347524289</t>
    <phoneticPr fontId="96" type="noConversion"/>
  </si>
  <si>
    <t>7.80371097424917</t>
    <phoneticPr fontId="96" type="noConversion"/>
  </si>
  <si>
    <t>5.75097493442354</t>
    <phoneticPr fontId="96" type="noConversion"/>
  </si>
  <si>
    <t>.018267208568404</t>
    <phoneticPr fontId="96" type="noConversion"/>
  </si>
  <si>
    <t>.033862430696454</t>
    <phoneticPr fontId="96" type="noConversion"/>
  </si>
  <si>
    <t>.050862978676594</t>
    <phoneticPr fontId="96" type="noConversion"/>
  </si>
  <si>
    <t>.065023685913514</t>
    <phoneticPr fontId="96" type="noConversion"/>
  </si>
  <si>
    <t>.018921174446998</t>
    <phoneticPr fontId="96" type="noConversion"/>
  </si>
  <si>
    <t>.036236936132251</t>
    <phoneticPr fontId="96" type="noConversion"/>
  </si>
  <si>
    <t>.056048372610079</t>
    <phoneticPr fontId="96" type="noConversion"/>
  </si>
  <si>
    <t>.078473919380716</t>
    <phoneticPr fontId="96" type="noConversion"/>
  </si>
  <si>
    <t>.000653965878594</t>
    <phoneticPr fontId="96" type="noConversion"/>
  </si>
  <si>
    <t>.002374505435797</t>
    <phoneticPr fontId="96" type="noConversion"/>
  </si>
  <si>
    <t>.005185393933485</t>
    <phoneticPr fontId="96" type="noConversion"/>
  </si>
  <si>
    <t>.013450233467202</t>
    <phoneticPr fontId="96" type="noConversion"/>
  </si>
  <si>
    <t>2.44892994809958</t>
    <phoneticPr fontId="96" type="noConversion"/>
  </si>
  <si>
    <t>2.52413876907912</t>
    <phoneticPr fontId="96" type="noConversion"/>
  </si>
  <si>
    <t>2.75071405852778</t>
    <phoneticPr fontId="96" type="noConversion"/>
  </si>
  <si>
    <t>2.85037344041776</t>
    <phoneticPr fontId="96" type="noConversion"/>
  </si>
  <si>
    <t>3.0121306858531</t>
    <phoneticPr fontId="96" type="noConversion"/>
  </si>
  <si>
    <t>2.95153648118099</t>
    <phoneticPr fontId="96" type="noConversion"/>
  </si>
  <si>
    <t>2.56236086156098</t>
    <phoneticPr fontId="96" type="noConversion"/>
  </si>
  <si>
    <t>2.53649915665664</t>
    <phoneticPr fontId="96" type="noConversion"/>
  </si>
  <si>
    <t>.56320073775351</t>
    <phoneticPr fontId="96" type="noConversion"/>
  </si>
  <si>
    <t>.42739771210187</t>
    <phoneticPr fontId="96" type="noConversion"/>
  </si>
  <si>
    <t>-.188353196966799</t>
    <phoneticPr fontId="96" type="noConversion"/>
  </si>
  <si>
    <t>-.313874283761128</t>
    <phoneticPr fontId="96" type="noConversion"/>
  </si>
  <si>
    <t>59.1658389095197</t>
    <phoneticPr fontId="96" type="noConversion"/>
  </si>
  <si>
    <t>60.3825268146874</t>
    <phoneticPr fontId="96" type="noConversion"/>
  </si>
  <si>
    <t>63.6458032815227</t>
    <phoneticPr fontId="96" type="noConversion"/>
  </si>
  <si>
    <t>64.9168777038059</t>
    <phoneticPr fontId="96" type="noConversion"/>
  </si>
  <si>
    <t>66.800909246845</t>
    <phoneticPr fontId="96" type="noConversion"/>
  </si>
  <si>
    <t>66.119341354037</t>
    <phoneticPr fontId="96" type="noConversion"/>
  </si>
  <si>
    <t>60.9734906975279</t>
    <phoneticPr fontId="96" type="noConversion"/>
  </si>
  <si>
    <t>60.575583186154</t>
    <phoneticPr fontId="96" type="noConversion"/>
  </si>
  <si>
    <t>7.63507033732526</t>
    <phoneticPr fontId="96" type="noConversion"/>
  </si>
  <si>
    <t>5.73681453934958</t>
    <phoneticPr fontId="96" type="noConversion"/>
  </si>
  <si>
    <t>-2.67231258399477</t>
    <phoneticPr fontId="96" type="noConversion"/>
  </si>
  <si>
    <t>-4.34129451765186</t>
    <phoneticPr fontId="96" type="noConversion"/>
  </si>
  <si>
    <t>2021E</t>
    <phoneticPr fontId="96" type="noConversion"/>
  </si>
  <si>
    <t>2022E</t>
    <phoneticPr fontId="96" type="noConversion"/>
  </si>
  <si>
    <t>2019年新增固定资产</t>
    <phoneticPr fontId="96" type="noConversion"/>
  </si>
  <si>
    <t>2020年新增固定资产</t>
    <phoneticPr fontId="96" type="noConversion"/>
  </si>
  <si>
    <t>2021年新增固定资产</t>
    <phoneticPr fontId="96" type="noConversion"/>
  </si>
  <si>
    <t>2019年新增无形资产</t>
    <phoneticPr fontId="96" type="noConversion"/>
  </si>
  <si>
    <t>2020年新增无形资产</t>
    <phoneticPr fontId="96" type="noConversion"/>
  </si>
  <si>
    <t>2021年新增无形资产</t>
    <phoneticPr fontId="96" type="noConversion"/>
  </si>
  <si>
    <t>2019年新增投资性房地产</t>
    <phoneticPr fontId="96" type="noConversion"/>
  </si>
  <si>
    <t>2020年新增投资性房地产</t>
    <phoneticPr fontId="96" type="noConversion"/>
  </si>
  <si>
    <t>2021年新增投资性房地产</t>
    <phoneticPr fontId="96" type="noConversion"/>
  </si>
  <si>
    <t>2019年新增长期待摊费用</t>
    <phoneticPr fontId="96" type="noConversion"/>
  </si>
  <si>
    <t>2020年新增长期待摊费用</t>
    <phoneticPr fontId="96" type="noConversion"/>
  </si>
  <si>
    <t>2021年新增长期待摊费用</t>
    <phoneticPr fontId="96" type="noConversion"/>
  </si>
  <si>
    <r>
      <t xml:space="preserve">                            </t>
    </r>
    <r>
      <rPr>
        <sz val="9"/>
        <rFont val="宋体"/>
        <family val="3"/>
        <charset val="134"/>
      </rPr>
      <t>利息收入</t>
    </r>
    <phoneticPr fontId="96" type="noConversion"/>
  </si>
  <si>
    <r>
      <t xml:space="preserve">                </t>
    </r>
    <r>
      <rPr>
        <sz val="9"/>
        <rFont val="宋体"/>
        <family val="3"/>
        <charset val="134"/>
      </rPr>
      <t>信用减值损失</t>
    </r>
    <phoneticPr fontId="96" type="noConversion"/>
  </si>
  <si>
    <t>存货周转率</t>
    <phoneticPr fontId="96" type="noConversion"/>
  </si>
  <si>
    <t>2019E</t>
  </si>
  <si>
    <t>2015A</t>
  </si>
  <si>
    <t>2016A</t>
  </si>
  <si>
    <t>2017A</t>
  </si>
  <si>
    <t>2018A</t>
  </si>
  <si>
    <t>002138</t>
  </si>
  <si>
    <t>923681711.29</t>
  </si>
  <si>
    <t>1163642302.98</t>
  </si>
  <si>
    <t>999402626.34</t>
  </si>
  <si>
    <t>1036128292.18</t>
  </si>
  <si>
    <t>1170412542.96</t>
  </si>
  <si>
    <t>1181257844.94</t>
  </si>
  <si>
    <t>1394836587.72</t>
  </si>
  <si>
    <t>1437932343.88</t>
  </si>
  <si>
    <t>1487464005.12</t>
  </si>
  <si>
    <t>1434722263.67</t>
  </si>
  <si>
    <t>1646388316.22</t>
  </si>
  <si>
    <t>1748353121.3</t>
  </si>
  <si>
    <t>1759676105.14</t>
  </si>
  <si>
    <t>1828759107.19</t>
  </si>
  <si>
    <t>1798867529.77</t>
  </si>
  <si>
    <t>1970534184.35</t>
  </si>
  <si>
    <t>674843392.81</t>
  </si>
  <si>
    <t>1257803547.06</t>
  </si>
  <si>
    <t>934538170.62</t>
  </si>
  <si>
    <t>905317030.91</t>
  </si>
  <si>
    <t>36.8734911138205</t>
  </si>
  <si>
    <t>-7.48616461609551</t>
  </si>
  <si>
    <t>6.94080325011947</t>
  </si>
  <si>
    <t>14.449221300798</t>
  </si>
  <si>
    <t>26.7116722843218</t>
  </si>
  <si>
    <t>1.51382791042298</t>
  </si>
  <si>
    <t>39.5670324409846</t>
  </si>
  <si>
    <t>38.7793726638436</t>
  </si>
  <si>
    <t>27.0888640135528</t>
  </si>
  <si>
    <t>21.457162787594</t>
  </si>
  <si>
    <t>18.034494557616</t>
  </si>
  <si>
    <t>21.5879960375873</t>
  </si>
  <si>
    <t>18.3004159484208</t>
  </si>
  <si>
    <t>27.4643290550228</t>
  </si>
  <si>
    <t>9.26143680976079</t>
  </si>
  <si>
    <t>12.7080199270497</t>
  </si>
  <si>
    <t>1901213161.88</t>
  </si>
  <si>
    <t>1965856813.01</t>
  </si>
  <si>
    <t>2120237583.04</t>
  </si>
  <si>
    <t>2203495585.87</t>
  </si>
  <si>
    <t>2284097324.08</t>
  </si>
  <si>
    <t>2405187203.23</t>
  </si>
  <si>
    <t>2584355301.06</t>
  </si>
  <si>
    <t>2603391711.35</t>
  </si>
  <si>
    <t>2626959455.6</t>
  </si>
  <si>
    <t>2919657582.09</t>
  </si>
  <si>
    <t>2996834001.36</t>
  </si>
  <si>
    <t>3019970517.27</t>
  </si>
  <si>
    <t>3075371438.87</t>
  </si>
  <si>
    <t>3139682091.52</t>
  </si>
  <si>
    <t>3176558524.36</t>
  </si>
  <si>
    <t>3266824512.73</t>
  </si>
  <si>
    <t>1515571018.88</t>
  </si>
  <si>
    <t>1608388146.46</t>
  </si>
  <si>
    <t>1720548316.5</t>
  </si>
  <si>
    <t>1844294967.36</t>
  </si>
  <si>
    <t>25.4453363251158</t>
  </si>
  <si>
    <t>22.2252736279346</t>
  </si>
  <si>
    <t>23.2303424848343</t>
  </si>
  <si>
    <t>19.4763107239931</t>
  </si>
  <si>
    <t>20.1389391719437</t>
  </si>
  <si>
    <t>22.3480360986884</t>
  </si>
  <si>
    <t>21.8898920447654</t>
  </si>
  <si>
    <t>18.1482607927308</t>
  </si>
  <si>
    <t>15.0108372312068</t>
  </si>
  <si>
    <t>21.3900347619138</t>
  </si>
  <si>
    <t>15.9606034097099</t>
  </si>
  <si>
    <t>16.0013878858046</t>
  </si>
  <si>
    <t>17.069619491618</t>
  </si>
  <si>
    <t>7.53596965547234</t>
  </si>
  <si>
    <t>5.99714641913562</t>
  </si>
  <si>
    <t>8.17405315874248</t>
  </si>
  <si>
    <t>2824894873.17</t>
  </si>
  <si>
    <t>3129499115.99</t>
  </si>
  <si>
    <t>3119640209.38</t>
  </si>
  <si>
    <t>3239623878.05</t>
  </si>
  <si>
    <t>3454509867.04</t>
  </si>
  <si>
    <t>3586445048.17</t>
  </si>
  <si>
    <t>3979191888.78</t>
  </si>
  <si>
    <t>4041324055.23</t>
  </si>
  <si>
    <t>4114423460.72</t>
  </si>
  <si>
    <t>4354379845.76</t>
  </si>
  <si>
    <t>4643222317.58</t>
  </si>
  <si>
    <t>4768323638.57</t>
  </si>
  <si>
    <t>4835047544.01</t>
  </si>
  <si>
    <t>4968441198.71</t>
  </si>
  <si>
    <t>4975426054.13</t>
  </si>
  <si>
    <t>5237358697.08</t>
  </si>
  <si>
    <t>2190414411.69</t>
  </si>
  <si>
    <t>2866191693.52</t>
  </si>
  <si>
    <t>2655086487.12</t>
  </si>
  <si>
    <t>2749611998.27</t>
  </si>
  <si>
    <t>28.9662293168748</t>
  </si>
  <si>
    <t>9.18666476723437</t>
  </si>
  <si>
    <t>17.4967453796169</t>
  </si>
  <si>
    <t>17.8211282205746</t>
  </si>
  <si>
    <t>22.2880858275433</t>
  </si>
  <si>
    <t>14.6012481628533</t>
  </si>
  <si>
    <t>27.5529106470527</t>
  </si>
  <si>
    <t>24.7467054003368</t>
  </si>
  <si>
    <t>19.10295871424</t>
  </si>
  <si>
    <t>21.4121445407854</t>
  </si>
  <si>
    <t>16.687569922736</t>
  </si>
  <si>
    <t>17.9891434936817</t>
  </si>
  <si>
    <t>17.5145823022284</t>
  </si>
  <si>
    <t>14.1021540311402</t>
  </si>
  <si>
    <t>7.15459467215736</t>
  </si>
  <si>
    <t>9.83647701083188</t>
  </si>
  <si>
    <t>553371183.41</t>
  </si>
  <si>
    <t>685586951.88</t>
  </si>
  <si>
    <t>604189602.26</t>
  </si>
  <si>
    <t>669295411.89</t>
  </si>
  <si>
    <t>901919662.89</t>
  </si>
  <si>
    <t>1048566584.35</t>
  </si>
  <si>
    <t>1246415358.76</t>
  </si>
  <si>
    <t>1230560188.65</t>
  </si>
  <si>
    <t>1232978218.3</t>
  </si>
  <si>
    <t>1315321984.6</t>
  </si>
  <si>
    <t>667102321.73</t>
  </si>
  <si>
    <t>650549883.09</t>
  </si>
  <si>
    <t>775963137.97</t>
  </si>
  <si>
    <t>781849673.45</t>
  </si>
  <si>
    <t>643342180.55</t>
  </si>
  <si>
    <t>737773017.15</t>
  </si>
  <si>
    <t>591243264.5</t>
  </si>
  <si>
    <t>581032446.85</t>
  </si>
  <si>
    <t>396599910.48</t>
  </si>
  <si>
    <t>511019047.88</t>
  </si>
  <si>
    <t>-6.40549894839436</t>
  </si>
  <si>
    <t>17.994606944385</t>
  </si>
  <si>
    <t>52.3423445882166</t>
  </si>
  <si>
    <t>30.9726936141854</t>
  </si>
  <si>
    <t>62.9863805578318</t>
  </si>
  <si>
    <t>52.9443612476355</t>
  </si>
  <si>
    <t>106.29540033422</t>
  </si>
  <si>
    <t>83.8590503967544</t>
  </si>
  <si>
    <t>36.7059915679404</t>
  </si>
  <si>
    <t>25.4400058357152</t>
  </si>
  <si>
    <t>-46.4783294716724</t>
  </si>
  <si>
    <t>-47.1338428554484</t>
  </si>
  <si>
    <t>-37.0659492233465</t>
  </si>
  <si>
    <t>-40.5583056769353</t>
  </si>
  <si>
    <t>-3.56169367217651</t>
  </si>
  <si>
    <t>13.4076012197105</t>
  </si>
  <si>
    <t>107722843.13</t>
  </si>
  <si>
    <t>181473699.53</t>
  </si>
  <si>
    <t>178420036.79</t>
  </si>
  <si>
    <t>161702267.47</t>
  </si>
  <si>
    <t>68481864.93</t>
  </si>
  <si>
    <t>66437999.94</t>
  </si>
  <si>
    <t>166625986.19</t>
  </si>
  <si>
    <t>145361399.32</t>
  </si>
  <si>
    <t>144159040.94</t>
  </si>
  <si>
    <t>159486453.7</t>
  </si>
  <si>
    <t>57583891.32</t>
  </si>
  <si>
    <t>67066108.47</t>
  </si>
  <si>
    <t>67777293.45</t>
  </si>
  <si>
    <t>66665792.29</t>
  </si>
  <si>
    <t>72623282.17</t>
  </si>
  <si>
    <t>141929919.06</t>
  </si>
  <si>
    <t>169923773.28</t>
  </si>
  <si>
    <t>150261104.02</t>
  </si>
  <si>
    <t>131602040.02</t>
  </si>
  <si>
    <t>122858118.48</t>
  </si>
  <si>
    <t>-36.6051959354183</t>
  </si>
  <si>
    <t>20.7722389061148</t>
  </si>
  <si>
    <t>35.5754339088398</t>
  </si>
  <si>
    <t>31.6170794983511</t>
  </si>
  <si>
    <t>-36.4277223472871</t>
  </si>
  <si>
    <t>-63.3897363022475</t>
  </si>
  <si>
    <t>-6.61027248519266</t>
  </si>
  <si>
    <t>-10.1055281448244</t>
  </si>
  <si>
    <t>110.506885417555</t>
  </si>
  <si>
    <t>140.053062771354</t>
  </si>
  <si>
    <t>-65.4412300045814</t>
  </si>
  <si>
    <t>-53.8625049127657</t>
  </si>
  <si>
    <t>-52.9843615717384</t>
  </si>
  <si>
    <t>-58.1997149329053</t>
  </si>
  <si>
    <t>26.1173576589752</t>
  </si>
  <si>
    <t>111.626889196185</t>
  </si>
  <si>
    <t>661094026.54</t>
  </si>
  <si>
    <t>867060651.41</t>
  </si>
  <si>
    <t>782609639.05</t>
  </si>
  <si>
    <t>830997679.36</t>
  </si>
  <si>
    <t>970401527.82</t>
  </si>
  <si>
    <t>1115004584.29</t>
  </si>
  <si>
    <t>1413041344.95</t>
  </si>
  <si>
    <t>1375921587.97</t>
  </si>
  <si>
    <t>1377137259.24</t>
  </si>
  <si>
    <t>1474808438.3</t>
  </si>
  <si>
    <t>724686213.05</t>
  </si>
  <si>
    <t>717615991.56</t>
  </si>
  <si>
    <t>843740431.42</t>
  </si>
  <si>
    <t>848515465.74</t>
  </si>
  <si>
    <t>715965462.72</t>
  </si>
  <si>
    <t>879702936.21</t>
  </si>
  <si>
    <t>761167037.78</t>
  </si>
  <si>
    <t>731293550.87</t>
  </si>
  <si>
    <t>528201950.5</t>
  </si>
  <si>
    <t>633877166.36</t>
  </si>
  <si>
    <t>-13.147312780631</t>
  </si>
  <si>
    <t>18.5653354085349</t>
  </si>
  <si>
    <t>48.1648521572432</t>
  </si>
  <si>
    <t>31.0975885331147</t>
  </si>
  <si>
    <t>46.7872176820047</t>
  </si>
  <si>
    <t>28.5959156924948</t>
  </si>
  <si>
    <t>80.5550653152283</t>
  </si>
  <si>
    <t>65.5746606933581</t>
  </si>
  <si>
    <t>41.9141684920601</t>
  </si>
  <si>
    <t>32.2692712729169</t>
  </si>
  <si>
    <t>-48.7144367261495</t>
  </si>
  <si>
    <t>-47.8447029369782</t>
  </si>
  <si>
    <t>-38.7322922418326</t>
  </si>
  <si>
    <t>-42.4660556785207</t>
  </si>
  <si>
    <t>-1.20338295015947</t>
  </si>
  <si>
    <t>22.5868635253856</t>
  </si>
  <si>
    <t>2787253435.72</t>
  </si>
  <si>
    <t>2977196994.58</t>
  </si>
  <si>
    <t>3124569662.685</t>
  </si>
  <si>
    <t>3179632043.715</t>
  </si>
  <si>
    <t>3347066872.545</t>
  </si>
  <si>
    <t>3520477457.605</t>
  </si>
  <si>
    <t>3782818468.475</t>
  </si>
  <si>
    <t>4010257972.005</t>
  </si>
  <si>
    <t>4077873757.975</t>
  </si>
  <si>
    <t>4234401653.24</t>
  </si>
  <si>
    <t>4498801081.67</t>
  </si>
  <si>
    <t>4705772978.075</t>
  </si>
  <si>
    <t>4801685591.29</t>
  </si>
  <si>
    <t>4901744371.36</t>
  </si>
  <si>
    <t>4971933626.42</t>
  </si>
  <si>
    <t>5106392375.605</t>
  </si>
  <si>
    <t>2175422169.195</t>
  </si>
  <si>
    <t>2528303052.605</t>
  </si>
  <si>
    <t>2760639090.32</t>
  </si>
  <si>
    <t>2702349242.695</t>
  </si>
  <si>
    <t>28.1247141446299</t>
  </si>
  <si>
    <t>17.7547522047442</t>
  </si>
  <si>
    <t>13.1828377581517</t>
  </si>
  <si>
    <t>17.6617734480542</t>
  </si>
  <si>
    <t>20.0847698185863</t>
  </si>
  <si>
    <t>18.2480522455869</t>
  </si>
  <si>
    <t>21.0668628595835</t>
  </si>
  <si>
    <t>26.1233349290164</t>
  </si>
  <si>
    <t>21.8342481121185</t>
  </si>
  <si>
    <t>20.2791866794309</t>
  </si>
  <si>
    <t>18.9272263303621</t>
  </si>
  <si>
    <t>17.3433981286312</t>
  </si>
  <si>
    <t>17.7497361682533</t>
  </si>
  <si>
    <t>15.7600240310074</t>
  </si>
  <si>
    <t>10.5168585176557</t>
  </si>
  <si>
    <t>8.51336006638132</t>
  </si>
  <si>
    <t>47088678.2</t>
  </si>
  <si>
    <t>117576326.1</t>
  </si>
  <si>
    <t>191021501.04</t>
  </si>
  <si>
    <t>261535696.81</t>
  </si>
  <si>
    <t>75401601.33</t>
  </si>
  <si>
    <t>174434626.01</t>
  </si>
  <si>
    <t>268988400.78</t>
  </si>
  <si>
    <t>358051432.76</t>
  </si>
  <si>
    <t>64544653.21</t>
  </si>
  <si>
    <t>175762910.01</t>
  </si>
  <si>
    <t>259866465.93</t>
  </si>
  <si>
    <t>344043803.83</t>
  </si>
  <si>
    <t>102986077.15</t>
  </si>
  <si>
    <t>229401898.93</t>
  </si>
  <si>
    <t>365597402.77</t>
  </si>
  <si>
    <t>482969956.99</t>
  </si>
  <si>
    <t>41278881.54</t>
  </si>
  <si>
    <t>104161227.94</t>
  </si>
  <si>
    <t>164370439.96</t>
  </si>
  <si>
    <t>210897180.87</t>
  </si>
  <si>
    <t>14.0745011571358</t>
  </si>
  <si>
    <t>12.8791666777656</t>
  </si>
  <si>
    <t>16.2140230849815</t>
  </si>
  <si>
    <t>24.0109970797639</t>
  </si>
  <si>
    <t>60.1268164923771</t>
  </si>
  <si>
    <t>48.3586294928465</t>
  </si>
  <si>
    <t>40.8157716882738</t>
  </si>
  <si>
    <t>36.9034656175889</t>
  </si>
  <si>
    <t>-14.3988296382246</t>
  </si>
  <si>
    <t>0.761479547027465</t>
  </si>
  <si>
    <t>-3.39120007537449</t>
  </si>
  <si>
    <t>-3.91218345979619</t>
  </si>
  <si>
    <t>59.5578750960648</t>
  </si>
  <si>
    <t>30.5178088579372</t>
  </si>
  <si>
    <t>40.6866412954108</t>
  </si>
  <si>
    <t>40.3803677361522</t>
  </si>
  <si>
    <t>8651603.26</t>
  </si>
  <si>
    <t>4417039.65</t>
  </si>
  <si>
    <t>14192618.72</t>
  </si>
  <si>
    <t>28029606.33</t>
  </si>
  <si>
    <t>12389205.8</t>
  </si>
  <si>
    <t>1241554.53</t>
  </si>
  <si>
    <t>15960519.33</t>
  </si>
  <si>
    <t>31972441.04</t>
  </si>
  <si>
    <t>11161541.29</t>
  </si>
  <si>
    <t>23454604.47</t>
  </si>
  <si>
    <t>36081421.98</t>
  </si>
  <si>
    <t>40398423.63</t>
  </si>
  <si>
    <t>14413481.48</t>
  </si>
  <si>
    <t>38833829.11</t>
  </si>
  <si>
    <t>62938980.66</t>
  </si>
  <si>
    <t>71877464.81</t>
  </si>
  <si>
    <t>7463327.74</t>
  </si>
  <si>
    <t>15422515.85</t>
  </si>
  <si>
    <t>25772351.86</t>
  </si>
  <si>
    <t>27271267.75</t>
  </si>
  <si>
    <t>15.921524035872</t>
  </si>
  <si>
    <t>-71.3597982783075</t>
  </si>
  <si>
    <t>-44.930835970668</t>
  </si>
  <si>
    <t>2.78072360607438</t>
  </si>
  <si>
    <t>43.2012706509614</t>
  </si>
  <si>
    <t>-71.8917051152122</t>
  </si>
  <si>
    <t>12.4564792789699</t>
  </si>
  <si>
    <t>14.0666788665526</t>
  </si>
  <si>
    <t>-9.90914615366225</t>
  </si>
  <si>
    <t>1789.13204400293</t>
  </si>
  <si>
    <t>126.06671646442</t>
  </si>
  <si>
    <t>26.3538920267566</t>
  </si>
  <si>
    <t>29.1352251943334</t>
  </si>
  <si>
    <t>65.5701726271746</t>
  </si>
  <si>
    <t>74.4359762065009</t>
  </si>
  <si>
    <t>77.9214591844212</t>
  </si>
  <si>
    <t>846061</t>
  </si>
  <si>
    <t>5164302</t>
  </si>
  <si>
    <t>14136336</t>
  </si>
  <si>
    <t>20880408</t>
  </si>
  <si>
    <t>1147642</t>
  </si>
  <si>
    <t>6584556</t>
  </si>
  <si>
    <t>12969660</t>
  </si>
  <si>
    <t>27758727</t>
  </si>
  <si>
    <t>3310434</t>
  </si>
  <si>
    <t>38438688</t>
  </si>
  <si>
    <t>47599522</t>
  </si>
  <si>
    <t>97471273</t>
  </si>
  <si>
    <t>33687464</t>
  </si>
  <si>
    <t>45030640</t>
  </si>
  <si>
    <t>61339100</t>
  </si>
  <si>
    <t>119108924</t>
  </si>
  <si>
    <t>1992150</t>
  </si>
  <si>
    <t>14344273</t>
  </si>
  <si>
    <t>20729375</t>
  </si>
  <si>
    <t>23281730</t>
  </si>
  <si>
    <t>-57.5302285023127</t>
  </si>
  <si>
    <t>-63.9974648168372</t>
  </si>
  <si>
    <t>-31.805293337953</t>
  </si>
  <si>
    <t>-10.314189688946</t>
  </si>
  <si>
    <t>35.6452427684326</t>
  </si>
  <si>
    <t>27.5013652280546</t>
  </si>
  <si>
    <t>-8.25303321925996</t>
  </si>
  <si>
    <t>32.9414979963107</t>
  </si>
  <si>
    <t>188.455253869926</t>
  </si>
  <si>
    <t>483.770429043899</t>
  </si>
  <si>
    <t>267.00671513992</t>
  </si>
  <si>
    <t>251.137401165519</t>
  </si>
  <si>
    <t>917.614816132131</t>
  </si>
  <si>
    <t>17.1492619578032</t>
  </si>
  <si>
    <t>28.8649493115448</t>
  </si>
  <si>
    <t>22.1990029855028</t>
  </si>
  <si>
    <t>261629499.64</t>
  </si>
  <si>
    <t>578887381.63</t>
  </si>
  <si>
    <t>940806170.15</t>
  </si>
  <si>
    <t>1319276021.49</t>
  </si>
  <si>
    <t>336147758.26</t>
  </si>
  <si>
    <t>749998479.94</t>
  </si>
  <si>
    <t>1227875488.02</t>
  </si>
  <si>
    <t>1736258766.5</t>
  </si>
  <si>
    <t>359929097.11</t>
  </si>
  <si>
    <t>813956953.63</t>
  </si>
  <si>
    <t>1389927092.94</t>
  </si>
  <si>
    <t>1987557913.8</t>
  </si>
  <si>
    <t>492009611.88</t>
  </si>
  <si>
    <t>1129691378.35</t>
  </si>
  <si>
    <t>1749608026.77</t>
  </si>
  <si>
    <t>2362042839.62</t>
  </si>
  <si>
    <t>253319128.6</t>
  </si>
  <si>
    <t>547412704.1</t>
  </si>
  <si>
    <t>879932479.8</t>
  </si>
  <si>
    <t>1162528639.72</t>
  </si>
  <si>
    <t>3.28059356825057</t>
  </si>
  <si>
    <t>5.74971630988131</t>
  </si>
  <si>
    <t>6.9179956130084</t>
  </si>
  <si>
    <t>13.4833135644515</t>
  </si>
  <si>
    <t>28.4823610191269</t>
  </si>
  <si>
    <t>29.5586160175395</t>
  </si>
  <si>
    <t>30.5131202343444</t>
  </si>
  <si>
    <t>31.606937306346</t>
  </si>
  <si>
    <t>7.07466828667822</t>
  </si>
  <si>
    <t>8.52781377571814</t>
  </si>
  <si>
    <t>13.1977229369824</t>
  </si>
  <si>
    <t>14.4735999119864</t>
  </si>
  <si>
    <t>36.6962592995459</t>
  </si>
  <si>
    <t>38.7900641811487</t>
  </si>
  <si>
    <t>25.8776834883617</t>
  </si>
  <si>
    <t>18.841459824636</t>
  </si>
  <si>
    <t>206735279.58</t>
  </si>
  <si>
    <t>462058317.9</t>
  </si>
  <si>
    <t>749728386.68</t>
  </si>
  <si>
    <t>1050591126.25</t>
  </si>
  <si>
    <t>249504593.17</t>
  </si>
  <si>
    <t>580906854.98</t>
  </si>
  <si>
    <t>955896227.67</t>
  </si>
  <si>
    <t>1373993619.75</t>
  </si>
  <si>
    <t>287533336.37</t>
  </si>
  <si>
    <t>653178127.51</t>
  </si>
  <si>
    <t>1141578727.28</t>
  </si>
  <si>
    <t>1700586959.1</t>
  </si>
  <si>
    <t>408297517.67</t>
  </si>
  <si>
    <t>906486290.03</t>
  </si>
  <si>
    <t>1382410743.56</t>
  </si>
  <si>
    <t>1926304341.33</t>
  </si>
  <si>
    <t>206569068.96</t>
  </si>
  <si>
    <t>442173233.55</t>
  </si>
  <si>
    <t>710519062.71</t>
  </si>
  <si>
    <t>947641920.76</t>
  </si>
  <si>
    <t>0.080462491716117</t>
  </si>
  <si>
    <t>4.49712529868714</t>
  </si>
  <si>
    <t>5.51840563157464</t>
  </si>
  <si>
    <t>10.8637242860083</t>
  </si>
  <si>
    <t>20.6879607955108</t>
  </si>
  <si>
    <t>25.7215447652046</t>
  </si>
  <si>
    <t>27.4990042597916</t>
  </si>
  <si>
    <t>30.7829073956068</t>
  </si>
  <si>
    <t>15.2417006504121</t>
  </si>
  <si>
    <t>12.4411120148493</t>
  </si>
  <si>
    <t>19.424964157731</t>
  </si>
  <si>
    <t>23.7696401683018</t>
  </si>
  <si>
    <t>42.0000626099924</t>
  </si>
  <si>
    <t>38.78087030955</t>
  </si>
  <si>
    <t>21.0964001452464</t>
  </si>
  <si>
    <t>13.2729103338212</t>
  </si>
  <si>
    <t>2139767839.27</t>
  </si>
  <si>
    <t>2213119655.605</t>
  </si>
  <si>
    <t>2299734517.455</t>
  </si>
  <si>
    <t>2372828384.51</t>
  </si>
  <si>
    <t>2446367268.955</t>
  </si>
  <si>
    <t>2477774401.55</t>
  </si>
  <si>
    <t>2518795503.855</t>
  </si>
  <si>
    <t>2615776505.545</t>
  </si>
  <si>
    <t>2701344334.37</t>
  </si>
  <si>
    <t>2808428804.47</t>
  </si>
  <si>
    <t>3399053755.995</t>
  </si>
  <si>
    <t>3984621875.77</t>
  </si>
  <si>
    <t>4021007379.8</t>
  </si>
  <si>
    <t>4055616422.78</t>
  </si>
  <si>
    <t>4189693162.19</t>
  </si>
  <si>
    <t>4308558176.14</t>
  </si>
  <si>
    <t>1360335228.385</t>
  </si>
  <si>
    <t>1782072758.28</t>
  </si>
  <si>
    <t>2130891339.635</t>
  </si>
  <si>
    <t>2121309684.265</t>
  </si>
  <si>
    <t>57.2970981432531</t>
  </si>
  <si>
    <t>24.1879516603482</t>
  </si>
  <si>
    <t>7.92359397588622</t>
  </si>
  <si>
    <t>11.8567648142401</t>
  </si>
  <si>
    <t>14.3286306139454</t>
  </si>
  <si>
    <t>11.958447220634</t>
  </si>
  <si>
    <t>9.52549021364534</t>
  </si>
  <si>
    <t>10.2387565245335</t>
  </si>
  <si>
    <t>10.4226813631265</t>
  </si>
  <si>
    <t>13.34481471409</t>
  </si>
  <si>
    <t>34.9475870825071</t>
  </si>
  <si>
    <t>52.3303641317705</t>
  </si>
  <si>
    <t>48.8520855575329</t>
  </si>
  <si>
    <t>44.4087318975268</t>
  </si>
  <si>
    <t>23.2605737641109</t>
  </si>
  <si>
    <t>8.12966224825038</t>
  </si>
  <si>
    <t>2.20064426316757</t>
  </si>
  <si>
    <t>5.31269630190231</t>
  </si>
  <si>
    <t>8.30624142004851</t>
  </si>
  <si>
    <t>11.022107562322</t>
  </si>
  <si>
    <t>3.08218648470591</t>
  </si>
  <si>
    <t>7.03997207739657</t>
  </si>
  <si>
    <t>10.679247297699</t>
  </si>
  <si>
    <t>13.6881508034418</t>
  </si>
  <si>
    <t>2.38935304873131</t>
  </si>
  <si>
    <t>6.25840718234513</t>
  </si>
  <si>
    <t>7.64525908046222</t>
  </si>
  <si>
    <t>8.63428989139694</t>
  </si>
  <si>
    <t>2.561200898744</t>
  </si>
  <si>
    <t>5.65640028582269</t>
  </si>
  <si>
    <t>8.72611402833372</t>
  </si>
  <si>
    <t>11.2095493955402</t>
  </si>
  <si>
    <t>3.03446390850339</t>
  </si>
  <si>
    <t>5.84494810641363</t>
  </si>
  <si>
    <t>7.71369411957697</t>
  </si>
  <si>
    <t>9.94183840456432</t>
  </si>
  <si>
    <t>-0.833819645335817</t>
  </si>
  <si>
    <t>-0.532251804511319</t>
  </si>
  <si>
    <t>0.592547300471539</t>
  </si>
  <si>
    <t>1.08026915775769</t>
  </si>
  <si>
    <t>0.881542221538332</t>
  </si>
  <si>
    <t>1.72727577549426</t>
  </si>
  <si>
    <t>2.37300587765053</t>
  </si>
  <si>
    <t>2.66604324111979</t>
  </si>
  <si>
    <t>-0.6928334359746</t>
  </si>
  <si>
    <t>-0.781564895051439</t>
  </si>
  <si>
    <t>-3.03398821723682</t>
  </si>
  <si>
    <t>-5.05386091204488</t>
  </si>
  <si>
    <t>0.17184785001269</t>
  </si>
  <si>
    <t>-0.602006896522439</t>
  </si>
  <si>
    <t>1.08085494787149</t>
  </si>
  <si>
    <t>2.57525950414328</t>
  </si>
  <si>
    <t>1.68942937145707</t>
  </si>
  <si>
    <t>3.94922896650938</t>
  </si>
  <si>
    <t>6.1135299148956</t>
  </si>
  <si>
    <t>8.22534473216682</t>
  </si>
  <si>
    <t>2.25276650276984</t>
  </si>
  <si>
    <t>4.95485706443548</t>
  </si>
  <si>
    <t>7.11079326226404</t>
  </si>
  <si>
    <t>8.9283890278257</t>
  </si>
  <si>
    <t>1.58280165205633</t>
  </si>
  <si>
    <t>4.15083226399917</t>
  </si>
  <si>
    <t>5.77634932535259</t>
  </si>
  <si>
    <t>7.31110075715422</t>
  </si>
  <si>
    <t>2.14479009906045</t>
  </si>
  <si>
    <t>4.68000535218347</t>
  </si>
  <si>
    <t>7.35322372018963</t>
  </si>
  <si>
    <t>9.45814425262959</t>
  </si>
  <si>
    <t>1.8975113026119</t>
  </si>
  <si>
    <t>4.11980786214212</t>
  </si>
  <si>
    <t>5.95407203123198</t>
  </si>
  <si>
    <t>7.80421632918462</t>
  </si>
  <si>
    <t>-0.208081931154825</t>
  </si>
  <si>
    <t>-0.170578895632742</t>
  </si>
  <si>
    <t>0.159457883663622</t>
  </si>
  <si>
    <t>0.421128402982206</t>
  </si>
  <si>
    <t>0.563337131312773</t>
  </si>
  <si>
    <t>1.0056280979261</t>
  </si>
  <si>
    <t>0.99726334736844</t>
  </si>
  <si>
    <t>0.703044295658882</t>
  </si>
  <si>
    <t>-0.66996485071351</t>
  </si>
  <si>
    <t>-0.804024800436316</t>
  </si>
  <si>
    <t>-1.33444393691145</t>
  </si>
  <si>
    <t>-1.61728827067148</t>
  </si>
  <si>
    <t>0.561988447004113</t>
  </si>
  <si>
    <t>0.529173088184304</t>
  </si>
  <si>
    <t>1.57687439483704</t>
  </si>
  <si>
    <t>2.14704349547537</t>
  </si>
  <si>
    <t>17.9982296586561</t>
  </si>
  <si>
    <t>20.3107426126538</t>
  </si>
  <si>
    <t>20.3040229858977</t>
  </si>
  <si>
    <t>19.8241833058271</t>
  </si>
  <si>
    <t>22.431088554718</t>
  </si>
  <si>
    <t>23.2579972727351</t>
  </si>
  <si>
    <t>21.9068141195452</t>
  </si>
  <si>
    <t>20.6220086353701</t>
  </si>
  <si>
    <t>17.932602206449</t>
  </si>
  <si>
    <t>21.5936370131309</t>
  </si>
  <si>
    <t>18.6964098512768</t>
  </si>
  <si>
    <t>17.3098756741244</t>
  </si>
  <si>
    <t>20.931720572792</t>
  </si>
  <si>
    <t>20.3065990700096</t>
  </si>
  <si>
    <t>20.8959605337968</t>
  </si>
  <si>
    <t>20.4471294461238</t>
  </si>
  <si>
    <t>16.2952090385487</t>
  </si>
  <si>
    <t>19.0279157132919</t>
  </si>
  <si>
    <t>18.6798923478038</t>
  </si>
  <si>
    <t>18.141246044553</t>
  </si>
  <si>
    <t>1.70302062010739</t>
  </si>
  <si>
    <t>1.28282689936186</t>
  </si>
  <si>
    <t>1.62413063809397</t>
  </si>
  <si>
    <t>1.68293726127409</t>
  </si>
  <si>
    <t>4.43285889606192</t>
  </si>
  <si>
    <t>2.94725466008135</t>
  </si>
  <si>
    <t>1.60279113364749</t>
  </si>
  <si>
    <t>0.797825329543018</t>
  </si>
  <si>
    <t>-4.49848634826895</t>
  </si>
  <si>
    <t>-1.66436025960426</t>
  </si>
  <si>
    <t>-3.21040426826837</t>
  </si>
  <si>
    <t>-3.31213296124571</t>
  </si>
  <si>
    <t>2.99911836634294</t>
  </si>
  <si>
    <t>-1.28703794312123</t>
  </si>
  <si>
    <t>2.19955068251995</t>
  </si>
  <si>
    <t>3.13725377199944</t>
  </si>
  <si>
    <t>0.093866419281107</t>
  </si>
  <si>
    <t>0.194440402393213</t>
  </si>
  <si>
    <t>0.301099438231615</t>
  </si>
  <si>
    <t>0.414914683004827</t>
  </si>
  <si>
    <t>0.100430547419689</t>
  </si>
  <si>
    <t>0.21303885310211</t>
  </si>
  <si>
    <t>0.324592760200572</t>
  </si>
  <si>
    <t>0.432954383139578</t>
  </si>
  <si>
    <t>0.088263913615789</t>
  </si>
  <si>
    <t>0.192224786471825</t>
  </si>
  <si>
    <t>0.308955001056425</t>
  </si>
  <si>
    <t>0.422365873377312</t>
  </si>
  <si>
    <t>0.10246602001024</t>
  </si>
  <si>
    <t>0.23046721590595</t>
  </si>
  <si>
    <t>0.351896899321601</t>
  </si>
  <si>
    <t>0.462565871534725</t>
  </si>
  <si>
    <t>0.116445962621471</t>
  </si>
  <si>
    <t>0.216513880144226</t>
  </si>
  <si>
    <t>0.318742309664971</t>
  </si>
  <si>
    <t>0.430191857274759</t>
  </si>
  <si>
    <t>-0.022579543340364</t>
  </si>
  <si>
    <t>-0.022073477751013</t>
  </si>
  <si>
    <t>-0.017642871433356</t>
  </si>
  <si>
    <t>-0.015277174269932</t>
  </si>
  <si>
    <t>0.006564128138582</t>
  </si>
  <si>
    <t>0.018598450708897</t>
  </si>
  <si>
    <t>0.023493321968957</t>
  </si>
  <si>
    <t>0.018039700134751</t>
  </si>
  <si>
    <t>-0.0121666338039</t>
  </si>
  <si>
    <t>-0.020814066630285</t>
  </si>
  <si>
    <t>-0.015637759144147</t>
  </si>
  <si>
    <t>-0.010588509762266</t>
  </si>
  <si>
    <t>0.014202106394451</t>
  </si>
  <si>
    <t>0.038242429434125</t>
  </si>
  <si>
    <t>0.042941898265176</t>
  </si>
  <si>
    <t>0.040199998157413</t>
  </si>
  <si>
    <t>1.30552443288375</t>
  </si>
  <si>
    <t>1.38324165053964</t>
  </si>
  <si>
    <t>1.33487351384518</t>
  </si>
  <si>
    <t>1.34500898471168</t>
  </si>
  <si>
    <t>1.39064380264699</t>
  </si>
  <si>
    <t>1.45115575332918</t>
  </si>
  <si>
    <t>1.55064631665803</t>
  </si>
  <si>
    <t>1.51621532015179</t>
  </si>
  <si>
    <t>1.50310313130407</t>
  </si>
  <si>
    <t>1.51216248170796</t>
  </si>
  <si>
    <t>1.184937995649</t>
  </si>
  <si>
    <t>1.17715817928497</t>
  </si>
  <si>
    <t>1.21139451503457</t>
  </si>
  <si>
    <t>1.20595406828567</t>
  </si>
  <si>
    <t>1.1680882936595</t>
  </si>
  <si>
    <t>1.20187527066947</t>
  </si>
  <si>
    <t>1.5325649370953</t>
  </si>
  <si>
    <t>1.34254259548058</t>
  </si>
  <si>
    <t>1.24834538095773</t>
  </si>
  <si>
    <t>1.29960142301375</t>
  </si>
  <si>
    <t>-0.227040504211553</t>
  </si>
  <si>
    <t>0.040699055059056</t>
  </si>
  <si>
    <t>0.086528132887445</t>
  </si>
  <si>
    <t>0.045407561697931</t>
  </si>
  <si>
    <t>0.085119369763244</t>
  </si>
  <si>
    <t>0.067914102789544</t>
  </si>
  <si>
    <t>0.215772802812859</t>
  </si>
  <si>
    <t>0.171206335440109</t>
  </si>
  <si>
    <t>0.112459328657076</t>
  </si>
  <si>
    <t>0.061006728378781</t>
  </si>
  <si>
    <t>-0.365708321009039</t>
  </si>
  <si>
    <t>-0.339057140866822</t>
  </si>
  <si>
    <t>-0.291708616269494</t>
  </si>
  <si>
    <t>-0.306208413422289</t>
  </si>
  <si>
    <t>-0.016849701989493</t>
  </si>
  <si>
    <t>0.024717091384498</t>
  </si>
  <si>
    <t>23.4024293370657</t>
  </si>
  <si>
    <t>27.7060519678629</t>
  </si>
  <si>
    <t>25.0865351939266</t>
  </si>
  <si>
    <t>25.6510542779489</t>
  </si>
  <si>
    <t>28.0908599242615</t>
  </si>
  <si>
    <t>31.0894094099932</t>
  </si>
  <si>
    <t>35.5107615929332</t>
  </si>
  <si>
    <t>34.0463068332612</t>
  </si>
  <si>
    <t>33.470965552948</t>
  </si>
  <si>
    <t>33.8695403373242</t>
  </si>
  <si>
    <t>15.607398558243</t>
  </si>
  <si>
    <t>15.0496494356077</t>
  </si>
  <si>
    <t>17.450509508749</t>
  </si>
  <si>
    <t>17.0781022015579</t>
  </si>
  <si>
    <t>14.3900332339517</t>
  </si>
  <si>
    <t>16.7966906047597</t>
  </si>
  <si>
    <t>34.749910049794</t>
  </si>
  <si>
    <t>25.5144675955672</t>
  </si>
  <si>
    <t>19.893964021976</t>
  </si>
  <si>
    <t>23.0533314067157</t>
  </si>
  <si>
    <t>-11.3474807127284</t>
  </si>
  <si>
    <t>2.19158437229569</t>
  </si>
  <si>
    <t>5.1925711719506</t>
  </si>
  <si>
    <t>2.59772287123328</t>
  </si>
  <si>
    <t>4.68843058719588</t>
  </si>
  <si>
    <t>3.38335744213031</t>
  </si>
  <si>
    <t>10.4242263990065</t>
  </si>
  <si>
    <t>8.39525255531225</t>
  </si>
  <si>
    <t>5.38010562868641</t>
  </si>
  <si>
    <t>2.78013092733101</t>
  </si>
  <si>
    <t>-19.9033630346901</t>
  </si>
  <si>
    <t>-18.9966573976535</t>
  </si>
  <si>
    <t>-16.0204560441989</t>
  </si>
  <si>
    <t>-16.7914381357664</t>
  </si>
  <si>
    <t>-1.21736532429131</t>
  </si>
  <si>
    <t>1.74704116915194</t>
  </si>
  <si>
    <t>000823.SZ</t>
  </si>
  <si>
    <t>超声电子</t>
  </si>
  <si>
    <t>002463.SZ</t>
  </si>
  <si>
    <t>沪电股份</t>
  </si>
  <si>
    <t>002288.SZ</t>
  </si>
  <si>
    <t>超华科技</t>
  </si>
  <si>
    <t>002436.SZ</t>
  </si>
  <si>
    <t>兴森科技</t>
  </si>
  <si>
    <t>002636.SZ</t>
  </si>
  <si>
    <t>金安国纪</t>
  </si>
  <si>
    <t>002618.SZ</t>
  </si>
  <si>
    <t>丹邦科技</t>
  </si>
  <si>
    <t>002134.SZ</t>
  </si>
  <si>
    <t>天津普林</t>
  </si>
  <si>
    <t>002579.SZ</t>
  </si>
  <si>
    <t>中京电子</t>
  </si>
  <si>
    <t>603328.SH</t>
  </si>
  <si>
    <t>依顿电子</t>
  </si>
  <si>
    <t>603228.SH</t>
  </si>
  <si>
    <t>景旺电子</t>
  </si>
  <si>
    <t>603936.SH</t>
  </si>
  <si>
    <t>博敏电子</t>
  </si>
  <si>
    <t>300476.SZ</t>
  </si>
  <si>
    <t>胜宏科技</t>
  </si>
  <si>
    <t>002913.SZ</t>
  </si>
  <si>
    <t>奥士康</t>
  </si>
  <si>
    <t>600183.SH</t>
  </si>
  <si>
    <t>生益科技</t>
  </si>
  <si>
    <t>603920.SH</t>
  </si>
  <si>
    <t>世运电路</t>
  </si>
  <si>
    <t>002916.SZ</t>
  </si>
  <si>
    <t>深南电路</t>
  </si>
  <si>
    <t>603386.SH</t>
  </si>
  <si>
    <t>广东骏亚</t>
  </si>
  <si>
    <t>002815.SZ</t>
  </si>
  <si>
    <t>崇达技术</t>
  </si>
  <si>
    <t>603186.SH</t>
  </si>
  <si>
    <t>华正新材</t>
  </si>
  <si>
    <t>300657.SZ</t>
  </si>
  <si>
    <t>弘信电子</t>
  </si>
  <si>
    <t>300739.SZ</t>
  </si>
  <si>
    <t>明阳电路</t>
  </si>
  <si>
    <t>002938.SZ</t>
  </si>
  <si>
    <t>鹏鼎控股</t>
  </si>
  <si>
    <t>600601.SH</t>
  </si>
  <si>
    <t>方正科技</t>
  </si>
  <si>
    <t>002384.SZ</t>
  </si>
  <si>
    <t>东山精密</t>
  </si>
  <si>
    <t>600563.SH</t>
  </si>
  <si>
    <t>法拉电子</t>
  </si>
  <si>
    <t>600237.SH</t>
  </si>
  <si>
    <t>铜峰电子</t>
  </si>
  <si>
    <t>000733.SZ</t>
  </si>
  <si>
    <t>振华科技</t>
  </si>
  <si>
    <t>000532.SZ</t>
  </si>
  <si>
    <t>华金资本</t>
  </si>
  <si>
    <t>000636.SZ</t>
  </si>
  <si>
    <t>风华高科</t>
  </si>
  <si>
    <t>002222.SZ</t>
  </si>
  <si>
    <t>福晶科技</t>
  </si>
  <si>
    <t>002138.SZ</t>
  </si>
  <si>
    <t>顺络电子</t>
  </si>
  <si>
    <t>002199.SZ</t>
  </si>
  <si>
    <t>东晶电子</t>
  </si>
  <si>
    <t>002484.SZ</t>
  </si>
  <si>
    <t>江海股份</t>
  </si>
  <si>
    <t>603678.SH</t>
  </si>
  <si>
    <t>火炬电子</t>
  </si>
  <si>
    <t>300408.SZ</t>
  </si>
  <si>
    <t>三环集团</t>
  </si>
  <si>
    <t>603989.SH</t>
  </si>
  <si>
    <t>艾华集团</t>
  </si>
  <si>
    <t>300460.SZ</t>
  </si>
  <si>
    <t>惠伦晶体</t>
  </si>
  <si>
    <t>000701.SZ</t>
  </si>
  <si>
    <t>厦门信达</t>
  </si>
  <si>
    <t>603738.SH</t>
  </si>
  <si>
    <t>泰晶科技</t>
  </si>
  <si>
    <t>300726.SZ</t>
  </si>
  <si>
    <t>宏达电子</t>
  </si>
  <si>
    <t>603267.SH</t>
  </si>
  <si>
    <t>鸿远电子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</si>
</sst>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
    <numFmt numFmtId="165" formatCode="0_ "/>
    <numFmt numFmtId="166" formatCode="0.0000_);[Red]\(0.0000\)"/>
    <numFmt numFmtId="167" formatCode="#,##0_ ;[Red]\-#,##0\ "/>
    <numFmt numFmtId="168" formatCode="_(\¥* #,##0.00_);_(\¥* \(#,##0.00\);_(\¥* &quot;-&quot;??_);_(@_)"/>
    <numFmt numFmtId="169" formatCode="#,##0.0000_ ;[Red]\-#,##0.0000\ "/>
    <numFmt numFmtId="170" formatCode="###,###,##0.00%"/>
    <numFmt numFmtId="171" formatCode="0.00_ "/>
    <numFmt numFmtId="172" formatCode="###,###,##0.00"/>
    <numFmt numFmtId="173" formatCode="yyyy\-m\-d"/>
    <numFmt numFmtId="174" formatCode="0.0000_ "/>
    <numFmt numFmtId="175" formatCode="###,###,##0.0000"/>
    <numFmt numFmtId="176" formatCode="#,##0.00_ ;[Red]\-#,##0.00"/>
    <numFmt numFmtId="177" formatCode="0.00_);[Red]\(0.00\)"/>
    <numFmt numFmtId="178" formatCode="#,##0.00_ ;[Red]\-#,##0.00\ "/>
    <numFmt numFmtId="179" formatCode="0_);[Red]\(0\)"/>
    <numFmt numFmtId="180" formatCode="#,##0.00_ "/>
    <numFmt numFmtId="181" formatCode="0.00_ ;[Red]\-0.00\ "/>
    <numFmt numFmtId="182" formatCode="0.0"/>
    <numFmt numFmtId="183" formatCode="0.000_ ;[Red]\-0.000\ "/>
    <numFmt numFmtId="184" formatCode="0.0000000000"/>
    <numFmt numFmtId="185" formatCode="0.0000_ ;[Red]\-0.0000\ "/>
  </numFmts>
  <fonts count="99">
    <font>
      <sz val="11"/>
      <color theme="1"/>
      <name val="Calibri"/>
      <charset val="134"/>
    </font>
    <font>
      <sz val="11"/>
      <color indexed="10"/>
      <name val="Calibri"/>
      <family val="2"/>
    </font>
    <font>
      <sz val="11"/>
      <color indexed="48"/>
      <name val="Calibri"/>
      <family val="2"/>
    </font>
    <font>
      <sz val="11"/>
      <name val="Calibri"/>
      <family val="2"/>
    </font>
    <font>
      <sz val="11"/>
      <color theme="1"/>
      <name val="宋体"/>
      <family val="3"/>
      <charset val="134"/>
    </font>
    <font>
      <sz val="11"/>
      <color indexed="8"/>
      <name val="Calibri"/>
      <family val="2"/>
    </font>
    <font>
      <sz val="9"/>
      <name val="Arial"/>
      <family val="2"/>
    </font>
    <font>
      <b/>
      <sz val="12"/>
      <name val="黑体"/>
      <family val="3"/>
      <charset val="134"/>
    </font>
    <font>
      <b/>
      <sz val="12"/>
      <name val="Arial"/>
      <family val="2"/>
    </font>
    <font>
      <b/>
      <sz val="10"/>
      <name val="Cambria"/>
      <family val="1"/>
    </font>
    <font>
      <b/>
      <sz val="9"/>
      <name val="楷体_GB2312"/>
      <charset val="134"/>
    </font>
    <font>
      <sz val="9"/>
      <name val="宋体"/>
      <family val="3"/>
      <charset val="134"/>
    </font>
    <font>
      <sz val="9"/>
      <name val="楷体_GB2312"/>
      <charset val="134"/>
    </font>
    <font>
      <sz val="9"/>
      <color indexed="63"/>
      <name val="宋体"/>
      <family val="3"/>
      <charset val="134"/>
    </font>
    <font>
      <sz val="8"/>
      <name val="Arial"/>
      <family val="2"/>
    </font>
    <font>
      <b/>
      <sz val="9"/>
      <name val="宋体"/>
      <family val="3"/>
      <charset val="134"/>
    </font>
    <font>
      <sz val="9"/>
      <color indexed="63"/>
      <name val="Arial"/>
      <family val="2"/>
    </font>
    <font>
      <i/>
      <sz val="9"/>
      <color indexed="55"/>
      <name val="宋体"/>
      <family val="3"/>
      <charset val="134"/>
    </font>
    <font>
      <b/>
      <sz val="9"/>
      <name val="Arial"/>
      <family val="2"/>
    </font>
    <font>
      <sz val="9"/>
      <name val="微软雅黑"/>
      <family val="2"/>
      <charset val="134"/>
    </font>
    <font>
      <b/>
      <sz val="12"/>
      <color indexed="10"/>
      <name val="宋体"/>
      <family val="3"/>
      <charset val="134"/>
    </font>
    <font>
      <b/>
      <sz val="12"/>
      <color indexed="9"/>
      <name val="宋体"/>
      <family val="3"/>
      <charset val="134"/>
    </font>
    <font>
      <b/>
      <sz val="8"/>
      <color indexed="9"/>
      <name val="Arial"/>
      <family val="2"/>
    </font>
    <font>
      <b/>
      <sz val="9"/>
      <color indexed="8"/>
      <name val="宋体"/>
      <family val="3"/>
      <charset val="134"/>
    </font>
    <font>
      <b/>
      <sz val="8"/>
      <color indexed="8"/>
      <name val="Arial"/>
      <family val="2"/>
    </font>
    <font>
      <sz val="9"/>
      <color indexed="8"/>
      <name val="宋体"/>
      <family val="3"/>
      <charset val="134"/>
    </font>
    <font>
      <sz val="8"/>
      <color indexed="8"/>
      <name val="Arial"/>
      <family val="2"/>
    </font>
    <font>
      <sz val="9"/>
      <color indexed="8"/>
      <name val="Arial"/>
      <family val="2"/>
    </font>
    <font>
      <b/>
      <sz val="9"/>
      <color indexed="9"/>
      <name val="宋体"/>
      <family val="3"/>
      <charset val="134"/>
    </font>
    <font>
      <b/>
      <sz val="9"/>
      <color indexed="10"/>
      <name val="宋体"/>
      <family val="3"/>
      <charset val="134"/>
    </font>
    <font>
      <b/>
      <sz val="8"/>
      <name val="Arial"/>
      <family val="2"/>
    </font>
    <font>
      <sz val="12"/>
      <name val="宋体"/>
      <family val="3"/>
      <charset val="134"/>
    </font>
    <font>
      <b/>
      <sz val="8"/>
      <color theme="0"/>
      <name val="Arial"/>
      <family val="2"/>
    </font>
    <font>
      <b/>
      <sz val="14"/>
      <color indexed="60"/>
      <name val="宋体"/>
      <family val="3"/>
      <charset val="134"/>
    </font>
    <font>
      <b/>
      <sz val="9"/>
      <color indexed="53"/>
      <name val="Arial"/>
      <family val="2"/>
    </font>
    <font>
      <b/>
      <sz val="9"/>
      <color indexed="10"/>
      <name val="Arial"/>
      <family val="2"/>
    </font>
    <font>
      <b/>
      <sz val="8"/>
      <color indexed="53"/>
      <name val="Arial"/>
      <family val="2"/>
    </font>
    <font>
      <sz val="9"/>
      <color indexed="10"/>
      <name val="Arial"/>
      <family val="2"/>
    </font>
    <font>
      <sz val="10"/>
      <color indexed="8"/>
      <name val="Arial"/>
      <family val="2"/>
    </font>
    <font>
      <sz val="11"/>
      <color indexed="9"/>
      <name val="Calibri"/>
      <family val="2"/>
    </font>
    <font>
      <b/>
      <sz val="10"/>
      <color indexed="8"/>
      <name val="Calibri"/>
      <family val="2"/>
    </font>
    <font>
      <sz val="11"/>
      <color indexed="10"/>
      <name val="宋体"/>
      <family val="3"/>
      <charset val="134"/>
    </font>
    <font>
      <b/>
      <sz val="10"/>
      <color indexed="8"/>
      <name val="Arial"/>
      <family val="2"/>
    </font>
    <font>
      <b/>
      <sz val="10"/>
      <color indexed="8"/>
      <name val="宋体"/>
      <family val="3"/>
      <charset val="134"/>
    </font>
    <font>
      <sz val="11"/>
      <color indexed="8"/>
      <name val="宋体"/>
      <family val="3"/>
      <charset val="134"/>
    </font>
    <font>
      <sz val="10"/>
      <name val="宋体"/>
      <family val="3"/>
      <charset val="134"/>
    </font>
    <font>
      <b/>
      <sz val="9"/>
      <color indexed="59"/>
      <name val="宋体"/>
      <family val="3"/>
      <charset val="134"/>
    </font>
    <font>
      <sz val="9"/>
      <color indexed="30"/>
      <name val="Arial"/>
      <family val="2"/>
    </font>
    <font>
      <sz val="8"/>
      <color indexed="9"/>
      <name val="Arial"/>
      <family val="2"/>
    </font>
    <font>
      <b/>
      <sz val="9"/>
      <color indexed="30"/>
      <name val="宋体"/>
      <family val="3"/>
      <charset val="134"/>
    </font>
    <font>
      <sz val="8"/>
      <color indexed="12"/>
      <name val="Arial"/>
      <family val="2"/>
    </font>
    <font>
      <sz val="9"/>
      <name val="Times New Roman"/>
      <family val="1"/>
    </font>
    <font>
      <b/>
      <sz val="9"/>
      <color indexed="30"/>
      <name val="Arial"/>
      <family val="2"/>
    </font>
    <font>
      <sz val="8"/>
      <name val="宋体"/>
      <family val="3"/>
      <charset val="134"/>
    </font>
    <font>
      <b/>
      <sz val="9"/>
      <color indexed="53"/>
      <name val="宋体"/>
      <family val="3"/>
      <charset val="134"/>
    </font>
    <font>
      <sz val="9"/>
      <color indexed="59"/>
      <name val="Arial"/>
      <family val="2"/>
    </font>
    <font>
      <sz val="9"/>
      <color indexed="12"/>
      <name val="Arial"/>
      <family val="2"/>
    </font>
    <font>
      <b/>
      <sz val="11"/>
      <color indexed="30"/>
      <name val="Calibri"/>
      <family val="2"/>
    </font>
    <font>
      <sz val="8"/>
      <color indexed="30"/>
      <name val="Arial"/>
      <family val="2"/>
    </font>
    <font>
      <b/>
      <sz val="9"/>
      <color indexed="62"/>
      <name val="Calibri"/>
      <family val="2"/>
    </font>
    <font>
      <b/>
      <sz val="11"/>
      <color indexed="62"/>
      <name val="Calibri"/>
      <family val="2"/>
    </font>
    <font>
      <sz val="9"/>
      <color indexed="9"/>
      <name val="Arial"/>
      <family val="2"/>
    </font>
    <font>
      <u/>
      <sz val="9"/>
      <color indexed="59"/>
      <name val="宋体"/>
      <family val="3"/>
      <charset val="134"/>
    </font>
    <font>
      <sz val="9"/>
      <color indexed="55"/>
      <name val="楷体_GB2312"/>
      <charset val="134"/>
    </font>
    <font>
      <sz val="9"/>
      <color indexed="30"/>
      <name val="宋体"/>
      <family val="3"/>
      <charset val="134"/>
    </font>
    <font>
      <sz val="8"/>
      <color indexed="8"/>
      <name val="宋体"/>
      <family val="3"/>
      <charset val="134"/>
    </font>
    <font>
      <b/>
      <sz val="9"/>
      <name val="Times New Roman"/>
      <family val="1"/>
    </font>
    <font>
      <sz val="9"/>
      <color indexed="48"/>
      <name val="楷体_GB2312"/>
      <charset val="134"/>
    </font>
    <font>
      <sz val="8"/>
      <color indexed="12"/>
      <name val="宋体"/>
      <family val="3"/>
      <charset val="134"/>
    </font>
    <font>
      <sz val="9"/>
      <color indexed="10"/>
      <name val="楷体_GB2312"/>
      <charset val="134"/>
    </font>
    <font>
      <sz val="8"/>
      <color indexed="22"/>
      <name val="Arial"/>
      <family val="2"/>
    </font>
    <font>
      <sz val="8"/>
      <color indexed="48"/>
      <name val="Arial"/>
      <family val="2"/>
    </font>
    <font>
      <b/>
      <sz val="9"/>
      <color indexed="9"/>
      <name val="Arial"/>
      <family val="2"/>
    </font>
    <font>
      <b/>
      <sz val="9"/>
      <color indexed="22"/>
      <name val="Arial"/>
      <family val="2"/>
    </font>
    <font>
      <sz val="9"/>
      <color indexed="22"/>
      <name val="Arial"/>
      <family val="2"/>
    </font>
    <font>
      <b/>
      <sz val="9"/>
      <color indexed="8"/>
      <name val="Arial"/>
      <family val="2"/>
    </font>
    <font>
      <sz val="9"/>
      <color indexed="48"/>
      <name val="Arial"/>
      <family val="2"/>
    </font>
    <font>
      <b/>
      <sz val="8"/>
      <name val="宋体"/>
      <family val="3"/>
      <charset val="134"/>
    </font>
    <font>
      <sz val="9"/>
      <color indexed="48"/>
      <name val="宋体"/>
      <family val="3"/>
      <charset val="134"/>
    </font>
    <font>
      <b/>
      <sz val="9"/>
      <color indexed="59"/>
      <name val="Arial"/>
      <family val="2"/>
    </font>
    <font>
      <b/>
      <sz val="14"/>
      <color indexed="57"/>
      <name val="仿宋"/>
      <family val="3"/>
      <charset val="134"/>
    </font>
    <font>
      <b/>
      <sz val="11"/>
      <color indexed="8"/>
      <name val="Calibri"/>
      <family val="2"/>
    </font>
    <font>
      <sz val="10"/>
      <color indexed="8"/>
      <name val="Calibri"/>
      <family val="2"/>
    </font>
    <font>
      <b/>
      <sz val="10"/>
      <name val="宋体"/>
      <family val="3"/>
      <charset val="134"/>
    </font>
    <font>
      <sz val="11"/>
      <color theme="0"/>
      <name val="Calibri"/>
      <family val="2"/>
    </font>
    <font>
      <b/>
      <sz val="11"/>
      <color indexed="8"/>
      <name val="Cambria"/>
      <family val="1"/>
    </font>
    <font>
      <b/>
      <sz val="11"/>
      <color indexed="53"/>
      <name val="Calibri"/>
      <family val="2"/>
    </font>
    <font>
      <sz val="11"/>
      <color rgb="FFFF0000"/>
      <name val="Calibri"/>
      <family val="2"/>
    </font>
    <font>
      <b/>
      <sz val="12"/>
      <color indexed="8"/>
      <name val="仿宋"/>
      <family val="3"/>
      <charset val="134"/>
    </font>
    <font>
      <sz val="10"/>
      <color indexed="12"/>
      <name val="宋体"/>
      <family val="3"/>
      <charset val="134"/>
    </font>
    <font>
      <sz val="10"/>
      <color indexed="8"/>
      <name val="宋体"/>
      <family val="3"/>
      <charset val="134"/>
    </font>
    <font>
      <u/>
      <sz val="10"/>
      <color indexed="12"/>
      <name val="宋体"/>
      <family val="3"/>
      <charset val="134"/>
    </font>
    <font>
      <sz val="11"/>
      <color theme="0"/>
      <name val="宋体"/>
      <family val="3"/>
      <charset val="134"/>
    </font>
    <font>
      <u/>
      <sz val="7.5"/>
      <color indexed="12"/>
      <name val="Arial"/>
      <family val="2"/>
    </font>
    <font>
      <sz val="11"/>
      <color theme="1"/>
      <name val="Calibri"/>
      <family val="2"/>
    </font>
    <font>
      <sz val="11"/>
      <color rgb="FF000000"/>
      <name val="黑体"/>
      <family val="3"/>
      <charset val="134"/>
    </font>
    <font>
      <sz val="9"/>
      <name val="Calibri"/>
      <family val="2"/>
    </font>
    <font>
      <sz val="9"/>
      <color rgb="FF000000"/>
      <name val="宋体"/>
      <charset val="134"/>
    </font>
    <font>
      <sz val="11"/>
      <color rgb="FF000000"/>
      <name val="宋体"/>
      <charset val="134"/>
    </font>
  </fonts>
  <fills count="16">
    <fill>
      <patternFill patternType="none"/>
    </fill>
    <fill>
      <patternFill patternType="gray125"/>
    </fill>
    <fill>
      <patternFill patternType="solid">
        <fgColor rgb="FFFFFF00"/>
        <bgColor indexed="64"/>
      </patternFill>
    </fill>
    <fill>
      <patternFill patternType="solid">
        <fgColor indexed="13"/>
        <bgColor indexed="64"/>
      </patternFill>
    </fill>
    <fill>
      <patternFill patternType="solid">
        <fgColor indexed="9"/>
        <bgColor indexed="64"/>
      </patternFill>
    </fill>
    <fill>
      <patternFill patternType="solid">
        <fgColor rgb="FFFF0000"/>
        <bgColor indexed="64"/>
      </patternFill>
    </fill>
    <fill>
      <patternFill patternType="solid">
        <fgColor indexed="52"/>
        <bgColor indexed="64"/>
      </patternFill>
    </fill>
    <fill>
      <patternFill patternType="solid">
        <fgColor indexed="55"/>
        <bgColor indexed="64"/>
      </patternFill>
    </fill>
    <fill>
      <patternFill patternType="solid">
        <fgColor indexed="22"/>
        <bgColor indexed="64"/>
      </patternFill>
    </fill>
    <fill>
      <patternFill patternType="solid">
        <fgColor indexed="51"/>
        <bgColor indexed="64"/>
      </patternFill>
    </fill>
    <fill>
      <patternFill patternType="solid">
        <fgColor indexed="50"/>
        <bgColor indexed="64"/>
      </patternFill>
    </fill>
    <fill>
      <patternFill patternType="solid">
        <fgColor indexed="44"/>
        <bgColor indexed="64"/>
      </patternFill>
    </fill>
    <fill>
      <patternFill patternType="solid">
        <fgColor indexed="9"/>
        <bgColor indexed="31"/>
      </patternFill>
    </fill>
    <fill>
      <patternFill patternType="solid">
        <fgColor indexed="9"/>
        <bgColor indexed="9"/>
      </patternFill>
    </fill>
    <fill>
      <patternFill patternType="solid">
        <fgColor rgb="FFFFFFFF"/>
        <bgColor indexed="64"/>
      </patternFill>
    </fill>
    <fill>
      <patternFill patternType="solid">
        <fgColor indexed="51"/>
        <bgColor indexed="31"/>
      </patternFill>
    </fill>
  </fills>
  <borders count="192">
    <border>
      <left/>
      <right/>
      <top/>
      <bottom/>
      <diagonal/>
    </border>
    <border>
      <left style="thin">
        <color indexed="53"/>
      </left>
      <right/>
      <top style="thin">
        <color indexed="53"/>
      </top>
      <bottom style="medium">
        <color indexed="53"/>
      </bottom>
      <diagonal/>
    </border>
    <border>
      <left/>
      <right style="thin">
        <color indexed="53"/>
      </right>
      <top style="thin">
        <color indexed="53"/>
      </top>
      <bottom style="medium">
        <color indexed="53"/>
      </bottom>
      <diagonal/>
    </border>
    <border>
      <left style="thin">
        <color indexed="53"/>
      </left>
      <right/>
      <top/>
      <bottom/>
      <diagonal/>
    </border>
    <border>
      <left style="thin">
        <color indexed="53"/>
      </left>
      <right style="hair">
        <color indexed="53"/>
      </right>
      <top/>
      <bottom style="hair">
        <color indexed="53"/>
      </bottom>
      <diagonal/>
    </border>
    <border>
      <left style="hair">
        <color indexed="53"/>
      </left>
      <right style="thin">
        <color indexed="53"/>
      </right>
      <top/>
      <bottom style="hair">
        <color indexed="53"/>
      </bottom>
      <diagonal/>
    </border>
    <border>
      <left style="thin">
        <color indexed="53"/>
      </left>
      <right/>
      <top style="medium">
        <color indexed="53"/>
      </top>
      <bottom style="thin">
        <color indexed="53"/>
      </bottom>
      <diagonal/>
    </border>
    <border>
      <left/>
      <right/>
      <top style="medium">
        <color indexed="53"/>
      </top>
      <bottom style="thin">
        <color indexed="53"/>
      </bottom>
      <diagonal/>
    </border>
    <border>
      <left style="thin">
        <color indexed="53"/>
      </left>
      <right style="hair">
        <color indexed="53"/>
      </right>
      <top style="hair">
        <color indexed="53"/>
      </top>
      <bottom style="hair">
        <color indexed="53"/>
      </bottom>
      <diagonal/>
    </border>
    <border>
      <left style="hair">
        <color indexed="53"/>
      </left>
      <right style="thin">
        <color indexed="53"/>
      </right>
      <top style="hair">
        <color indexed="53"/>
      </top>
      <bottom style="hair">
        <color indexed="53"/>
      </bottom>
      <diagonal/>
    </border>
    <border>
      <left style="thin">
        <color indexed="53"/>
      </left>
      <right style="hair">
        <color indexed="53"/>
      </right>
      <top style="hair">
        <color indexed="53"/>
      </top>
      <bottom style="thin">
        <color indexed="53"/>
      </bottom>
      <diagonal/>
    </border>
    <border>
      <left style="hair">
        <color indexed="53"/>
      </left>
      <right style="thin">
        <color indexed="53"/>
      </right>
      <top style="hair">
        <color indexed="53"/>
      </top>
      <bottom style="thin">
        <color indexed="53"/>
      </bottom>
      <diagonal/>
    </border>
    <border>
      <left/>
      <right/>
      <top/>
      <bottom style="medium">
        <color indexed="53"/>
      </bottom>
      <diagonal/>
    </border>
    <border>
      <left style="thin">
        <color indexed="53"/>
      </left>
      <right/>
      <top style="thin">
        <color indexed="53"/>
      </top>
      <bottom/>
      <diagonal/>
    </border>
    <border>
      <left/>
      <right/>
      <top style="thin">
        <color indexed="53"/>
      </top>
      <bottom/>
      <diagonal/>
    </border>
    <border>
      <left style="thin">
        <color indexed="53"/>
      </left>
      <right/>
      <top/>
      <bottom style="thin">
        <color indexed="53"/>
      </bottom>
      <diagonal/>
    </border>
    <border>
      <left/>
      <right/>
      <top/>
      <bottom style="thin">
        <color indexed="53"/>
      </bottom>
      <diagonal/>
    </border>
    <border>
      <left/>
      <right style="thin">
        <color indexed="0"/>
      </right>
      <top style="medium">
        <color indexed="53"/>
      </top>
      <bottom style="thin">
        <color indexed="53"/>
      </bottom>
      <diagonal/>
    </border>
    <border>
      <left/>
      <right style="thin">
        <color auto="1"/>
      </right>
      <top/>
      <bottom/>
      <diagonal/>
    </border>
    <border>
      <left/>
      <right/>
      <top/>
      <bottom style="thin">
        <color auto="1"/>
      </bottom>
      <diagonal/>
    </border>
    <border>
      <left/>
      <right/>
      <top style="thin">
        <color auto="1"/>
      </top>
      <bottom style="thin">
        <color auto="1"/>
      </bottom>
      <diagonal/>
    </border>
    <border>
      <left/>
      <right/>
      <top/>
      <bottom style="thick">
        <color indexed="62"/>
      </bottom>
      <diagonal/>
    </border>
    <border>
      <left style="thin">
        <color auto="1"/>
      </left>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ck">
        <color indexed="62"/>
      </bottom>
      <diagonal/>
    </border>
    <border>
      <left style="hair">
        <color indexed="30"/>
      </left>
      <right style="hair">
        <color indexed="30"/>
      </right>
      <top style="hair">
        <color indexed="30"/>
      </top>
      <bottom style="hair">
        <color indexed="30"/>
      </bottom>
      <diagonal/>
    </border>
    <border>
      <left/>
      <right style="hair">
        <color indexed="30"/>
      </right>
      <top style="hair">
        <color indexed="9"/>
      </top>
      <bottom style="hair">
        <color indexed="9"/>
      </bottom>
      <diagonal/>
    </border>
    <border>
      <left/>
      <right style="medium">
        <color indexed="62"/>
      </right>
      <top/>
      <bottom/>
      <diagonal/>
    </border>
    <border>
      <left style="thin">
        <color auto="1"/>
      </left>
      <right/>
      <top style="thin">
        <color auto="1"/>
      </top>
      <bottom style="hair">
        <color indexed="22"/>
      </bottom>
      <diagonal/>
    </border>
    <border>
      <left/>
      <right/>
      <top style="thin">
        <color auto="1"/>
      </top>
      <bottom/>
      <diagonal/>
    </border>
    <border>
      <left style="thin">
        <color auto="1"/>
      </left>
      <right style="hair">
        <color indexed="22"/>
      </right>
      <top style="hair">
        <color indexed="22"/>
      </top>
      <bottom style="hair">
        <color indexed="22"/>
      </bottom>
      <diagonal/>
    </border>
    <border>
      <left style="hair">
        <color indexed="22"/>
      </left>
      <right style="hair">
        <color indexed="22"/>
      </right>
      <top/>
      <bottom style="hair">
        <color indexed="22"/>
      </bottom>
      <diagonal/>
    </border>
    <border>
      <left style="hair">
        <color indexed="22"/>
      </left>
      <right style="hair">
        <color indexed="22"/>
      </right>
      <top style="hair">
        <color indexed="22"/>
      </top>
      <bottom style="hair">
        <color indexed="22"/>
      </bottom>
      <diagonal/>
    </border>
    <border>
      <left style="thin">
        <color auto="1"/>
      </left>
      <right style="hair">
        <color indexed="22"/>
      </right>
      <top style="hair">
        <color indexed="22"/>
      </top>
      <bottom style="thin">
        <color auto="1"/>
      </bottom>
      <diagonal/>
    </border>
    <border>
      <left style="hair">
        <color indexed="22"/>
      </left>
      <right style="hair">
        <color indexed="22"/>
      </right>
      <top style="hair">
        <color indexed="22"/>
      </top>
      <bottom style="thin">
        <color auto="1"/>
      </bottom>
      <diagonal/>
    </border>
    <border diagonalDown="1">
      <left style="thin">
        <color auto="1"/>
      </left>
      <right style="thin">
        <color auto="1"/>
      </right>
      <top style="thin">
        <color auto="1"/>
      </top>
      <bottom style="thin">
        <color auto="1"/>
      </bottom>
      <diagonal style="thin">
        <color auto="1"/>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right/>
      <top/>
      <bottom style="hair">
        <color auto="1"/>
      </bottom>
      <diagonal/>
    </border>
    <border>
      <left style="hair">
        <color indexed="22"/>
      </left>
      <right style="thin">
        <color auto="1"/>
      </right>
      <top style="thin">
        <color auto="1"/>
      </top>
      <bottom style="hair">
        <color indexed="22"/>
      </bottom>
      <diagonal/>
    </border>
    <border>
      <left/>
      <right style="hair">
        <color indexed="22"/>
      </right>
      <top/>
      <bottom style="hair">
        <color indexed="22"/>
      </bottom>
      <diagonal/>
    </border>
    <border>
      <left/>
      <right style="thin">
        <color auto="1"/>
      </right>
      <top style="thin">
        <color auto="1"/>
      </top>
      <bottom style="hair">
        <color indexed="22"/>
      </bottom>
      <diagonal/>
    </border>
    <border>
      <left/>
      <right style="hair">
        <color indexed="22"/>
      </right>
      <top style="thin">
        <color auto="1"/>
      </top>
      <bottom style="hair">
        <color indexed="22"/>
      </bottom>
      <diagonal/>
    </border>
    <border>
      <left style="hair">
        <color indexed="22"/>
      </left>
      <right style="hair">
        <color indexed="22"/>
      </right>
      <top style="thin">
        <color auto="1"/>
      </top>
      <bottom style="hair">
        <color indexed="22"/>
      </bottom>
      <diagonal/>
    </border>
    <border>
      <left style="hair">
        <color indexed="22"/>
      </left>
      <right/>
      <top style="thin">
        <color auto="1"/>
      </top>
      <bottom style="hair">
        <color indexed="22"/>
      </bottom>
      <diagonal/>
    </border>
    <border>
      <left style="thin">
        <color auto="1"/>
      </left>
      <right style="hair">
        <color indexed="22"/>
      </right>
      <top style="thin">
        <color auto="1"/>
      </top>
      <bottom/>
      <diagonal/>
    </border>
    <border>
      <left style="hair">
        <color indexed="22"/>
      </left>
      <right style="thin">
        <color auto="1"/>
      </right>
      <top style="hair">
        <color indexed="22"/>
      </top>
      <bottom style="thin">
        <color auto="1"/>
      </bottom>
      <diagonal/>
    </border>
    <border>
      <left/>
      <right style="hair">
        <color indexed="22"/>
      </right>
      <top style="hair">
        <color indexed="22"/>
      </top>
      <bottom style="thin">
        <color auto="1"/>
      </bottom>
      <diagonal/>
    </border>
    <border>
      <left/>
      <right style="thin">
        <color auto="1"/>
      </right>
      <top style="hair">
        <color indexed="22"/>
      </top>
      <bottom style="thin">
        <color auto="1"/>
      </bottom>
      <diagonal/>
    </border>
    <border>
      <left style="hair">
        <color indexed="22"/>
      </left>
      <right/>
      <top style="hair">
        <color indexed="22"/>
      </top>
      <bottom style="thin">
        <color auto="1"/>
      </bottom>
      <diagonal/>
    </border>
    <border>
      <left/>
      <right style="thin">
        <color auto="1"/>
      </right>
      <top style="thin">
        <color auto="1"/>
      </top>
      <bottom style="hair">
        <color auto="1"/>
      </bottom>
      <diagonal/>
    </border>
    <border>
      <left style="thin">
        <color auto="1"/>
      </left>
      <right/>
      <top style="thin">
        <color auto="1"/>
      </top>
      <bottom style="hair">
        <color auto="1"/>
      </bottom>
      <diagonal/>
    </border>
    <border>
      <left style="thin">
        <color auto="1"/>
      </left>
      <right style="hair">
        <color indexed="22"/>
      </right>
      <top style="thin">
        <color auto="1"/>
      </top>
      <bottom style="hair">
        <color indexed="22"/>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hair">
        <color indexed="22"/>
      </left>
      <right/>
      <top/>
      <bottom style="hair">
        <color indexed="22"/>
      </bottom>
      <diagonal/>
    </border>
    <border>
      <left style="thin">
        <color auto="1"/>
      </left>
      <right style="hair">
        <color indexed="22"/>
      </right>
      <top/>
      <bottom style="hair">
        <color indexed="22"/>
      </bottom>
      <diagonal/>
    </border>
    <border>
      <left style="hair">
        <color indexed="22"/>
      </left>
      <right/>
      <top style="hair">
        <color indexed="22"/>
      </top>
      <bottom style="hair">
        <color indexed="22"/>
      </bottom>
      <diagonal/>
    </border>
    <border>
      <left style="hair">
        <color indexed="22"/>
      </left>
      <right style="hair">
        <color indexed="22"/>
      </right>
      <top style="thin">
        <color auto="1"/>
      </top>
      <bottom/>
      <diagonal/>
    </border>
    <border>
      <left style="hair">
        <color indexed="22"/>
      </left>
      <right style="thin">
        <color auto="1"/>
      </right>
      <top style="thin">
        <color auto="1"/>
      </top>
      <bottom/>
      <diagonal/>
    </border>
    <border>
      <left style="hair">
        <color indexed="22"/>
      </left>
      <right/>
      <top style="thin">
        <color auto="1"/>
      </top>
      <bottom style="thin">
        <color auto="1"/>
      </bottom>
      <diagonal/>
    </border>
    <border>
      <left style="hair">
        <color indexed="22"/>
      </left>
      <right style="thin">
        <color auto="1"/>
      </right>
      <top style="thin">
        <color auto="1"/>
      </top>
      <bottom style="thin">
        <color auto="1"/>
      </bottom>
      <diagonal/>
    </border>
    <border>
      <left style="hair">
        <color indexed="22"/>
      </left>
      <right style="thin">
        <color auto="1"/>
      </right>
      <top/>
      <bottom style="hair">
        <color indexed="22"/>
      </bottom>
      <diagonal/>
    </border>
    <border>
      <left style="hair">
        <color indexed="22"/>
      </left>
      <right style="thin">
        <color auto="1"/>
      </right>
      <top style="hair">
        <color indexed="22"/>
      </top>
      <bottom style="hair">
        <color indexed="22"/>
      </bottom>
      <diagonal/>
    </border>
    <border>
      <left/>
      <right style="hair">
        <color indexed="22"/>
      </right>
      <top style="hair">
        <color indexed="22"/>
      </top>
      <bottom style="hair">
        <color indexed="22"/>
      </bottom>
      <diagonal/>
    </border>
    <border>
      <left/>
      <right style="thin">
        <color auto="1"/>
      </right>
      <top/>
      <bottom style="hair">
        <color indexed="22"/>
      </bottom>
      <diagonal/>
    </border>
    <border>
      <left/>
      <right style="thin">
        <color auto="1"/>
      </right>
      <top style="hair">
        <color indexed="22"/>
      </top>
      <bottom style="hair">
        <color indexed="22"/>
      </bottom>
      <diagonal/>
    </border>
    <border>
      <left style="hair">
        <color auto="1"/>
      </left>
      <right/>
      <top/>
      <bottom/>
      <diagonal/>
    </border>
    <border>
      <left/>
      <right style="hair">
        <color indexed="8"/>
      </right>
      <top/>
      <bottom/>
      <diagonal/>
    </border>
    <border>
      <left/>
      <right style="thin">
        <color indexed="9"/>
      </right>
      <top/>
      <bottom style="thin">
        <color indexed="9"/>
      </bottom>
      <diagonal/>
    </border>
    <border>
      <left style="hair">
        <color indexed="22"/>
      </left>
      <right/>
      <top/>
      <bottom/>
      <diagonal/>
    </border>
    <border>
      <left/>
      <right/>
      <top style="hair">
        <color indexed="22"/>
      </top>
      <bottom style="hair">
        <color indexed="22"/>
      </bottom>
      <diagonal/>
    </border>
    <border>
      <left/>
      <right/>
      <top style="hair">
        <color indexed="22"/>
      </top>
      <bottom/>
      <diagonal/>
    </border>
    <border>
      <left/>
      <right style="hair">
        <color indexed="22"/>
      </right>
      <top/>
      <bottom/>
      <diagonal/>
    </border>
    <border>
      <left/>
      <right/>
      <top/>
      <bottom style="hair">
        <color indexed="22"/>
      </bottom>
      <diagonal/>
    </border>
    <border>
      <left style="thin">
        <color indexed="9"/>
      </left>
      <right/>
      <top/>
      <bottom/>
      <diagonal/>
    </border>
    <border>
      <left style="hair">
        <color auto="1"/>
      </left>
      <right/>
      <top style="thin">
        <color auto="1"/>
      </top>
      <bottom style="thin">
        <color auto="1"/>
      </bottom>
      <diagonal/>
    </border>
    <border>
      <left style="hair">
        <color auto="1"/>
      </left>
      <right style="hair">
        <color indexed="22"/>
      </right>
      <top style="hair">
        <color indexed="22"/>
      </top>
      <bottom style="hair">
        <color indexed="22"/>
      </bottom>
      <diagonal/>
    </border>
    <border>
      <left style="hair">
        <color auto="1"/>
      </left>
      <right/>
      <top style="hair">
        <color indexed="22"/>
      </top>
      <bottom style="hair">
        <color indexed="22"/>
      </bottom>
      <diagonal/>
    </border>
    <border>
      <left style="hair">
        <color auto="1"/>
      </left>
      <right/>
      <top style="hair">
        <color indexed="22"/>
      </top>
      <bottom/>
      <diagonal/>
    </border>
    <border>
      <left style="hair">
        <color auto="1"/>
      </left>
      <right/>
      <top/>
      <bottom style="hair">
        <color indexed="22"/>
      </bottom>
      <diagonal/>
    </border>
    <border>
      <left/>
      <right/>
      <top style="medium">
        <color auto="1"/>
      </top>
      <bottom/>
      <diagonal/>
    </border>
    <border>
      <left style="thin">
        <color indexed="44"/>
      </left>
      <right style="thin">
        <color indexed="9"/>
      </right>
      <top/>
      <bottom style="thin">
        <color indexed="9"/>
      </bottom>
      <diagonal/>
    </border>
    <border>
      <left style="thin">
        <color indexed="9"/>
      </left>
      <right style="thin">
        <color indexed="9"/>
      </right>
      <top/>
      <bottom style="thin">
        <color indexed="9"/>
      </bottom>
      <diagonal/>
    </border>
    <border>
      <left style="thin">
        <color auto="1"/>
      </left>
      <right style="thin">
        <color auto="1"/>
      </right>
      <top/>
      <bottom/>
      <diagonal/>
    </border>
    <border>
      <left style="thin">
        <color indexed="44"/>
      </left>
      <right style="thin">
        <color indexed="9"/>
      </right>
      <top style="thin">
        <color indexed="9"/>
      </top>
      <bottom/>
      <diagonal/>
    </border>
    <border>
      <left style="thin">
        <color indexed="9"/>
      </left>
      <right style="thin">
        <color indexed="9"/>
      </right>
      <top style="thin">
        <color indexed="9"/>
      </top>
      <bottom/>
      <diagonal/>
    </border>
    <border>
      <left style="thin">
        <color auto="1"/>
      </left>
      <right style="thin">
        <color auto="1"/>
      </right>
      <top/>
      <bottom style="thin">
        <color auto="1"/>
      </bottom>
      <diagonal/>
    </border>
    <border>
      <left style="thin">
        <color auto="1"/>
      </left>
      <right style="thin">
        <color indexed="9"/>
      </right>
      <top style="thin">
        <color auto="1"/>
      </top>
      <bottom style="thin">
        <color indexed="9"/>
      </bottom>
      <diagonal/>
    </border>
    <border>
      <left style="thin">
        <color indexed="9"/>
      </left>
      <right/>
      <top style="thin">
        <color auto="1"/>
      </top>
      <bottom style="thin">
        <color indexed="9"/>
      </bottom>
      <diagonal/>
    </border>
    <border>
      <left style="thin">
        <color auto="1"/>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auto="1"/>
      </left>
      <right style="thin">
        <color indexed="9"/>
      </right>
      <top style="thin">
        <color indexed="9"/>
      </top>
      <bottom/>
      <diagonal/>
    </border>
    <border>
      <left style="thin">
        <color indexed="9"/>
      </left>
      <right/>
      <top style="thin">
        <color indexed="9"/>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indexed="22"/>
      </left>
      <right/>
      <top style="hair">
        <color indexed="22"/>
      </top>
      <bottom/>
      <diagonal/>
    </border>
    <border>
      <left/>
      <right style="hair">
        <color indexed="22"/>
      </right>
      <top style="hair">
        <color indexed="22"/>
      </top>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thin">
        <color indexed="9"/>
      </top>
      <bottom/>
      <diagonal/>
    </border>
    <border>
      <left style="hair">
        <color auto="1"/>
      </left>
      <right style="hair">
        <color auto="1"/>
      </right>
      <top/>
      <bottom style="hair">
        <color auto="1"/>
      </bottom>
      <diagonal/>
    </border>
    <border>
      <left/>
      <right style="thin">
        <color auto="1"/>
      </right>
      <top style="thin">
        <color auto="1"/>
      </top>
      <bottom/>
      <diagonal/>
    </border>
    <border>
      <left style="thin">
        <color auto="1"/>
      </left>
      <right/>
      <top/>
      <bottom style="thin">
        <color auto="1"/>
      </bottom>
      <diagonal/>
    </border>
    <border>
      <left style="hair">
        <color indexed="22"/>
      </left>
      <right style="hair">
        <color indexed="22"/>
      </right>
      <top style="hair">
        <color indexed="22"/>
      </top>
      <bottom/>
      <diagonal/>
    </border>
    <border>
      <left style="hair">
        <color indexed="22"/>
      </left>
      <right style="hair">
        <color indexed="22"/>
      </right>
      <top/>
      <bottom/>
      <diagonal/>
    </border>
    <border>
      <left style="thin">
        <color indexed="9"/>
      </left>
      <right style="thin">
        <color indexed="9"/>
      </right>
      <top style="thin">
        <color indexed="9"/>
      </top>
      <bottom style="thin">
        <color indexed="9"/>
      </bottom>
      <diagonal/>
    </border>
    <border>
      <left style="hair">
        <color indexed="22"/>
      </left>
      <right/>
      <top/>
      <bottom style="double">
        <color indexed="22"/>
      </bottom>
      <diagonal/>
    </border>
    <border>
      <left style="hair">
        <color indexed="22"/>
      </left>
      <right/>
      <top style="double">
        <color indexed="22"/>
      </top>
      <bottom/>
      <diagonal/>
    </border>
    <border>
      <left style="double">
        <color indexed="22"/>
      </left>
      <right/>
      <top style="double">
        <color indexed="22"/>
      </top>
      <bottom style="double">
        <color indexed="22"/>
      </bottom>
      <diagonal/>
    </border>
    <border>
      <left/>
      <right/>
      <top/>
      <bottom style="double">
        <color auto="1"/>
      </bottom>
      <diagonal/>
    </border>
    <border>
      <left style="thin">
        <color auto="1"/>
      </left>
      <right style="hair">
        <color indexed="22"/>
      </right>
      <top/>
      <bottom style="thin">
        <color auto="1"/>
      </bottom>
      <diagonal/>
    </border>
    <border>
      <left/>
      <right style="hair">
        <color indexed="22"/>
      </right>
      <top/>
      <bottom style="thin">
        <color auto="1"/>
      </bottom>
      <diagonal/>
    </border>
    <border>
      <left style="thin">
        <color auto="1"/>
      </left>
      <right style="hair">
        <color indexed="22"/>
      </right>
      <top style="thin">
        <color auto="1"/>
      </top>
      <bottom style="thin">
        <color auto="1"/>
      </bottom>
      <diagonal/>
    </border>
    <border>
      <left/>
      <right style="hair">
        <color indexed="22"/>
      </right>
      <top style="thin">
        <color auto="1"/>
      </top>
      <bottom style="thin">
        <color auto="1"/>
      </bottom>
      <diagonal/>
    </border>
    <border>
      <left/>
      <right style="thin">
        <color indexed="62"/>
      </right>
      <top/>
      <bottom/>
      <diagonal/>
    </border>
    <border>
      <left style="thin">
        <color indexed="9"/>
      </left>
      <right style="thin">
        <color indexed="9"/>
      </right>
      <top/>
      <bottom/>
      <diagonal/>
    </border>
    <border>
      <left style="thin">
        <color indexed="9"/>
      </left>
      <right style="thin">
        <color indexed="9"/>
      </right>
      <top style="thin">
        <color auto="1"/>
      </top>
      <bottom style="thin">
        <color indexed="9"/>
      </bottom>
      <diagonal/>
    </border>
    <border>
      <left style="thin">
        <color indexed="9"/>
      </left>
      <right style="thin">
        <color indexed="9"/>
      </right>
      <top style="thin">
        <color auto="1"/>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n">
        <color indexed="9"/>
      </right>
      <top style="thick">
        <color auto="1"/>
      </top>
      <bottom style="thin">
        <color indexed="9"/>
      </bottom>
      <diagonal/>
    </border>
    <border>
      <left style="thin">
        <color indexed="9"/>
      </left>
      <right style="thin">
        <color indexed="9"/>
      </right>
      <top style="thick">
        <color auto="1"/>
      </top>
      <bottom style="thin">
        <color indexed="9"/>
      </bottom>
      <diagonal/>
    </border>
    <border>
      <left style="thin">
        <color indexed="9"/>
      </left>
      <right style="thick">
        <color auto="1"/>
      </right>
      <top style="thick">
        <color auto="1"/>
      </top>
      <bottom style="thin">
        <color indexed="9"/>
      </bottom>
      <diagonal/>
    </border>
    <border>
      <left style="thick">
        <color auto="1"/>
      </left>
      <right/>
      <top/>
      <bottom/>
      <diagonal/>
    </border>
    <border>
      <left/>
      <right style="thick">
        <color auto="1"/>
      </right>
      <top/>
      <bottom/>
      <diagonal/>
    </border>
    <border>
      <left style="thick">
        <color auto="1"/>
      </left>
      <right/>
      <top style="thin">
        <color indexed="9"/>
      </top>
      <bottom/>
      <diagonal/>
    </border>
    <border>
      <left/>
      <right/>
      <top style="thin">
        <color indexed="9"/>
      </top>
      <bottom/>
      <diagonal/>
    </border>
    <border>
      <left/>
      <right style="thick">
        <color auto="1"/>
      </right>
      <top style="thin">
        <color indexed="9"/>
      </top>
      <bottom/>
      <diagonal/>
    </border>
    <border>
      <left style="thick">
        <color auto="1"/>
      </left>
      <right/>
      <top style="thick">
        <color auto="1"/>
      </top>
      <bottom style="thin">
        <color indexed="9"/>
      </bottom>
      <diagonal/>
    </border>
    <border>
      <left/>
      <right/>
      <top style="thick">
        <color auto="1"/>
      </top>
      <bottom style="thin">
        <color indexed="9"/>
      </bottom>
      <diagonal/>
    </border>
    <border>
      <left/>
      <right style="thick">
        <color auto="1"/>
      </right>
      <top style="thick">
        <color auto="1"/>
      </top>
      <bottom style="thin">
        <color indexed="9"/>
      </bottom>
      <diagonal/>
    </border>
    <border>
      <left style="thick">
        <color indexed="8"/>
      </left>
      <right style="thin">
        <color indexed="9"/>
      </right>
      <top style="thick">
        <color indexed="8"/>
      </top>
      <bottom style="thin">
        <color indexed="9"/>
      </bottom>
      <diagonal/>
    </border>
    <border>
      <left style="thin">
        <color indexed="9"/>
      </left>
      <right style="thin">
        <color indexed="9"/>
      </right>
      <top style="thick">
        <color indexed="8"/>
      </top>
      <bottom style="thin">
        <color indexed="9"/>
      </bottom>
      <diagonal/>
    </border>
    <border>
      <left style="thin">
        <color indexed="9"/>
      </left>
      <right style="thick">
        <color indexed="8"/>
      </right>
      <top style="thick">
        <color indexed="8"/>
      </top>
      <bottom style="thin">
        <color indexed="9"/>
      </bottom>
      <diagonal/>
    </border>
    <border>
      <left style="thick">
        <color indexed="8"/>
      </left>
      <right style="thin">
        <color indexed="9"/>
      </right>
      <top style="thin">
        <color indexed="9"/>
      </top>
      <bottom style="thin">
        <color indexed="9"/>
      </bottom>
      <diagonal/>
    </border>
    <border>
      <left style="thin">
        <color indexed="9"/>
      </left>
      <right style="thick">
        <color indexed="8"/>
      </right>
      <top style="thin">
        <color indexed="9"/>
      </top>
      <bottom style="thin">
        <color indexed="9"/>
      </bottom>
      <diagonal/>
    </border>
    <border>
      <left style="thin">
        <color indexed="9"/>
      </left>
      <right style="thick">
        <color indexed="8"/>
      </right>
      <top style="thin">
        <color indexed="9"/>
      </top>
      <bottom/>
      <diagonal/>
    </border>
    <border>
      <left style="thick">
        <color indexed="8"/>
      </left>
      <right style="thin">
        <color indexed="9"/>
      </right>
      <top style="thin">
        <color indexed="9"/>
      </top>
      <bottom style="thick">
        <color indexed="8"/>
      </bottom>
      <diagonal/>
    </border>
    <border>
      <left style="thin">
        <color indexed="9"/>
      </left>
      <right style="thin">
        <color indexed="9"/>
      </right>
      <top style="thin">
        <color indexed="9"/>
      </top>
      <bottom style="thick">
        <color indexed="8"/>
      </bottom>
      <diagonal/>
    </border>
    <border>
      <left style="thin">
        <color indexed="9"/>
      </left>
      <right style="thick">
        <color indexed="8"/>
      </right>
      <top style="thin">
        <color indexed="9"/>
      </top>
      <bottom style="thick">
        <color indexed="8"/>
      </bottom>
      <diagonal/>
    </border>
    <border>
      <left style="hair">
        <color indexed="30"/>
      </left>
      <right style="hair">
        <color indexed="30"/>
      </right>
      <top style="hair">
        <color indexed="30"/>
      </top>
      <bottom style="hair">
        <color indexed="9"/>
      </bottom>
      <diagonal/>
    </border>
    <border>
      <left/>
      <right style="hair">
        <color indexed="30"/>
      </right>
      <top/>
      <bottom style="hair">
        <color indexed="9"/>
      </bottom>
      <diagonal/>
    </border>
    <border>
      <left/>
      <right/>
      <top/>
      <bottom style="thick">
        <color indexed="8"/>
      </bottom>
      <diagonal/>
    </border>
    <border>
      <left style="thick">
        <color indexed="8"/>
      </left>
      <right style="thin">
        <color indexed="8"/>
      </right>
      <top style="thick">
        <color indexed="8"/>
      </top>
      <bottom style="thin">
        <color indexed="8"/>
      </bottom>
      <diagonal/>
    </border>
    <border>
      <left style="thin">
        <color indexed="8"/>
      </left>
      <right/>
      <top style="thick">
        <color indexed="8"/>
      </top>
      <bottom style="thin">
        <color indexed="8"/>
      </bottom>
      <diagonal/>
    </border>
    <border>
      <left/>
      <right/>
      <top style="thick">
        <color indexed="8"/>
      </top>
      <bottom style="thin">
        <color indexed="8"/>
      </bottom>
      <diagonal/>
    </border>
    <border>
      <left/>
      <right style="thick">
        <color indexed="8"/>
      </right>
      <top style="thick">
        <color indexed="8"/>
      </top>
      <bottom style="thin">
        <color indexed="8"/>
      </bottom>
      <diagonal/>
    </border>
    <border>
      <left style="thick">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ck">
        <color indexed="8"/>
      </right>
      <top style="thin">
        <color indexed="8"/>
      </top>
      <bottom style="thin">
        <color indexed="8"/>
      </bottom>
      <diagonal/>
    </border>
    <border>
      <left style="thick">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ck">
        <color indexed="8"/>
      </right>
      <top style="thin">
        <color indexed="8"/>
      </top>
      <bottom/>
      <diagonal/>
    </border>
    <border>
      <left style="thick">
        <color indexed="8"/>
      </left>
      <right style="thin">
        <color indexed="8"/>
      </right>
      <top style="thin">
        <color indexed="8"/>
      </top>
      <bottom style="thick">
        <color indexed="8"/>
      </bottom>
      <diagonal/>
    </border>
    <border>
      <left style="thin">
        <color indexed="8"/>
      </left>
      <right/>
      <top style="thin">
        <color indexed="8"/>
      </top>
      <bottom style="thick">
        <color indexed="8"/>
      </bottom>
      <diagonal/>
    </border>
    <border>
      <left/>
      <right/>
      <top style="thin">
        <color indexed="8"/>
      </top>
      <bottom style="thick">
        <color indexed="8"/>
      </bottom>
      <diagonal/>
    </border>
    <border>
      <left/>
      <right style="thick">
        <color indexed="8"/>
      </right>
      <top style="thin">
        <color indexed="8"/>
      </top>
      <bottom style="thick">
        <color indexed="8"/>
      </bottom>
      <diagonal/>
    </border>
    <border>
      <left style="thin">
        <color auto="1"/>
      </left>
      <right/>
      <top/>
      <bottom style="thin">
        <color indexed="64"/>
      </bottom>
      <diagonal/>
    </border>
    <border>
      <left/>
      <right/>
      <top/>
      <bottom style="thin">
        <color indexed="64"/>
      </bottom>
      <diagonal/>
    </border>
    <border>
      <left/>
      <right style="thin">
        <color indexed="64"/>
      </right>
      <top/>
      <bottom style="thin">
        <color auto="1"/>
      </bottom>
      <diagonal/>
    </border>
    <border>
      <left/>
      <right style="thin">
        <color indexed="64"/>
      </right>
      <top style="thin">
        <color auto="1"/>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auto="1"/>
      </right>
      <top/>
      <bottom/>
      <diagonal/>
    </border>
    <border>
      <left/>
      <right style="thin">
        <color auto="1"/>
      </right>
      <top/>
      <bottom style="thin">
        <color indexed="53"/>
      </bottom>
      <diagonal/>
    </border>
    <border>
      <left/>
      <right style="thin">
        <color auto="1"/>
      </right>
      <top/>
      <bottom/>
      <diagonal/>
    </border>
    <border>
      <left/>
      <right style="thin">
        <color auto="1"/>
      </right>
      <top style="thin">
        <color indexed="53"/>
      </top>
      <bottom/>
      <diagonal/>
    </border>
    <border>
      <left/>
      <right style="hair">
        <color auto="1"/>
      </right>
      <top/>
      <bottom style="thin">
        <color indexed="53"/>
      </bottom>
      <diagonal/>
    </border>
    <border>
      <left/>
      <right style="hair">
        <color auto="1"/>
      </right>
      <top/>
      <bottom/>
      <diagonal/>
    </border>
    <border>
      <left/>
      <right style="hair">
        <color auto="1"/>
      </right>
      <top style="medium">
        <color indexed="53"/>
      </top>
      <bottom style="thin">
        <color indexed="53"/>
      </bottom>
      <diagonal/>
    </border>
    <border>
      <left/>
      <right style="hair">
        <color auto="1"/>
      </right>
      <top/>
      <bottom style="medium">
        <color indexed="53"/>
      </bottom>
      <diagonal/>
    </border>
    <border>
      <left/>
      <right style="hair">
        <color auto="1"/>
      </right>
      <top style="thin">
        <color indexed="53"/>
      </top>
      <bottom/>
      <diagonal/>
    </border>
  </borders>
  <cellStyleXfs count="8">
    <xf numFmtId="0" fontId="0" fillId="0" borderId="0"/>
    <xf numFmtId="0" fontId="93" fillId="0" borderId="0" applyNumberFormat="0" applyFill="0" applyBorder="0" applyAlignment="0" applyProtection="0">
      <alignment vertical="top"/>
      <protection locked="0"/>
    </xf>
    <xf numFmtId="9" fontId="31" fillId="0" borderId="0" applyFont="0" applyFill="0" applyBorder="0" applyAlignment="0" applyProtection="0">
      <alignment vertical="center"/>
    </xf>
    <xf numFmtId="0" fontId="31" fillId="0" borderId="0">
      <alignment vertical="center"/>
    </xf>
    <xf numFmtId="0" fontId="31" fillId="0" borderId="0">
      <alignment vertical="center"/>
    </xf>
    <xf numFmtId="0" fontId="94" fillId="0" borderId="0"/>
    <xf numFmtId="0" fontId="94" fillId="0" borderId="0">
      <alignment vertical="center"/>
    </xf>
    <xf numFmtId="0" fontId="94" fillId="0" borderId="0"/>
  </cellStyleXfs>
  <cellXfs count="1094">
    <xf numFmtId="0" fontId="0" fillId="0" borderId="0" xfId="0"/>
    <xf numFmtId="0" fontId="0" fillId="2" borderId="0" xfId="0" applyFill="1"/>
    <xf numFmtId="0" fontId="0" fillId="0" borderId="0" xfId="0" applyFill="1"/>
    <xf numFmtId="171" fontId="0" fillId="0" borderId="0" xfId="0" applyNumberFormat="1"/>
    <xf numFmtId="0" fontId="0" fillId="3" borderId="0" xfId="0" applyFill="1"/>
    <xf numFmtId="0" fontId="0" fillId="4" borderId="0" xfId="0" applyFill="1"/>
    <xf numFmtId="0" fontId="1" fillId="3" borderId="0" xfId="0" applyFont="1" applyFill="1"/>
    <xf numFmtId="0" fontId="2" fillId="4" borderId="0" xfId="0" applyFont="1" applyFill="1"/>
    <xf numFmtId="0" fontId="3" fillId="4" borderId="0" xfId="0" applyFont="1" applyFill="1"/>
    <xf numFmtId="0" fontId="4" fillId="0" borderId="0" xfId="0" applyFont="1"/>
    <xf numFmtId="0" fontId="94" fillId="0" borderId="0" xfId="5"/>
    <xf numFmtId="0" fontId="5" fillId="0" borderId="0" xfId="6" applyFont="1" applyAlignment="1">
      <alignment vertical="center" wrapText="1"/>
    </xf>
    <xf numFmtId="0" fontId="5" fillId="0" borderId="0" xfId="6" applyFont="1">
      <alignment vertical="center"/>
    </xf>
    <xf numFmtId="0" fontId="94" fillId="0" borderId="0" xfId="6">
      <alignment vertical="center"/>
    </xf>
    <xf numFmtId="0" fontId="0" fillId="5" borderId="0" xfId="0" applyFill="1"/>
    <xf numFmtId="171" fontId="6" fillId="4" borderId="0" xfId="0" applyNumberFormat="1" applyFont="1" applyFill="1" applyAlignment="1">
      <alignment horizontal="right"/>
    </xf>
    <xf numFmtId="171" fontId="6" fillId="0" borderId="0" xfId="0" applyNumberFormat="1" applyFont="1" applyAlignment="1">
      <alignment horizontal="right"/>
    </xf>
    <xf numFmtId="171" fontId="6" fillId="0" borderId="0" xfId="0" applyNumberFormat="1" applyFont="1" applyBorder="1" applyAlignment="1">
      <alignment horizontal="right"/>
    </xf>
    <xf numFmtId="171" fontId="10" fillId="6" borderId="3" xfId="0" applyNumberFormat="1" applyFont="1" applyFill="1" applyBorder="1" applyAlignment="1">
      <alignment horizontal="left"/>
    </xf>
    <xf numFmtId="171" fontId="11" fillId="6" borderId="0" xfId="0" applyNumberFormat="1" applyFont="1" applyFill="1"/>
    <xf numFmtId="0" fontId="13" fillId="4" borderId="4" xfId="4" applyFont="1" applyFill="1" applyBorder="1" applyAlignment="1">
      <alignment horizontal="left" vertical="center"/>
    </xf>
    <xf numFmtId="171" fontId="14" fillId="4" borderId="5" xfId="4" applyNumberFormat="1" applyFont="1" applyFill="1" applyBorder="1" applyAlignment="1" applyProtection="1">
      <alignment horizontal="right" vertical="center"/>
    </xf>
    <xf numFmtId="0" fontId="10" fillId="0" borderId="6" xfId="0" applyNumberFormat="1" applyFont="1" applyBorder="1" applyAlignment="1">
      <alignment horizontal="left"/>
    </xf>
    <xf numFmtId="49" fontId="15" fillId="0" borderId="7" xfId="0" applyNumberFormat="1" applyFont="1" applyBorder="1" applyAlignment="1">
      <alignment horizontal="right"/>
    </xf>
    <xf numFmtId="0" fontId="16" fillId="4" borderId="8" xfId="4" applyFont="1" applyFill="1" applyBorder="1" applyAlignment="1">
      <alignment horizontal="left" vertical="center"/>
    </xf>
    <xf numFmtId="171" fontId="14" fillId="4" borderId="9" xfId="4" applyNumberFormat="1" applyFont="1" applyFill="1" applyBorder="1" applyAlignment="1" applyProtection="1">
      <alignment horizontal="right" vertical="center"/>
    </xf>
    <xf numFmtId="171" fontId="11" fillId="4" borderId="3" xfId="0" applyNumberFormat="1" applyFont="1" applyFill="1" applyBorder="1" applyAlignment="1">
      <alignment horizontal="left" vertical="top"/>
    </xf>
    <xf numFmtId="171" fontId="14" fillId="4" borderId="0" xfId="0" applyNumberFormat="1" applyFont="1" applyFill="1" applyAlignment="1">
      <alignment horizontal="right"/>
    </xf>
    <xf numFmtId="0" fontId="13" fillId="4" borderId="8" xfId="4" applyFont="1" applyFill="1" applyBorder="1" applyAlignment="1">
      <alignment horizontal="left" vertical="center"/>
    </xf>
    <xf numFmtId="0" fontId="16" fillId="4" borderId="10" xfId="4" applyFont="1" applyFill="1" applyBorder="1" applyAlignment="1">
      <alignment horizontal="left" vertical="center"/>
    </xf>
    <xf numFmtId="171" fontId="14" fillId="4" borderId="11" xfId="4" applyNumberFormat="1" applyFont="1" applyFill="1" applyBorder="1" applyAlignment="1" applyProtection="1">
      <alignment horizontal="right" vertical="center"/>
    </xf>
    <xf numFmtId="171" fontId="15" fillId="4" borderId="3" xfId="0" applyNumberFormat="1" applyFont="1" applyFill="1" applyBorder="1" applyAlignment="1">
      <alignment horizontal="left" vertical="top"/>
    </xf>
    <xf numFmtId="171" fontId="15" fillId="4" borderId="0" xfId="0" applyNumberFormat="1" applyFont="1" applyFill="1" applyAlignment="1">
      <alignment horizontal="left"/>
    </xf>
    <xf numFmtId="171" fontId="17" fillId="4" borderId="0" xfId="0" applyNumberFormat="1" applyFont="1" applyFill="1" applyAlignment="1">
      <alignment horizontal="left"/>
    </xf>
    <xf numFmtId="171" fontId="18" fillId="4" borderId="3" xfId="0" applyNumberFormat="1" applyFont="1" applyFill="1" applyBorder="1" applyAlignment="1">
      <alignment horizontal="left" vertical="top"/>
    </xf>
    <xf numFmtId="171" fontId="10" fillId="0" borderId="6" xfId="0" applyNumberFormat="1" applyFont="1" applyBorder="1" applyAlignment="1">
      <alignment horizontal="left"/>
    </xf>
    <xf numFmtId="0" fontId="18" fillId="0" borderId="7" xfId="0" applyNumberFormat="1" applyFont="1" applyBorder="1" applyAlignment="1">
      <alignment horizontal="right"/>
    </xf>
    <xf numFmtId="171" fontId="6" fillId="4" borderId="3" xfId="0" applyNumberFormat="1" applyFont="1" applyFill="1" applyBorder="1" applyAlignment="1">
      <alignment horizontal="left" vertical="center"/>
    </xf>
    <xf numFmtId="171" fontId="11" fillId="4" borderId="3" xfId="0" applyNumberFormat="1" applyFont="1" applyFill="1" applyBorder="1" applyAlignment="1">
      <alignment horizontal="left" vertical="center"/>
    </xf>
    <xf numFmtId="171" fontId="6" fillId="4" borderId="13" xfId="0" applyNumberFormat="1" applyFont="1" applyFill="1" applyBorder="1" applyAlignment="1">
      <alignment horizontal="left"/>
    </xf>
    <xf numFmtId="171" fontId="14" fillId="4" borderId="14" xfId="0" applyNumberFormat="1" applyFont="1" applyFill="1" applyBorder="1" applyAlignment="1">
      <alignment horizontal="right"/>
    </xf>
    <xf numFmtId="171" fontId="6" fillId="4" borderId="3" xfId="0" applyNumberFormat="1" applyFont="1" applyFill="1" applyBorder="1" applyAlignment="1">
      <alignment horizontal="left"/>
    </xf>
    <xf numFmtId="171" fontId="14" fillId="4" borderId="0" xfId="0" applyNumberFormat="1" applyFont="1" applyFill="1" applyBorder="1" applyAlignment="1">
      <alignment horizontal="right"/>
    </xf>
    <xf numFmtId="10" fontId="14" fillId="4" borderId="0" xfId="0" applyNumberFormat="1" applyFont="1" applyFill="1" applyBorder="1" applyAlignment="1">
      <alignment horizontal="right"/>
    </xf>
    <xf numFmtId="171" fontId="6" fillId="4" borderId="0" xfId="0" applyNumberFormat="1" applyFont="1" applyFill="1" applyBorder="1" applyAlignment="1">
      <alignment horizontal="right"/>
    </xf>
    <xf numFmtId="171" fontId="6" fillId="4" borderId="15" xfId="0" applyNumberFormat="1" applyFont="1" applyFill="1" applyBorder="1" applyAlignment="1">
      <alignment horizontal="right"/>
    </xf>
    <xf numFmtId="171" fontId="6" fillId="4" borderId="16" xfId="0" applyNumberFormat="1" applyFont="1" applyFill="1" applyBorder="1" applyAlignment="1">
      <alignment horizontal="right"/>
    </xf>
    <xf numFmtId="171" fontId="11" fillId="4" borderId="0" xfId="0" applyNumberFormat="1" applyFont="1" applyFill="1" applyAlignment="1">
      <alignment horizontal="right"/>
    </xf>
    <xf numFmtId="171" fontId="10" fillId="6" borderId="0" xfId="0" applyNumberFormat="1" applyFont="1" applyFill="1" applyBorder="1" applyAlignment="1">
      <alignment horizontal="left"/>
    </xf>
    <xf numFmtId="0" fontId="10" fillId="0" borderId="7" xfId="0" applyNumberFormat="1" applyFont="1" applyBorder="1" applyAlignment="1">
      <alignment horizontal="left"/>
    </xf>
    <xf numFmtId="49" fontId="15" fillId="0" borderId="17" xfId="0" applyNumberFormat="1" applyFont="1" applyBorder="1" applyAlignment="1">
      <alignment horizontal="right"/>
    </xf>
    <xf numFmtId="171" fontId="6" fillId="4" borderId="0" xfId="0" applyNumberFormat="1" applyFont="1" applyFill="1" applyBorder="1" applyAlignment="1">
      <alignment horizontal="left"/>
    </xf>
    <xf numFmtId="171" fontId="6" fillId="4" borderId="0" xfId="0" applyNumberFormat="1" applyFont="1" applyFill="1" applyBorder="1" applyAlignment="1">
      <alignment horizontal="left" wrapText="1"/>
    </xf>
    <xf numFmtId="171" fontId="11" fillId="4" borderId="0" xfId="0" applyNumberFormat="1" applyFont="1" applyFill="1" applyBorder="1"/>
    <xf numFmtId="171" fontId="11" fillId="6" borderId="0" xfId="0" applyNumberFormat="1" applyFont="1" applyFill="1" applyBorder="1"/>
    <xf numFmtId="171" fontId="10" fillId="0" borderId="7" xfId="0" applyNumberFormat="1" applyFont="1" applyBorder="1" applyAlignment="1">
      <alignment horizontal="left"/>
    </xf>
    <xf numFmtId="171" fontId="18" fillId="4" borderId="14" xfId="0" applyNumberFormat="1" applyFont="1" applyFill="1" applyBorder="1" applyAlignment="1">
      <alignment horizontal="left"/>
    </xf>
    <xf numFmtId="171" fontId="6" fillId="4" borderId="14" xfId="0" applyNumberFormat="1" applyFont="1" applyFill="1" applyBorder="1" applyAlignment="1">
      <alignment horizontal="right"/>
    </xf>
    <xf numFmtId="171" fontId="18" fillId="4" borderId="0" xfId="0" applyNumberFormat="1" applyFont="1" applyFill="1" applyBorder="1" applyAlignment="1">
      <alignment horizontal="left"/>
    </xf>
    <xf numFmtId="171" fontId="6" fillId="4" borderId="16" xfId="0" applyNumberFormat="1" applyFont="1" applyFill="1" applyBorder="1" applyAlignment="1">
      <alignment horizontal="left"/>
    </xf>
    <xf numFmtId="171" fontId="14" fillId="4" borderId="16" xfId="0" applyNumberFormat="1" applyFont="1" applyFill="1" applyBorder="1" applyAlignment="1">
      <alignment horizontal="right"/>
    </xf>
    <xf numFmtId="171" fontId="6" fillId="4" borderId="0" xfId="0" applyNumberFormat="1" applyFont="1" applyFill="1" applyAlignment="1">
      <alignment horizontal="left"/>
    </xf>
    <xf numFmtId="171" fontId="19" fillId="4" borderId="0" xfId="0" applyNumberFormat="1" applyFont="1" applyFill="1" applyBorder="1" applyAlignment="1">
      <alignment horizontal="right"/>
    </xf>
    <xf numFmtId="10" fontId="6" fillId="4" borderId="0" xfId="0" applyNumberFormat="1" applyFont="1" applyFill="1" applyAlignment="1">
      <alignment horizontal="right"/>
    </xf>
    <xf numFmtId="171" fontId="12" fillId="4" borderId="0" xfId="0" applyNumberFormat="1" applyFont="1" applyFill="1" applyAlignment="1">
      <alignment horizontal="left" vertical="center"/>
    </xf>
    <xf numFmtId="171" fontId="12" fillId="4" borderId="0" xfId="0" applyNumberFormat="1" applyFont="1" applyFill="1" applyBorder="1" applyAlignment="1">
      <alignment horizontal="left"/>
    </xf>
    <xf numFmtId="171" fontId="6" fillId="4" borderId="0" xfId="0" applyNumberFormat="1" applyFont="1" applyFill="1" applyBorder="1" applyAlignment="1">
      <alignment horizontal="right" vertical="center"/>
    </xf>
    <xf numFmtId="0" fontId="0" fillId="0" borderId="0" xfId="0" applyBorder="1"/>
    <xf numFmtId="0" fontId="0" fillId="4" borderId="19" xfId="0" applyFill="1" applyBorder="1"/>
    <xf numFmtId="0" fontId="0" fillId="4" borderId="20" xfId="0" applyFill="1" applyBorder="1"/>
    <xf numFmtId="40" fontId="0" fillId="4" borderId="0" xfId="0" applyNumberFormat="1" applyFill="1" applyBorder="1"/>
    <xf numFmtId="40" fontId="0" fillId="4" borderId="0" xfId="0" applyNumberFormat="1" applyFill="1"/>
    <xf numFmtId="0" fontId="0" fillId="4" borderId="21" xfId="0" applyFill="1" applyBorder="1"/>
    <xf numFmtId="0" fontId="20" fillId="4" borderId="22" xfId="0" applyFont="1" applyFill="1" applyBorder="1" applyAlignment="1">
      <alignment vertical="center"/>
    </xf>
    <xf numFmtId="0" fontId="21" fillId="4" borderId="0" xfId="0" applyFont="1" applyFill="1" applyBorder="1" applyAlignment="1">
      <alignment vertical="center"/>
    </xf>
    <xf numFmtId="0" fontId="0" fillId="4" borderId="0" xfId="0" applyFill="1" applyBorder="1"/>
    <xf numFmtId="173" fontId="22" fillId="7" borderId="24" xfId="4" applyNumberFormat="1" applyFont="1" applyFill="1" applyBorder="1" applyAlignment="1">
      <alignment horizontal="center" vertical="center"/>
    </xf>
    <xf numFmtId="173" fontId="22" fillId="7" borderId="20" xfId="4" applyNumberFormat="1" applyFont="1" applyFill="1" applyBorder="1" applyAlignment="1">
      <alignment horizontal="center" vertical="center"/>
    </xf>
    <xf numFmtId="0" fontId="23" fillId="4" borderId="25" xfId="0" applyFont="1" applyFill="1" applyBorder="1" applyAlignment="1">
      <alignment horizontal="left" vertical="center"/>
    </xf>
    <xf numFmtId="178" fontId="24" fillId="4" borderId="24" xfId="4" applyNumberFormat="1" applyFont="1" applyFill="1" applyBorder="1" applyAlignment="1">
      <alignment horizontal="center" vertical="center"/>
    </xf>
    <xf numFmtId="178" fontId="24" fillId="4" borderId="20" xfId="4" applyNumberFormat="1" applyFont="1" applyFill="1" applyBorder="1" applyAlignment="1">
      <alignment horizontal="center" vertical="center"/>
    </xf>
    <xf numFmtId="40" fontId="25" fillId="4" borderId="0" xfId="0" applyNumberFormat="1" applyFont="1" applyFill="1"/>
    <xf numFmtId="40" fontId="26" fillId="4" borderId="22" xfId="0" applyNumberFormat="1" applyFont="1" applyFill="1" applyBorder="1"/>
    <xf numFmtId="40" fontId="26" fillId="4" borderId="0" xfId="0" applyNumberFormat="1" applyFont="1" applyFill="1" applyAlignment="1">
      <alignment horizontal="right"/>
    </xf>
    <xf numFmtId="40" fontId="27" fillId="4" borderId="0" xfId="0" applyNumberFormat="1" applyFont="1" applyFill="1"/>
    <xf numFmtId="40" fontId="26" fillId="4" borderId="0" xfId="0" applyNumberFormat="1" applyFont="1" applyFill="1"/>
    <xf numFmtId="40" fontId="27" fillId="4" borderId="18" xfId="0" applyNumberFormat="1" applyFont="1" applyFill="1" applyBorder="1"/>
    <xf numFmtId="40" fontId="26" fillId="4" borderId="0" xfId="0" applyNumberFormat="1" applyFont="1" applyFill="1" applyBorder="1"/>
    <xf numFmtId="0" fontId="0" fillId="4" borderId="26" xfId="0" applyFill="1" applyBorder="1"/>
    <xf numFmtId="0" fontId="0" fillId="4" borderId="0" xfId="0" applyFont="1" applyFill="1"/>
    <xf numFmtId="0" fontId="25" fillId="0" borderId="0" xfId="0" applyFont="1"/>
    <xf numFmtId="178" fontId="24" fillId="4" borderId="0" xfId="4" applyNumberFormat="1" applyFont="1" applyFill="1" applyBorder="1" applyProtection="1">
      <alignment vertical="center"/>
    </xf>
    <xf numFmtId="0" fontId="11" fillId="8" borderId="27" xfId="4" applyFont="1" applyFill="1" applyBorder="1" applyAlignment="1" applyProtection="1">
      <alignment horizontal="left" vertical="center" wrapText="1"/>
    </xf>
    <xf numFmtId="14" fontId="6" fillId="9" borderId="28" xfId="4" applyNumberFormat="1" applyFont="1" applyFill="1" applyBorder="1" applyAlignment="1" applyProtection="1">
      <alignment horizontal="right" vertical="center"/>
      <protection locked="0"/>
    </xf>
    <xf numFmtId="0" fontId="28" fillId="4" borderId="0" xfId="4" applyFont="1" applyFill="1" applyBorder="1">
      <alignment vertical="center"/>
    </xf>
    <xf numFmtId="178" fontId="18" fillId="4" borderId="29" xfId="4" applyNumberFormat="1" applyFont="1" applyFill="1" applyBorder="1" applyAlignment="1">
      <alignment horizontal="right" vertical="center"/>
    </xf>
    <xf numFmtId="178" fontId="24" fillId="4" borderId="0" xfId="4" applyNumberFormat="1" applyFont="1" applyFill="1" applyBorder="1" applyAlignment="1">
      <alignment horizontal="center" vertical="center"/>
    </xf>
    <xf numFmtId="178" fontId="29" fillId="4" borderId="29" xfId="4" applyNumberFormat="1" applyFont="1" applyFill="1" applyBorder="1">
      <alignment vertical="center"/>
    </xf>
    <xf numFmtId="0" fontId="14" fillId="4" borderId="0" xfId="4" applyFont="1" applyFill="1" applyBorder="1" applyProtection="1">
      <alignment vertical="center"/>
    </xf>
    <xf numFmtId="178" fontId="18" fillId="4" borderId="29" xfId="4" applyNumberFormat="1" applyFont="1" applyFill="1" applyBorder="1">
      <alignment vertical="center"/>
    </xf>
    <xf numFmtId="178" fontId="30" fillId="4" borderId="0" xfId="4" applyNumberFormat="1" applyFont="1" applyFill="1" applyBorder="1" applyProtection="1">
      <alignment vertical="center"/>
    </xf>
    <xf numFmtId="178" fontId="6" fillId="4" borderId="29" xfId="4" applyNumberFormat="1" applyFont="1" applyFill="1" applyBorder="1">
      <alignment vertical="center"/>
    </xf>
    <xf numFmtId="178" fontId="14" fillId="4" borderId="0" xfId="4" applyNumberFormat="1" applyFont="1" applyFill="1" applyBorder="1" applyProtection="1">
      <alignment vertical="center"/>
    </xf>
    <xf numFmtId="178" fontId="11" fillId="4" borderId="29" xfId="4" applyNumberFormat="1" applyFont="1" applyFill="1" applyBorder="1">
      <alignment vertical="center"/>
    </xf>
    <xf numFmtId="0" fontId="31" fillId="4" borderId="0" xfId="4" applyFill="1" applyBorder="1">
      <alignment vertical="center"/>
    </xf>
    <xf numFmtId="178" fontId="18" fillId="4" borderId="18" xfId="4" applyNumberFormat="1" applyFont="1" applyFill="1" applyBorder="1">
      <alignment vertical="center"/>
    </xf>
    <xf numFmtId="10" fontId="14" fillId="4" borderId="0" xfId="4" applyNumberFormat="1" applyFont="1" applyFill="1" applyBorder="1">
      <alignment vertical="center"/>
    </xf>
    <xf numFmtId="14" fontId="24" fillId="4" borderId="0" xfId="4" applyNumberFormat="1" applyFont="1" applyFill="1" applyBorder="1" applyProtection="1">
      <alignment vertical="center"/>
    </xf>
    <xf numFmtId="14" fontId="32" fillId="4" borderId="0" xfId="4" applyNumberFormat="1" applyFont="1" applyFill="1" applyBorder="1" applyProtection="1">
      <alignment vertical="center"/>
    </xf>
    <xf numFmtId="178" fontId="14" fillId="4" borderId="0" xfId="4" applyNumberFormat="1" applyFont="1" applyFill="1" applyBorder="1">
      <alignment vertical="center"/>
    </xf>
    <xf numFmtId="178" fontId="6" fillId="0" borderId="29" xfId="4" applyNumberFormat="1" applyFont="1" applyFill="1" applyBorder="1">
      <alignment vertical="center"/>
    </xf>
    <xf numFmtId="178" fontId="15" fillId="4" borderId="29" xfId="4" applyNumberFormat="1" applyFont="1" applyFill="1" applyBorder="1">
      <alignment vertical="center"/>
    </xf>
    <xf numFmtId="0" fontId="14" fillId="4" borderId="0" xfId="0" applyNumberFormat="1" applyFont="1" applyFill="1" applyAlignment="1">
      <alignment vertical="center"/>
    </xf>
    <xf numFmtId="0" fontId="6" fillId="4" borderId="0" xfId="0" applyNumberFormat="1" applyFont="1" applyFill="1" applyAlignment="1">
      <alignment vertical="center"/>
    </xf>
    <xf numFmtId="0" fontId="6" fillId="4" borderId="0" xfId="0" applyNumberFormat="1" applyFont="1" applyFill="1" applyAlignment="1">
      <alignment horizontal="center" vertical="center"/>
    </xf>
    <xf numFmtId="0" fontId="22" fillId="4" borderId="0" xfId="0" applyNumberFormat="1" applyFont="1" applyFill="1" applyBorder="1" applyAlignment="1">
      <alignment horizontal="center" vertical="center"/>
    </xf>
    <xf numFmtId="0" fontId="6" fillId="4" borderId="0" xfId="0" applyNumberFormat="1" applyFont="1" applyFill="1" applyBorder="1" applyAlignment="1">
      <alignment vertical="center"/>
    </xf>
    <xf numFmtId="0" fontId="6" fillId="4" borderId="0" xfId="0" applyNumberFormat="1" applyFont="1" applyFill="1" applyBorder="1" applyAlignment="1">
      <alignment horizontal="center" vertical="center"/>
    </xf>
    <xf numFmtId="0" fontId="34" fillId="4" borderId="0" xfId="0" applyNumberFormat="1" applyFont="1" applyFill="1" applyBorder="1" applyAlignment="1" applyProtection="1">
      <alignment vertical="center"/>
      <protection locked="0"/>
    </xf>
    <xf numFmtId="0" fontId="6" fillId="4" borderId="30" xfId="0" applyNumberFormat="1" applyFont="1" applyFill="1" applyBorder="1" applyAlignment="1">
      <alignment horizontal="center" vertical="center"/>
    </xf>
    <xf numFmtId="173" fontId="30" fillId="8" borderId="31" xfId="4" applyNumberFormat="1" applyFont="1" applyFill="1" applyBorder="1" applyAlignment="1">
      <alignment horizontal="center" vertical="center"/>
    </xf>
    <xf numFmtId="173" fontId="30" fillId="10" borderId="31" xfId="4" applyNumberFormat="1" applyFont="1" applyFill="1" applyBorder="1" applyAlignment="1">
      <alignment horizontal="center" vertical="center"/>
    </xf>
    <xf numFmtId="14" fontId="22" fillId="4" borderId="22" xfId="0" applyNumberFormat="1" applyFont="1" applyFill="1" applyBorder="1" applyAlignment="1">
      <alignment horizontal="center" vertical="center"/>
    </xf>
    <xf numFmtId="14" fontId="22" fillId="4" borderId="0" xfId="0" applyNumberFormat="1" applyFont="1" applyFill="1" applyBorder="1" applyAlignment="1">
      <alignment horizontal="center" vertical="center"/>
    </xf>
    <xf numFmtId="0" fontId="11" fillId="4" borderId="32" xfId="0" applyNumberFormat="1" applyFont="1" applyFill="1" applyBorder="1" applyAlignment="1">
      <alignment horizontal="left" vertical="center"/>
    </xf>
    <xf numFmtId="178" fontId="6" fillId="4" borderId="33" xfId="0" applyNumberFormat="1" applyFont="1" applyFill="1" applyBorder="1" applyAlignment="1">
      <alignment horizontal="center" vertical="center"/>
    </xf>
    <xf numFmtId="181" fontId="6" fillId="4" borderId="22" xfId="0" applyNumberFormat="1" applyFont="1" applyFill="1" applyBorder="1" applyAlignment="1">
      <alignment horizontal="center" vertical="center"/>
    </xf>
    <xf numFmtId="181" fontId="6" fillId="4" borderId="0" xfId="0" applyNumberFormat="1" applyFont="1" applyFill="1" applyBorder="1" applyAlignment="1">
      <alignment horizontal="center" vertical="center"/>
    </xf>
    <xf numFmtId="178" fontId="6" fillId="4" borderId="34" xfId="0" applyNumberFormat="1" applyFont="1" applyFill="1" applyBorder="1" applyAlignment="1">
      <alignment horizontal="center" vertical="center"/>
    </xf>
    <xf numFmtId="0" fontId="11" fillId="4" borderId="35" xfId="0" applyNumberFormat="1" applyFont="1" applyFill="1" applyBorder="1" applyAlignment="1">
      <alignment horizontal="left" vertical="center"/>
    </xf>
    <xf numFmtId="171" fontId="35" fillId="4" borderId="36" xfId="0" applyNumberFormat="1" applyFont="1" applyFill="1" applyBorder="1" applyAlignment="1">
      <alignment horizontal="center" vertical="center"/>
    </xf>
    <xf numFmtId="0" fontId="18" fillId="11" borderId="37" xfId="0" applyNumberFormat="1" applyFont="1" applyFill="1" applyBorder="1" applyAlignment="1">
      <alignment horizontal="left" vertical="center" wrapText="1"/>
    </xf>
    <xf numFmtId="171" fontId="15" fillId="11" borderId="38" xfId="0" applyNumberFormat="1" applyFont="1" applyFill="1" applyBorder="1" applyAlignment="1">
      <alignment horizontal="center" vertical="center"/>
    </xf>
    <xf numFmtId="171" fontId="18" fillId="11" borderId="38" xfId="0" applyNumberFormat="1" applyFont="1" applyFill="1" applyBorder="1" applyAlignment="1">
      <alignment horizontal="center" vertical="center"/>
    </xf>
    <xf numFmtId="171" fontId="0" fillId="11" borderId="38" xfId="0" applyNumberFormat="1" applyFont="1" applyFill="1" applyBorder="1" applyAlignment="1">
      <alignment horizontal="center" vertical="center"/>
    </xf>
    <xf numFmtId="0" fontId="36" fillId="4" borderId="0" xfId="0" applyNumberFormat="1" applyFont="1" applyFill="1" applyBorder="1" applyAlignment="1" applyProtection="1">
      <alignment vertical="center"/>
      <protection locked="0"/>
    </xf>
    <xf numFmtId="171" fontId="6" fillId="4" borderId="39" xfId="0" applyNumberFormat="1" applyFont="1" applyFill="1" applyBorder="1" applyAlignment="1">
      <alignment horizontal="center" vertical="center"/>
    </xf>
    <xf numFmtId="171" fontId="37" fillId="4" borderId="39" xfId="0" applyNumberFormat="1" applyFont="1" applyFill="1" applyBorder="1" applyAlignment="1">
      <alignment horizontal="center" vertical="center"/>
    </xf>
    <xf numFmtId="171" fontId="6" fillId="4" borderId="24" xfId="0" applyNumberFormat="1" applyFont="1" applyFill="1" applyBorder="1" applyAlignment="1">
      <alignment horizontal="center" vertical="center"/>
    </xf>
    <xf numFmtId="181" fontId="6" fillId="4" borderId="0" xfId="0" applyNumberFormat="1" applyFont="1" applyFill="1" applyBorder="1" applyAlignment="1">
      <alignment vertical="center"/>
    </xf>
    <xf numFmtId="171" fontId="6" fillId="4" borderId="40" xfId="0" applyNumberFormat="1" applyFont="1" applyFill="1" applyBorder="1" applyAlignment="1">
      <alignment horizontal="center" vertical="center"/>
    </xf>
    <xf numFmtId="171" fontId="6" fillId="4" borderId="38" xfId="0" applyNumberFormat="1" applyFont="1" applyFill="1" applyBorder="1" applyAlignment="1">
      <alignment horizontal="center" vertical="center"/>
    </xf>
    <xf numFmtId="0" fontId="14" fillId="4" borderId="0" xfId="0" applyNumberFormat="1" applyFont="1" applyFill="1" applyAlignment="1">
      <alignment horizontal="center" vertical="center"/>
    </xf>
    <xf numFmtId="40" fontId="0" fillId="4" borderId="31" xfId="0" applyNumberFormat="1" applyFill="1" applyBorder="1"/>
    <xf numFmtId="40" fontId="38" fillId="4" borderId="41" xfId="0" applyNumberFormat="1" applyFont="1" applyFill="1" applyBorder="1"/>
    <xf numFmtId="40" fontId="38" fillId="4" borderId="19" xfId="0" applyNumberFormat="1" applyFont="1" applyFill="1" applyBorder="1"/>
    <xf numFmtId="40" fontId="0" fillId="4" borderId="18" xfId="0" applyNumberFormat="1" applyFill="1" applyBorder="1"/>
    <xf numFmtId="40" fontId="0" fillId="4" borderId="0" xfId="0" applyNumberFormat="1" applyFill="1" applyBorder="1" applyAlignment="1">
      <alignment horizontal="center"/>
    </xf>
    <xf numFmtId="40" fontId="0" fillId="4" borderId="18" xfId="0" applyNumberFormat="1" applyFill="1" applyBorder="1" applyAlignment="1">
      <alignment horizontal="center"/>
    </xf>
    <xf numFmtId="184" fontId="0" fillId="4" borderId="0" xfId="0" applyNumberFormat="1" applyFill="1"/>
    <xf numFmtId="40" fontId="0" fillId="0" borderId="0" xfId="0" applyNumberFormat="1"/>
    <xf numFmtId="40" fontId="0" fillId="0" borderId="18" xfId="0" applyNumberFormat="1" applyBorder="1"/>
    <xf numFmtId="40" fontId="39" fillId="4" borderId="0" xfId="0" applyNumberFormat="1" applyFont="1" applyFill="1"/>
    <xf numFmtId="40" fontId="40" fillId="4" borderId="0" xfId="0" applyNumberFormat="1" applyFont="1" applyFill="1" applyBorder="1" applyAlignment="1">
      <alignment horizontal="center" vertical="center"/>
    </xf>
    <xf numFmtId="40" fontId="38" fillId="4" borderId="0" xfId="0" applyNumberFormat="1" applyFont="1" applyFill="1" applyBorder="1" applyAlignment="1">
      <alignment horizontal="center" vertical="center"/>
    </xf>
    <xf numFmtId="40" fontId="41" fillId="4" borderId="18" xfId="0" applyNumberFormat="1" applyFont="1" applyFill="1" applyBorder="1" applyAlignment="1">
      <alignment horizontal="center"/>
    </xf>
    <xf numFmtId="40" fontId="40" fillId="4" borderId="0" xfId="0" applyNumberFormat="1" applyFont="1" applyFill="1"/>
    <xf numFmtId="40" fontId="40" fillId="4" borderId="19" xfId="0" applyNumberFormat="1" applyFont="1" applyFill="1" applyBorder="1" applyAlignment="1">
      <alignment horizontal="center" vertical="center"/>
    </xf>
    <xf numFmtId="40" fontId="38" fillId="4" borderId="19" xfId="0" applyNumberFormat="1" applyFont="1" applyFill="1" applyBorder="1" applyAlignment="1">
      <alignment horizontal="center" vertical="center"/>
    </xf>
    <xf numFmtId="14" fontId="0" fillId="4" borderId="0" xfId="0" applyNumberFormat="1" applyFont="1" applyFill="1" applyAlignment="1" applyProtection="1">
      <alignment horizontal="center"/>
      <protection hidden="1"/>
    </xf>
    <xf numFmtId="40" fontId="41" fillId="4" borderId="0" xfId="0" applyNumberFormat="1" applyFont="1" applyFill="1"/>
    <xf numFmtId="14" fontId="22" fillId="7" borderId="24" xfId="4" applyNumberFormat="1" applyFont="1" applyFill="1" applyBorder="1" applyAlignment="1">
      <alignment horizontal="center" vertical="center"/>
    </xf>
    <xf numFmtId="40" fontId="38" fillId="4" borderId="53" xfId="0" applyNumberFormat="1" applyFont="1" applyFill="1" applyBorder="1"/>
    <xf numFmtId="178" fontId="14" fillId="4" borderId="55" xfId="4" applyNumberFormat="1" applyFont="1" applyFill="1" applyBorder="1">
      <alignment vertical="center"/>
    </xf>
    <xf numFmtId="40" fontId="38" fillId="4" borderId="23" xfId="0" applyNumberFormat="1" applyFont="1" applyFill="1" applyBorder="1"/>
    <xf numFmtId="178" fontId="14" fillId="4" borderId="35" xfId="4" applyNumberFormat="1" applyFont="1" applyFill="1" applyBorder="1">
      <alignment vertical="center"/>
    </xf>
    <xf numFmtId="40" fontId="38" fillId="4" borderId="0" xfId="0" applyNumberFormat="1" applyFont="1" applyFill="1" applyBorder="1" applyAlignment="1">
      <alignment horizontal="center"/>
    </xf>
    <xf numFmtId="40" fontId="38" fillId="4" borderId="18" xfId="0" applyNumberFormat="1" applyFont="1" applyFill="1" applyBorder="1" applyAlignment="1">
      <alignment vertical="center"/>
    </xf>
    <xf numFmtId="178" fontId="14" fillId="4" borderId="33" xfId="4" applyNumberFormat="1" applyFont="1" applyFill="1" applyBorder="1">
      <alignment vertical="center"/>
    </xf>
    <xf numFmtId="178" fontId="14" fillId="4" borderId="58" xfId="4" applyNumberFormat="1" applyFont="1" applyFill="1" applyBorder="1">
      <alignment vertical="center"/>
    </xf>
    <xf numFmtId="178" fontId="14" fillId="4" borderId="59" xfId="4" applyNumberFormat="1" applyFont="1" applyFill="1" applyBorder="1">
      <alignment vertical="center"/>
    </xf>
    <xf numFmtId="178" fontId="14" fillId="4" borderId="34" xfId="4" applyNumberFormat="1" applyFont="1" applyFill="1" applyBorder="1">
      <alignment vertical="center"/>
    </xf>
    <xf numFmtId="178" fontId="14" fillId="4" borderId="60" xfId="4" applyNumberFormat="1" applyFont="1" applyFill="1" applyBorder="1">
      <alignment vertical="center"/>
    </xf>
    <xf numFmtId="178" fontId="14" fillId="4" borderId="32" xfId="4" applyNumberFormat="1" applyFont="1" applyFill="1" applyBorder="1">
      <alignment vertical="center"/>
    </xf>
    <xf numFmtId="184" fontId="41" fillId="4" borderId="0" xfId="0" applyNumberFormat="1" applyFont="1" applyFill="1"/>
    <xf numFmtId="14" fontId="30" fillId="10" borderId="63" xfId="4" applyNumberFormat="1" applyFont="1" applyFill="1" applyBorder="1" applyAlignment="1">
      <alignment horizontal="center" vertical="center"/>
    </xf>
    <xf numFmtId="14" fontId="30" fillId="10" borderId="64" xfId="4" applyNumberFormat="1" applyFont="1" applyFill="1" applyBorder="1" applyAlignment="1">
      <alignment horizontal="center" vertical="center"/>
    </xf>
    <xf numFmtId="2" fontId="14" fillId="4" borderId="33" xfId="4" applyNumberFormat="1" applyFont="1" applyFill="1" applyBorder="1">
      <alignment vertical="center"/>
    </xf>
    <xf numFmtId="2" fontId="14" fillId="4" borderId="65" xfId="4" applyNumberFormat="1" applyFont="1" applyFill="1" applyBorder="1">
      <alignment vertical="center"/>
    </xf>
    <xf numFmtId="2" fontId="14" fillId="4" borderId="59" xfId="4" applyNumberFormat="1" applyFont="1" applyFill="1" applyBorder="1">
      <alignment vertical="center"/>
    </xf>
    <xf numFmtId="2" fontId="14" fillId="4" borderId="43" xfId="4" applyNumberFormat="1" applyFont="1" applyFill="1" applyBorder="1">
      <alignment vertical="center"/>
    </xf>
    <xf numFmtId="2" fontId="14" fillId="4" borderId="34" xfId="4" applyNumberFormat="1" applyFont="1" applyFill="1" applyBorder="1">
      <alignment vertical="center"/>
    </xf>
    <xf numFmtId="2" fontId="14" fillId="4" borderId="66" xfId="4" applyNumberFormat="1" applyFont="1" applyFill="1" applyBorder="1">
      <alignment vertical="center"/>
    </xf>
    <xf numFmtId="2" fontId="14" fillId="4" borderId="32" xfId="4" applyNumberFormat="1" applyFont="1" applyFill="1" applyBorder="1">
      <alignment vertical="center"/>
    </xf>
    <xf numFmtId="2" fontId="14" fillId="4" borderId="67" xfId="4" applyNumberFormat="1" applyFont="1" applyFill="1" applyBorder="1">
      <alignment vertical="center"/>
    </xf>
    <xf numFmtId="40" fontId="0" fillId="4" borderId="19" xfId="0" applyNumberFormat="1" applyFill="1" applyBorder="1"/>
    <xf numFmtId="14" fontId="22" fillId="7" borderId="20" xfId="4" applyNumberFormat="1" applyFont="1" applyFill="1" applyBorder="1" applyAlignment="1">
      <alignment horizontal="center" vertical="center"/>
    </xf>
    <xf numFmtId="40" fontId="18" fillId="4" borderId="25" xfId="4" applyNumberFormat="1" applyFont="1" applyFill="1" applyBorder="1" applyAlignment="1">
      <alignment vertical="center"/>
    </xf>
    <xf numFmtId="14" fontId="22" fillId="7" borderId="25" xfId="4" applyNumberFormat="1" applyFont="1" applyFill="1" applyBorder="1" applyAlignment="1">
      <alignment horizontal="center" vertical="center"/>
    </xf>
    <xf numFmtId="40" fontId="44" fillId="4" borderId="0" xfId="0" applyNumberFormat="1" applyFont="1" applyFill="1"/>
    <xf numFmtId="40" fontId="38" fillId="4" borderId="0" xfId="0" applyNumberFormat="1" applyFont="1" applyFill="1"/>
    <xf numFmtId="2" fontId="14" fillId="4" borderId="68" xfId="4" applyNumberFormat="1" applyFont="1" applyFill="1" applyBorder="1">
      <alignment vertical="center"/>
    </xf>
    <xf numFmtId="2" fontId="14" fillId="4" borderId="69" xfId="4" applyNumberFormat="1" applyFont="1" applyFill="1" applyBorder="1">
      <alignment vertical="center"/>
    </xf>
    <xf numFmtId="184" fontId="14" fillId="4" borderId="34" xfId="4" applyNumberFormat="1" applyFont="1" applyFill="1" applyBorder="1">
      <alignment vertical="center"/>
    </xf>
    <xf numFmtId="178" fontId="14" fillId="4" borderId="66" xfId="4" applyNumberFormat="1" applyFont="1" applyFill="1" applyBorder="1">
      <alignment vertical="center"/>
    </xf>
    <xf numFmtId="178" fontId="14" fillId="4" borderId="67" xfId="4" applyNumberFormat="1" applyFont="1" applyFill="1" applyBorder="1">
      <alignment vertical="center"/>
    </xf>
    <xf numFmtId="178" fontId="14" fillId="4" borderId="69" xfId="4" applyNumberFormat="1" applyFont="1" applyFill="1" applyBorder="1">
      <alignment vertical="center"/>
    </xf>
    <xf numFmtId="0" fontId="0" fillId="0" borderId="0" xfId="0" applyAlignment="1">
      <alignment vertical="center"/>
    </xf>
    <xf numFmtId="171" fontId="6" fillId="4" borderId="0" xfId="0" applyNumberFormat="1" applyFont="1" applyFill="1" applyBorder="1" applyAlignment="1">
      <alignment horizontal="center" vertical="center"/>
    </xf>
    <xf numFmtId="171" fontId="6" fillId="4" borderId="0" xfId="0" applyNumberFormat="1" applyFont="1" applyFill="1" applyBorder="1" applyAlignment="1">
      <alignment horizontal="left" vertical="center"/>
    </xf>
    <xf numFmtId="10" fontId="18" fillId="11" borderId="38" xfId="0" applyNumberFormat="1" applyFont="1" applyFill="1" applyBorder="1" applyAlignment="1">
      <alignment horizontal="center" vertical="center"/>
    </xf>
    <xf numFmtId="10" fontId="15" fillId="11" borderId="38" xfId="0" applyNumberFormat="1" applyFont="1" applyFill="1" applyBorder="1" applyAlignment="1">
      <alignment horizontal="left" vertical="center"/>
    </xf>
    <xf numFmtId="10" fontId="15" fillId="11" borderId="38" xfId="0" applyNumberFormat="1" applyFont="1" applyFill="1" applyBorder="1" applyAlignment="1">
      <alignment horizontal="center" vertical="center"/>
    </xf>
    <xf numFmtId="166" fontId="6" fillId="4" borderId="38" xfId="0" applyNumberFormat="1" applyFont="1" applyFill="1" applyBorder="1" applyAlignment="1">
      <alignment horizontal="center" vertical="center"/>
    </xf>
    <xf numFmtId="174" fontId="6" fillId="4" borderId="38" xfId="0" applyNumberFormat="1" applyFont="1" applyFill="1" applyBorder="1" applyAlignment="1">
      <alignment horizontal="center" vertical="center"/>
    </xf>
    <xf numFmtId="10" fontId="0" fillId="0" borderId="0" xfId="0" applyNumberFormat="1"/>
    <xf numFmtId="0" fontId="0" fillId="0" borderId="70" xfId="0" applyBorder="1"/>
    <xf numFmtId="0" fontId="46" fillId="4" borderId="0" xfId="4" applyFont="1" applyFill="1" applyProtection="1">
      <alignment vertical="center"/>
      <protection locked="0"/>
    </xf>
    <xf numFmtId="0" fontId="25" fillId="4" borderId="0" xfId="4" applyFont="1" applyFill="1" applyAlignment="1">
      <alignment horizontal="center" vertical="center"/>
    </xf>
    <xf numFmtId="177" fontId="14" fillId="4" borderId="0" xfId="4" applyNumberFormat="1" applyFont="1" applyFill="1" applyBorder="1" applyAlignment="1">
      <alignment horizontal="center" wrapText="1"/>
    </xf>
    <xf numFmtId="0" fontId="14" fillId="4" borderId="0" xfId="4" applyFont="1" applyFill="1" applyBorder="1">
      <alignment vertical="center"/>
    </xf>
    <xf numFmtId="0" fontId="11" fillId="4" borderId="0" xfId="4" applyFont="1" applyFill="1">
      <alignment vertical="center"/>
    </xf>
    <xf numFmtId="0" fontId="31" fillId="0" borderId="0" xfId="4">
      <alignment vertical="center"/>
    </xf>
    <xf numFmtId="0" fontId="14" fillId="4" borderId="0" xfId="4" applyFont="1" applyFill="1" applyBorder="1">
      <alignment vertical="center"/>
    </xf>
    <xf numFmtId="0" fontId="14" fillId="4" borderId="71" xfId="4" applyFont="1" applyFill="1" applyBorder="1">
      <alignment vertical="center"/>
    </xf>
    <xf numFmtId="0" fontId="11" fillId="4" borderId="0" xfId="4" applyFont="1" applyFill="1" applyBorder="1" applyAlignment="1">
      <alignment horizontal="right"/>
    </xf>
    <xf numFmtId="14" fontId="15" fillId="4" borderId="34" xfId="4" applyNumberFormat="1" applyFont="1" applyFill="1" applyBorder="1" applyAlignment="1">
      <alignment horizontal="center" vertical="center"/>
    </xf>
    <xf numFmtId="14" fontId="30" fillId="4" borderId="0" xfId="4" applyNumberFormat="1" applyFont="1" applyFill="1" applyBorder="1" applyAlignment="1">
      <alignment horizontal="center" vertical="center"/>
    </xf>
    <xf numFmtId="0" fontId="14" fillId="4" borderId="0" xfId="4" applyFont="1" applyFill="1" applyBorder="1" applyAlignment="1">
      <alignment horizontal="center" vertical="top" wrapText="1"/>
    </xf>
    <xf numFmtId="0" fontId="14" fillId="4" borderId="71" xfId="4" applyFont="1" applyFill="1" applyBorder="1" applyAlignment="1">
      <alignment horizontal="center" vertical="top" wrapText="1"/>
    </xf>
    <xf numFmtId="0" fontId="11" fillId="4" borderId="0" xfId="4" applyFont="1" applyFill="1" applyBorder="1">
      <alignment vertical="center"/>
    </xf>
    <xf numFmtId="0" fontId="11" fillId="4" borderId="34" xfId="4" applyFont="1" applyFill="1" applyBorder="1" applyAlignment="1">
      <alignment horizontal="justify" vertical="top" wrapText="1"/>
    </xf>
    <xf numFmtId="165" fontId="47" fillId="9" borderId="34" xfId="4" applyNumberFormat="1" applyFont="1" applyFill="1" applyBorder="1" applyAlignment="1" applyProtection="1">
      <alignment horizontal="right" vertical="top" wrapText="1"/>
      <protection locked="0"/>
    </xf>
    <xf numFmtId="0" fontId="14" fillId="4" borderId="0" xfId="4" applyFont="1" applyFill="1" applyBorder="1" applyAlignment="1">
      <alignment horizontal="right" vertical="top" wrapText="1"/>
    </xf>
    <xf numFmtId="14" fontId="22" fillId="4" borderId="0" xfId="4" applyNumberFormat="1" applyFont="1" applyFill="1" applyBorder="1" applyAlignment="1">
      <alignment horizontal="center" vertical="center"/>
    </xf>
    <xf numFmtId="0" fontId="6" fillId="4" borderId="0" xfId="4" applyFont="1" applyFill="1" applyBorder="1">
      <alignment vertical="center"/>
    </xf>
    <xf numFmtId="10" fontId="47" fillId="9" borderId="34" xfId="4" applyNumberFormat="1" applyFont="1" applyFill="1" applyBorder="1" applyAlignment="1" applyProtection="1">
      <alignment horizontal="right" vertical="top" wrapText="1"/>
      <protection locked="0"/>
    </xf>
    <xf numFmtId="10" fontId="14" fillId="4" borderId="0" xfId="4" applyNumberFormat="1" applyFont="1" applyFill="1" applyBorder="1" applyAlignment="1">
      <alignment horizontal="right" vertical="top" wrapText="1"/>
    </xf>
    <xf numFmtId="9" fontId="14" fillId="4" borderId="0" xfId="4" applyNumberFormat="1" applyFont="1" applyFill="1" applyBorder="1" applyAlignment="1">
      <alignment horizontal="justify" vertical="top" wrapText="1"/>
    </xf>
    <xf numFmtId="9" fontId="14" fillId="4" borderId="72" xfId="4" applyNumberFormat="1" applyFont="1" applyFill="1" applyBorder="1" applyAlignment="1">
      <alignment horizontal="justify" vertical="top" wrapText="1"/>
    </xf>
    <xf numFmtId="49" fontId="14" fillId="4" borderId="71" xfId="4" applyNumberFormat="1" applyFont="1" applyFill="1" applyBorder="1" applyAlignment="1">
      <alignment horizontal="center" vertical="top" wrapText="1"/>
    </xf>
    <xf numFmtId="0" fontId="11" fillId="4" borderId="0" xfId="4" applyFont="1" applyFill="1" applyAlignment="1">
      <alignment horizontal="center" vertical="center"/>
    </xf>
    <xf numFmtId="49" fontId="14" fillId="4" borderId="0" xfId="4" applyNumberFormat="1" applyFont="1" applyFill="1" applyBorder="1" applyAlignment="1">
      <alignment horizontal="center" vertical="top" wrapText="1"/>
    </xf>
    <xf numFmtId="0" fontId="6" fillId="4" borderId="0" xfId="4" applyFont="1" applyFill="1">
      <alignment vertical="center"/>
    </xf>
    <xf numFmtId="14" fontId="22" fillId="7" borderId="20" xfId="4" applyNumberFormat="1" applyFont="1" applyFill="1" applyBorder="1" applyAlignment="1" applyProtection="1">
      <alignment horizontal="center" vertical="center"/>
      <protection hidden="1"/>
    </xf>
    <xf numFmtId="10" fontId="48" fillId="4" borderId="73" xfId="4" applyNumberFormat="1" applyFont="1" applyFill="1" applyBorder="1" applyAlignment="1">
      <alignment horizontal="right" vertical="center"/>
    </xf>
    <xf numFmtId="10" fontId="48" fillId="4" borderId="0" xfId="4" applyNumberFormat="1" applyFont="1" applyFill="1" applyBorder="1" applyAlignment="1">
      <alignment horizontal="right" vertical="center"/>
    </xf>
    <xf numFmtId="0" fontId="49" fillId="4" borderId="0" xfId="4" applyFont="1" applyFill="1" applyBorder="1">
      <alignment vertical="center"/>
    </xf>
    <xf numFmtId="0" fontId="48" fillId="4" borderId="0" xfId="4" applyFont="1" applyFill="1" applyBorder="1" applyAlignment="1">
      <alignment horizontal="center" vertical="center"/>
    </xf>
    <xf numFmtId="14" fontId="48" fillId="4" borderId="0" xfId="4" applyNumberFormat="1" applyFont="1" applyFill="1" applyBorder="1" applyAlignment="1">
      <alignment horizontal="center" vertical="center"/>
    </xf>
    <xf numFmtId="170" fontId="50" fillId="0" borderId="34" xfId="4" applyNumberFormat="1" applyFont="1" applyFill="1" applyBorder="1" applyAlignment="1" applyProtection="1">
      <alignment horizontal="right" vertical="center"/>
    </xf>
    <xf numFmtId="10" fontId="6" fillId="4" borderId="0" xfId="4" applyNumberFormat="1" applyFont="1" applyFill="1" applyBorder="1">
      <alignment vertical="center"/>
    </xf>
    <xf numFmtId="10" fontId="11" fillId="4" borderId="0" xfId="4" applyNumberFormat="1" applyFont="1" applyFill="1" applyBorder="1" applyAlignment="1">
      <alignment horizontal="left" vertical="center"/>
    </xf>
    <xf numFmtId="10" fontId="51" fillId="4" borderId="74" xfId="4" applyNumberFormat="1" applyFont="1" applyFill="1" applyBorder="1" applyAlignment="1">
      <alignment horizontal="right" vertical="top" wrapText="1"/>
    </xf>
    <xf numFmtId="10" fontId="48" fillId="4" borderId="0" xfId="4" applyNumberFormat="1" applyFont="1" applyFill="1" applyBorder="1" applyAlignment="1">
      <alignment horizontal="center" vertical="center"/>
    </xf>
    <xf numFmtId="10" fontId="14" fillId="4" borderId="75" xfId="4" applyNumberFormat="1" applyFont="1" applyFill="1" applyBorder="1" applyAlignment="1">
      <alignment horizontal="right" vertical="center"/>
    </xf>
    <xf numFmtId="10" fontId="6" fillId="4" borderId="0" xfId="4" applyNumberFormat="1" applyFont="1" applyFill="1">
      <alignment vertical="center"/>
    </xf>
    <xf numFmtId="10" fontId="11" fillId="4" borderId="0" xfId="4" applyNumberFormat="1" applyFont="1" applyFill="1">
      <alignment vertical="center"/>
    </xf>
    <xf numFmtId="10" fontId="6" fillId="4" borderId="34" xfId="4" applyNumberFormat="1" applyFont="1" applyFill="1" applyBorder="1" applyAlignment="1">
      <alignment horizontal="right" vertical="top" wrapText="1"/>
    </xf>
    <xf numFmtId="10" fontId="14" fillId="4" borderId="34" xfId="4" applyNumberFormat="1" applyFont="1" applyFill="1" applyBorder="1" applyAlignment="1">
      <alignment horizontal="right" vertical="center"/>
    </xf>
    <xf numFmtId="10" fontId="6" fillId="4" borderId="34" xfId="4" applyNumberFormat="1" applyFont="1" applyFill="1" applyBorder="1" applyAlignment="1">
      <alignment horizontal="right" vertical="center"/>
    </xf>
    <xf numFmtId="10" fontId="51" fillId="4" borderId="0" xfId="4" applyNumberFormat="1" applyFont="1" applyFill="1" applyBorder="1" applyAlignment="1">
      <alignment horizontal="right" vertical="top" wrapText="1"/>
    </xf>
    <xf numFmtId="10" fontId="14" fillId="4" borderId="0" xfId="4" applyNumberFormat="1" applyFont="1" applyFill="1" applyBorder="1" applyAlignment="1">
      <alignment horizontal="right" vertical="center"/>
    </xf>
    <xf numFmtId="0" fontId="52" fillId="4" borderId="0" xfId="4" applyFont="1" applyFill="1" applyBorder="1">
      <alignment vertical="center"/>
    </xf>
    <xf numFmtId="0" fontId="14" fillId="4" borderId="0" xfId="4" applyFont="1" applyFill="1">
      <alignment vertical="center"/>
    </xf>
    <xf numFmtId="0" fontId="6" fillId="4" borderId="74" xfId="4" applyFont="1" applyFill="1" applyBorder="1">
      <alignment vertical="center"/>
    </xf>
    <xf numFmtId="0" fontId="6" fillId="4" borderId="67" xfId="4" applyFont="1" applyFill="1" applyBorder="1">
      <alignment vertical="center"/>
    </xf>
    <xf numFmtId="178" fontId="14" fillId="4" borderId="76" xfId="4" applyNumberFormat="1" applyFont="1" applyFill="1" applyBorder="1">
      <alignment vertical="center"/>
    </xf>
    <xf numFmtId="178" fontId="14" fillId="4" borderId="43" xfId="4" applyNumberFormat="1" applyFont="1" applyFill="1" applyBorder="1">
      <alignment vertical="center"/>
    </xf>
    <xf numFmtId="0" fontId="11" fillId="4" borderId="67" xfId="4" applyFont="1" applyFill="1" applyBorder="1">
      <alignment vertical="center"/>
    </xf>
    <xf numFmtId="178" fontId="14" fillId="4" borderId="34" xfId="4" applyNumberFormat="1" applyFont="1" applyFill="1" applyBorder="1" applyProtection="1">
      <alignment vertical="center"/>
    </xf>
    <xf numFmtId="178" fontId="53" fillId="4" borderId="0" xfId="4" applyNumberFormat="1" applyFont="1" applyFill="1">
      <alignment vertical="center"/>
    </xf>
    <xf numFmtId="0" fontId="54" fillId="4" borderId="74" xfId="4" applyFont="1" applyFill="1" applyBorder="1">
      <alignment vertical="center"/>
    </xf>
    <xf numFmtId="0" fontId="55" fillId="4" borderId="0" xfId="4" applyFont="1" applyFill="1" applyProtection="1">
      <alignment vertical="center"/>
      <protection locked="0"/>
    </xf>
    <xf numFmtId="178" fontId="14" fillId="4" borderId="0" xfId="4" applyNumberFormat="1" applyFont="1" applyFill="1">
      <alignment vertical="center"/>
    </xf>
    <xf numFmtId="0" fontId="11" fillId="4" borderId="74" xfId="4" applyFont="1" applyFill="1" applyBorder="1" applyAlignment="1">
      <alignment horizontal="right" vertical="center"/>
    </xf>
    <xf numFmtId="0" fontId="54" fillId="4" borderId="0" xfId="4" applyFont="1" applyFill="1" applyBorder="1">
      <alignment vertical="center"/>
    </xf>
    <xf numFmtId="169" fontId="14" fillId="4" borderId="34" xfId="4" applyNumberFormat="1" applyFont="1" applyFill="1" applyBorder="1">
      <alignment vertical="center"/>
    </xf>
    <xf numFmtId="0" fontId="14" fillId="4" borderId="34" xfId="4" applyNumberFormat="1" applyFont="1" applyFill="1" applyBorder="1">
      <alignment vertical="center"/>
    </xf>
    <xf numFmtId="178" fontId="14" fillId="4" borderId="77" xfId="4" applyNumberFormat="1" applyFont="1" applyFill="1" applyBorder="1">
      <alignment vertical="center"/>
    </xf>
    <xf numFmtId="10" fontId="14" fillId="4" borderId="34" xfId="4" applyNumberFormat="1" applyFont="1" applyFill="1" applyBorder="1">
      <alignment vertical="center"/>
    </xf>
    <xf numFmtId="0" fontId="14" fillId="4" borderId="70" xfId="4" applyFont="1" applyFill="1" applyBorder="1">
      <alignment vertical="center"/>
    </xf>
    <xf numFmtId="0" fontId="30" fillId="4" borderId="0" xfId="4" applyFont="1" applyFill="1" applyBorder="1" applyAlignment="1">
      <alignment horizontal="center" wrapText="1"/>
    </xf>
    <xf numFmtId="0" fontId="30" fillId="4" borderId="0" xfId="4" applyFont="1" applyFill="1" applyBorder="1" applyAlignment="1">
      <alignment horizontal="center"/>
    </xf>
    <xf numFmtId="177" fontId="14" fillId="4" borderId="0" xfId="4" applyNumberFormat="1" applyFont="1" applyFill="1" applyBorder="1" applyAlignment="1">
      <alignment horizontal="center"/>
    </xf>
    <xf numFmtId="10" fontId="14" fillId="4" borderId="0" xfId="4" applyNumberFormat="1" applyFont="1" applyFill="1" applyBorder="1" applyAlignment="1">
      <alignment horizontal="center"/>
    </xf>
    <xf numFmtId="177" fontId="14" fillId="4" borderId="72" xfId="4" applyNumberFormat="1" applyFont="1" applyFill="1" applyBorder="1" applyAlignment="1">
      <alignment horizontal="center" wrapText="1"/>
    </xf>
    <xf numFmtId="177" fontId="14" fillId="4" borderId="78" xfId="4" applyNumberFormat="1" applyFont="1" applyFill="1" applyBorder="1" applyAlignment="1">
      <alignment horizontal="center"/>
    </xf>
    <xf numFmtId="177" fontId="14" fillId="4" borderId="70" xfId="4" applyNumberFormat="1" applyFont="1" applyFill="1" applyBorder="1" applyAlignment="1">
      <alignment horizontal="center" wrapText="1"/>
    </xf>
    <xf numFmtId="173" fontId="30" fillId="10" borderId="79" xfId="4" applyNumberFormat="1" applyFont="1" applyFill="1" applyBorder="1" applyAlignment="1">
      <alignment horizontal="center" vertical="center"/>
    </xf>
    <xf numFmtId="10" fontId="47" fillId="9" borderId="80" xfId="4" applyNumberFormat="1" applyFont="1" applyFill="1" applyBorder="1" applyAlignment="1" applyProtection="1">
      <alignment horizontal="right" vertical="top" wrapText="1"/>
      <protection locked="0"/>
    </xf>
    <xf numFmtId="170" fontId="50" fillId="4" borderId="0" xfId="4" applyNumberFormat="1" applyFont="1" applyFill="1" applyBorder="1" applyAlignment="1" applyProtection="1">
      <alignment horizontal="right" vertical="center"/>
      <protection locked="0"/>
    </xf>
    <xf numFmtId="14" fontId="48" fillId="4" borderId="81" xfId="4" applyNumberFormat="1" applyFont="1" applyFill="1" applyBorder="1" applyAlignment="1">
      <alignment horizontal="center" vertical="center"/>
    </xf>
    <xf numFmtId="14" fontId="48" fillId="4" borderId="74" xfId="4" applyNumberFormat="1" applyFont="1" applyFill="1" applyBorder="1" applyAlignment="1">
      <alignment horizontal="center" vertical="center"/>
    </xf>
    <xf numFmtId="172" fontId="26" fillId="4" borderId="0" xfId="4" applyNumberFormat="1" applyFont="1" applyFill="1" applyBorder="1" applyAlignment="1" applyProtection="1">
      <alignment horizontal="right" vertical="center"/>
      <protection locked="0"/>
    </xf>
    <xf numFmtId="170" fontId="50" fillId="0" borderId="80" xfId="4" applyNumberFormat="1" applyFont="1" applyFill="1" applyBorder="1" applyAlignment="1" applyProtection="1">
      <alignment horizontal="right" vertical="center"/>
    </xf>
    <xf numFmtId="170" fontId="50" fillId="4" borderId="0" xfId="4" applyNumberFormat="1" applyFont="1" applyFill="1" applyBorder="1" applyAlignment="1" applyProtection="1">
      <alignment horizontal="right" vertical="center"/>
    </xf>
    <xf numFmtId="10" fontId="14" fillId="4" borderId="81" xfId="4" applyNumberFormat="1" applyFont="1" applyFill="1" applyBorder="1" applyAlignment="1">
      <alignment horizontal="right" vertical="center"/>
    </xf>
    <xf numFmtId="10" fontId="14" fillId="4" borderId="74" xfId="4" applyNumberFormat="1" applyFont="1" applyFill="1" applyBorder="1" applyAlignment="1">
      <alignment horizontal="right" vertical="center"/>
    </xf>
    <xf numFmtId="10" fontId="14" fillId="4" borderId="82" xfId="4" applyNumberFormat="1" applyFont="1" applyFill="1" applyBorder="1" applyAlignment="1">
      <alignment horizontal="right" vertical="center"/>
    </xf>
    <xf numFmtId="14" fontId="48" fillId="4" borderId="70" xfId="4" applyNumberFormat="1" applyFont="1" applyFill="1" applyBorder="1" applyAlignment="1">
      <alignment horizontal="center" vertical="center"/>
    </xf>
    <xf numFmtId="178" fontId="14" fillId="4" borderId="83" xfId="4" applyNumberFormat="1" applyFont="1" applyFill="1" applyBorder="1">
      <alignment vertical="center"/>
    </xf>
    <xf numFmtId="0" fontId="53" fillId="4" borderId="0" xfId="4" applyFont="1" applyFill="1" applyBorder="1">
      <alignment vertical="center"/>
    </xf>
    <xf numFmtId="178" fontId="14" fillId="4" borderId="80" xfId="4" applyNumberFormat="1" applyFont="1" applyFill="1" applyBorder="1">
      <alignment vertical="center"/>
    </xf>
    <xf numFmtId="178" fontId="53" fillId="4" borderId="0" xfId="4" applyNumberFormat="1" applyFont="1" applyFill="1" applyBorder="1">
      <alignment vertical="center"/>
    </xf>
    <xf numFmtId="178" fontId="14" fillId="4" borderId="82" xfId="4" applyNumberFormat="1" applyFont="1" applyFill="1" applyBorder="1">
      <alignment vertical="center"/>
    </xf>
    <xf numFmtId="178" fontId="14" fillId="4" borderId="75" xfId="4" applyNumberFormat="1" applyFont="1" applyFill="1" applyBorder="1">
      <alignment vertical="center"/>
    </xf>
    <xf numFmtId="169" fontId="14" fillId="4" borderId="0" xfId="4" applyNumberFormat="1" applyFont="1" applyFill="1" applyBorder="1">
      <alignment vertical="center"/>
    </xf>
    <xf numFmtId="178" fontId="14" fillId="4" borderId="70" xfId="4" applyNumberFormat="1" applyFont="1" applyFill="1" applyBorder="1">
      <alignment vertical="center"/>
    </xf>
    <xf numFmtId="14" fontId="14" fillId="4" borderId="0" xfId="4" applyNumberFormat="1" applyFont="1" applyFill="1" applyBorder="1">
      <alignment vertical="center"/>
    </xf>
    <xf numFmtId="170" fontId="56" fillId="4" borderId="0" xfId="4" applyNumberFormat="1" applyFont="1" applyFill="1" applyBorder="1" applyAlignment="1" applyProtection="1">
      <alignment horizontal="right" vertical="center"/>
      <protection locked="0"/>
    </xf>
    <xf numFmtId="181" fontId="14" fillId="4" borderId="0" xfId="4" applyNumberFormat="1" applyFont="1" applyFill="1" applyBorder="1">
      <alignment vertical="center"/>
    </xf>
    <xf numFmtId="172" fontId="27" fillId="4" borderId="0" xfId="4" applyNumberFormat="1" applyFont="1" applyFill="1" applyBorder="1" applyAlignment="1" applyProtection="1">
      <alignment horizontal="right" vertical="center"/>
      <protection locked="0"/>
    </xf>
    <xf numFmtId="185" fontId="14" fillId="4" borderId="0" xfId="4" applyNumberFormat="1" applyFont="1" applyFill="1" applyBorder="1">
      <alignment vertical="center"/>
    </xf>
    <xf numFmtId="0" fontId="0" fillId="4" borderId="70" xfId="0" applyFill="1" applyBorder="1"/>
    <xf numFmtId="0" fontId="0" fillId="4" borderId="84" xfId="0" applyFill="1" applyBorder="1"/>
    <xf numFmtId="0" fontId="0" fillId="4" borderId="18" xfId="0" applyFill="1" applyBorder="1"/>
    <xf numFmtId="0" fontId="11" fillId="0" borderId="85" xfId="0" applyFont="1" applyBorder="1" applyAlignment="1"/>
    <xf numFmtId="0" fontId="11" fillId="0" borderId="86" xfId="0" applyFont="1" applyBorder="1" applyAlignment="1"/>
    <xf numFmtId="0" fontId="15" fillId="0" borderId="88" xfId="0" applyFont="1" applyBorder="1" applyAlignment="1">
      <alignment horizontal="left"/>
    </xf>
    <xf numFmtId="0" fontId="15" fillId="0" borderId="89" xfId="0" applyFont="1" applyBorder="1" applyAlignment="1">
      <alignment horizontal="left"/>
    </xf>
    <xf numFmtId="173" fontId="30" fillId="10" borderId="24" xfId="4" applyNumberFormat="1" applyFont="1" applyFill="1" applyBorder="1" applyAlignment="1">
      <alignment horizontal="center" vertical="center"/>
    </xf>
    <xf numFmtId="173" fontId="30" fillId="10" borderId="20" xfId="4" applyNumberFormat="1" applyFont="1" applyFill="1" applyBorder="1" applyAlignment="1">
      <alignment horizontal="center" vertical="center"/>
    </xf>
    <xf numFmtId="0" fontId="11" fillId="0" borderId="91" xfId="0" applyFont="1" applyBorder="1" applyAlignment="1"/>
    <xf numFmtId="0" fontId="11" fillId="0" borderId="92" xfId="0" applyFont="1" applyBorder="1" applyAlignment="1"/>
    <xf numFmtId="10" fontId="58" fillId="9" borderId="40" xfId="2" applyNumberFormat="1" applyFont="1" applyFill="1" applyBorder="1" applyAlignment="1" applyProtection="1">
      <alignment horizontal="right"/>
      <protection locked="0"/>
    </xf>
    <xf numFmtId="10" fontId="14" fillId="4" borderId="31" xfId="0" applyNumberFormat="1" applyFont="1" applyFill="1" applyBorder="1" applyAlignment="1">
      <alignment horizontal="right"/>
    </xf>
    <xf numFmtId="0" fontId="11" fillId="0" borderId="93" xfId="0" applyFont="1" applyBorder="1" applyAlignment="1"/>
    <xf numFmtId="0" fontId="11" fillId="0" borderId="94" xfId="0" applyFont="1" applyBorder="1" applyAlignment="1"/>
    <xf numFmtId="10" fontId="58" fillId="9" borderId="87" xfId="2" applyNumberFormat="1" applyFont="1" applyFill="1" applyBorder="1" applyAlignment="1" applyProtection="1">
      <alignment horizontal="right"/>
      <protection locked="0"/>
    </xf>
    <xf numFmtId="0" fontId="11" fillId="0" borderId="95" xfId="0" applyFont="1" applyBorder="1" applyAlignment="1"/>
    <xf numFmtId="0" fontId="11" fillId="0" borderId="96" xfId="0" applyFont="1" applyBorder="1" applyAlignment="1"/>
    <xf numFmtId="0" fontId="59" fillId="4" borderId="84" xfId="0" applyFont="1" applyFill="1" applyBorder="1"/>
    <xf numFmtId="0" fontId="0" fillId="4" borderId="97" xfId="0" applyFill="1" applyBorder="1"/>
    <xf numFmtId="0" fontId="0" fillId="4" borderId="98" xfId="0" applyFill="1" applyBorder="1"/>
    <xf numFmtId="177" fontId="26" fillId="4" borderId="84" xfId="0" applyNumberFormat="1" applyFont="1" applyFill="1" applyBorder="1"/>
    <xf numFmtId="0" fontId="18" fillId="4" borderId="77" xfId="4" applyFont="1" applyFill="1" applyBorder="1" applyProtection="1">
      <alignment vertical="center"/>
    </xf>
    <xf numFmtId="0" fontId="6" fillId="4" borderId="68" xfId="4" applyFont="1" applyFill="1" applyBorder="1" applyProtection="1">
      <alignment vertical="center"/>
    </xf>
    <xf numFmtId="0" fontId="0" fillId="4" borderId="87" xfId="0" applyFill="1" applyBorder="1"/>
    <xf numFmtId="177" fontId="26" fillId="4" borderId="99" xfId="0" applyNumberFormat="1" applyFont="1" applyFill="1" applyBorder="1"/>
    <xf numFmtId="0" fontId="6" fillId="4" borderId="74" xfId="4" applyFont="1" applyFill="1" applyBorder="1" applyAlignment="1" applyProtection="1">
      <alignment horizontal="right" vertical="center"/>
    </xf>
    <xf numFmtId="0" fontId="11" fillId="4" borderId="69" xfId="4" applyFont="1" applyFill="1" applyBorder="1" applyProtection="1">
      <alignment vertical="center"/>
    </xf>
    <xf numFmtId="181" fontId="26" fillId="0" borderId="100" xfId="0" applyNumberFormat="1" applyFont="1" applyFill="1" applyBorder="1"/>
    <xf numFmtId="181" fontId="26" fillId="4" borderId="101" xfId="0" applyNumberFormat="1" applyFont="1" applyFill="1" applyBorder="1"/>
    <xf numFmtId="181" fontId="26" fillId="4" borderId="102" xfId="0" applyNumberFormat="1" applyFont="1" applyFill="1" applyBorder="1"/>
    <xf numFmtId="0" fontId="11" fillId="4" borderId="74" xfId="4" applyFont="1" applyFill="1" applyBorder="1" applyAlignment="1" applyProtection="1">
      <alignment horizontal="right" vertical="center"/>
    </xf>
    <xf numFmtId="181" fontId="26" fillId="0" borderId="101" xfId="0" applyNumberFormat="1" applyFont="1" applyFill="1" applyBorder="1"/>
    <xf numFmtId="181" fontId="26" fillId="4" borderId="100" xfId="0" applyNumberFormat="1" applyFont="1" applyFill="1" applyBorder="1"/>
    <xf numFmtId="0" fontId="15" fillId="4" borderId="69" xfId="4" applyFont="1" applyFill="1" applyBorder="1" applyProtection="1">
      <alignment vertical="center"/>
    </xf>
    <xf numFmtId="10" fontId="26" fillId="4" borderId="100" xfId="0" applyNumberFormat="1" applyFont="1" applyFill="1" applyBorder="1"/>
    <xf numFmtId="10" fontId="26" fillId="4" borderId="101" xfId="0" applyNumberFormat="1" applyFont="1" applyFill="1" applyBorder="1"/>
    <xf numFmtId="0" fontId="18" fillId="4" borderId="74" xfId="4" applyFont="1" applyFill="1" applyBorder="1" applyProtection="1">
      <alignment vertical="center"/>
    </xf>
    <xf numFmtId="0" fontId="6" fillId="4" borderId="69" xfId="4" applyFont="1" applyFill="1" applyBorder="1" applyProtection="1">
      <alignment vertical="center"/>
    </xf>
    <xf numFmtId="181" fontId="26" fillId="4" borderId="103" xfId="0" applyNumberFormat="1" applyFont="1" applyFill="1" applyBorder="1"/>
    <xf numFmtId="181" fontId="26" fillId="4" borderId="104" xfId="0" applyNumberFormat="1" applyFont="1" applyFill="1" applyBorder="1"/>
    <xf numFmtId="0" fontId="11" fillId="4" borderId="58" xfId="4" applyFont="1" applyFill="1" applyBorder="1" applyProtection="1">
      <alignment vertical="center"/>
      <protection locked="0"/>
    </xf>
    <xf numFmtId="0" fontId="11" fillId="4" borderId="43" xfId="4" applyFont="1" applyFill="1" applyBorder="1" applyProtection="1">
      <alignment vertical="center"/>
      <protection locked="0"/>
    </xf>
    <xf numFmtId="181" fontId="26" fillId="4" borderId="105" xfId="0" applyNumberFormat="1" applyFont="1" applyFill="1" applyBorder="1"/>
    <xf numFmtId="0" fontId="11" fillId="4" borderId="60" xfId="4" applyFont="1" applyFill="1" applyBorder="1" applyAlignment="1" applyProtection="1">
      <alignment horizontal="right" vertical="center"/>
      <protection locked="0"/>
    </xf>
    <xf numFmtId="0" fontId="11" fillId="4" borderId="74" xfId="4" applyFont="1" applyFill="1" applyBorder="1" applyProtection="1">
      <alignment vertical="center"/>
      <protection locked="0"/>
    </xf>
    <xf numFmtId="0" fontId="11" fillId="4" borderId="60" xfId="4" applyFont="1" applyFill="1" applyBorder="1" applyProtection="1">
      <alignment vertical="center"/>
      <protection locked="0"/>
    </xf>
    <xf numFmtId="0" fontId="11" fillId="4" borderId="67" xfId="4" applyFont="1" applyFill="1" applyBorder="1" applyProtection="1">
      <alignment vertical="center"/>
      <protection locked="0"/>
    </xf>
    <xf numFmtId="0" fontId="15" fillId="4" borderId="67" xfId="4" applyFont="1" applyFill="1" applyBorder="1" applyProtection="1">
      <alignment vertical="center"/>
      <protection locked="0"/>
    </xf>
    <xf numFmtId="0" fontId="15" fillId="4" borderId="77" xfId="4" applyFont="1" applyFill="1" applyBorder="1" applyProtection="1">
      <alignment vertical="center"/>
      <protection locked="0"/>
    </xf>
    <xf numFmtId="0" fontId="11" fillId="4" borderId="106" xfId="4" applyFont="1" applyFill="1" applyBorder="1" applyAlignment="1" applyProtection="1">
      <alignment horizontal="right" vertical="center"/>
      <protection locked="0"/>
    </xf>
    <xf numFmtId="0" fontId="11" fillId="4" borderId="107" xfId="4" applyFont="1" applyFill="1" applyBorder="1" applyProtection="1">
      <alignment vertical="center"/>
      <protection locked="0"/>
    </xf>
    <xf numFmtId="0" fontId="11" fillId="4" borderId="52" xfId="4" applyFont="1" applyFill="1" applyBorder="1" applyProtection="1">
      <alignment vertical="center"/>
      <protection locked="0"/>
    </xf>
    <xf numFmtId="0" fontId="15" fillId="4" borderId="50" xfId="4" applyFont="1" applyFill="1" applyBorder="1" applyProtection="1">
      <alignment vertical="center"/>
      <protection locked="0"/>
    </xf>
    <xf numFmtId="181" fontId="26" fillId="4" borderId="108" xfId="0" applyNumberFormat="1" applyFont="1" applyFill="1" applyBorder="1"/>
    <xf numFmtId="181" fontId="26" fillId="4" borderId="109" xfId="0" applyNumberFormat="1" applyFont="1" applyFill="1" applyBorder="1"/>
    <xf numFmtId="0" fontId="0" fillId="4" borderId="90" xfId="0" applyFill="1" applyBorder="1"/>
    <xf numFmtId="0" fontId="44" fillId="4" borderId="84" xfId="0" applyFont="1" applyFill="1" applyBorder="1"/>
    <xf numFmtId="177" fontId="26" fillId="4" borderId="41" xfId="0" applyNumberFormat="1" applyFont="1" applyFill="1" applyBorder="1"/>
    <xf numFmtId="181" fontId="26" fillId="4" borderId="111" xfId="0" applyNumberFormat="1" applyFont="1" applyFill="1" applyBorder="1"/>
    <xf numFmtId="0" fontId="60" fillId="4" borderId="0" xfId="0" applyFont="1" applyFill="1"/>
    <xf numFmtId="0" fontId="41" fillId="4" borderId="0" xfId="0" applyFont="1" applyFill="1"/>
    <xf numFmtId="0" fontId="0" fillId="4" borderId="39" xfId="0" applyFill="1" applyBorder="1"/>
    <xf numFmtId="0" fontId="0" fillId="4" borderId="31" xfId="0" applyFill="1" applyBorder="1"/>
    <xf numFmtId="0" fontId="0" fillId="4" borderId="112" xfId="0" applyFill="1" applyBorder="1"/>
    <xf numFmtId="0" fontId="0" fillId="4" borderId="22" xfId="0" applyFill="1" applyBorder="1"/>
    <xf numFmtId="0" fontId="0" fillId="4" borderId="113" xfId="0" applyFill="1" applyBorder="1"/>
    <xf numFmtId="0" fontId="0" fillId="4" borderId="23" xfId="0" applyFill="1" applyBorder="1"/>
    <xf numFmtId="0" fontId="31" fillId="0" borderId="0" xfId="4" applyBorder="1">
      <alignment vertical="center"/>
    </xf>
    <xf numFmtId="0" fontId="39" fillId="4" borderId="0" xfId="0" applyFont="1" applyFill="1" applyBorder="1"/>
    <xf numFmtId="0" fontId="44" fillId="4" borderId="0" xfId="0" applyFont="1" applyFill="1"/>
    <xf numFmtId="0" fontId="39" fillId="0" borderId="0" xfId="0" applyFont="1" applyFill="1"/>
    <xf numFmtId="0" fontId="11" fillId="4" borderId="74" xfId="4" applyFont="1" applyFill="1" applyBorder="1">
      <alignment vertical="center"/>
    </xf>
    <xf numFmtId="0" fontId="6" fillId="4" borderId="74" xfId="4" applyFont="1" applyFill="1" applyBorder="1" applyAlignment="1">
      <alignment horizontal="center" vertical="center"/>
    </xf>
    <xf numFmtId="0" fontId="6" fillId="4" borderId="60" xfId="4" applyFont="1" applyFill="1" applyBorder="1">
      <alignment vertical="center"/>
    </xf>
    <xf numFmtId="0" fontId="6" fillId="3" borderId="0" xfId="4" applyFont="1" applyFill="1" applyBorder="1">
      <alignment vertical="center"/>
    </xf>
    <xf numFmtId="0" fontId="11" fillId="3" borderId="74" xfId="4" applyFont="1" applyFill="1" applyBorder="1">
      <alignment vertical="center"/>
    </xf>
    <xf numFmtId="0" fontId="6" fillId="3" borderId="67" xfId="4" applyFont="1" applyFill="1" applyBorder="1" applyAlignment="1">
      <alignment horizontal="center" vertical="center"/>
    </xf>
    <xf numFmtId="10" fontId="48" fillId="4" borderId="0" xfId="4" applyNumberFormat="1" applyFont="1" applyFill="1" applyBorder="1">
      <alignment vertical="center"/>
    </xf>
    <xf numFmtId="0" fontId="6" fillId="4" borderId="0" xfId="4" applyFont="1" applyFill="1" applyBorder="1" applyAlignment="1">
      <alignment horizontal="center" vertical="center"/>
    </xf>
    <xf numFmtId="0" fontId="61" fillId="4" borderId="0" xfId="4" applyFont="1" applyFill="1" applyBorder="1">
      <alignment vertical="center"/>
    </xf>
    <xf numFmtId="0" fontId="61" fillId="4" borderId="0" xfId="4" applyFont="1" applyFill="1" applyBorder="1" applyAlignment="1">
      <alignment horizontal="center" vertical="center"/>
    </xf>
    <xf numFmtId="0" fontId="6" fillId="4" borderId="67" xfId="4" applyFont="1" applyFill="1" applyBorder="1" applyAlignment="1">
      <alignment horizontal="center" vertical="center"/>
    </xf>
    <xf numFmtId="0" fontId="34" fillId="4" borderId="60" xfId="4" applyFont="1" applyFill="1" applyBorder="1">
      <alignment vertical="center"/>
    </xf>
    <xf numFmtId="171" fontId="14" fillId="4" borderId="34" xfId="4" applyNumberFormat="1" applyFont="1" applyFill="1" applyBorder="1">
      <alignment vertical="center"/>
    </xf>
    <xf numFmtId="0" fontId="6" fillId="4" borderId="75" xfId="4" applyFont="1" applyFill="1" applyBorder="1">
      <alignment vertical="center"/>
    </xf>
    <xf numFmtId="0" fontId="6" fillId="4" borderId="77" xfId="4" applyFont="1" applyFill="1" applyBorder="1" applyAlignment="1">
      <alignment horizontal="center" vertical="center"/>
    </xf>
    <xf numFmtId="10" fontId="14" fillId="4" borderId="77" xfId="4" applyNumberFormat="1" applyFont="1" applyFill="1" applyBorder="1">
      <alignment vertical="center"/>
    </xf>
    <xf numFmtId="0" fontId="34" fillId="4" borderId="74" xfId="4" applyFont="1" applyFill="1" applyBorder="1">
      <alignment vertical="center"/>
    </xf>
    <xf numFmtId="0" fontId="6" fillId="0" borderId="74" xfId="4" applyFont="1" applyFill="1" applyBorder="1">
      <alignment vertical="center"/>
    </xf>
    <xf numFmtId="0" fontId="11" fillId="0" borderId="74" xfId="4" applyFont="1" applyFill="1" applyBorder="1">
      <alignment vertical="center"/>
    </xf>
    <xf numFmtId="0" fontId="6" fillId="0" borderId="74" xfId="4" applyFont="1" applyFill="1" applyBorder="1" applyAlignment="1">
      <alignment horizontal="center" vertical="center"/>
    </xf>
    <xf numFmtId="0" fontId="44" fillId="0" borderId="0" xfId="0" applyFont="1" applyFill="1"/>
    <xf numFmtId="0" fontId="39" fillId="4" borderId="0" xfId="0" applyFont="1" applyFill="1"/>
    <xf numFmtId="180" fontId="14" fillId="4" borderId="34" xfId="4" applyNumberFormat="1" applyFont="1" applyFill="1" applyBorder="1">
      <alignment vertical="center"/>
    </xf>
    <xf numFmtId="181" fontId="14" fillId="4" borderId="34" xfId="4" applyNumberFormat="1" applyFont="1" applyFill="1" applyBorder="1">
      <alignment vertical="center"/>
    </xf>
    <xf numFmtId="183" fontId="14" fillId="4" borderId="34" xfId="4" applyNumberFormat="1" applyFont="1" applyFill="1" applyBorder="1">
      <alignment vertical="center"/>
    </xf>
    <xf numFmtId="0" fontId="11" fillId="0" borderId="0" xfId="4" applyFont="1">
      <alignment vertical="center"/>
    </xf>
    <xf numFmtId="10" fontId="14" fillId="4" borderId="74" xfId="4" applyNumberFormat="1" applyFont="1" applyFill="1" applyBorder="1">
      <alignment vertical="center"/>
    </xf>
    <xf numFmtId="40" fontId="14" fillId="4" borderId="0" xfId="4" applyNumberFormat="1" applyFont="1" applyFill="1" applyBorder="1">
      <alignment vertical="center"/>
    </xf>
    <xf numFmtId="0" fontId="62" fillId="4" borderId="0" xfId="4" applyFont="1" applyFill="1" applyAlignment="1" applyProtection="1">
      <alignment horizontal="left" vertical="center"/>
      <protection locked="0"/>
    </xf>
    <xf numFmtId="0" fontId="22" fillId="4" borderId="0" xfId="4" applyFont="1" applyFill="1" applyBorder="1">
      <alignment vertical="center"/>
    </xf>
    <xf numFmtId="0" fontId="30" fillId="4" borderId="0" xfId="4" applyFont="1" applyFill="1" applyBorder="1">
      <alignment vertical="center"/>
    </xf>
    <xf numFmtId="0" fontId="15" fillId="4" borderId="0" xfId="4" applyFont="1" applyFill="1" applyBorder="1" applyProtection="1">
      <alignment vertical="center"/>
      <protection locked="0"/>
    </xf>
    <xf numFmtId="0" fontId="6" fillId="4" borderId="0" xfId="4" applyFont="1" applyFill="1" applyBorder="1" applyProtection="1">
      <alignment vertical="center"/>
      <protection locked="0"/>
    </xf>
    <xf numFmtId="0" fontId="18" fillId="4" borderId="77" xfId="4" applyFont="1" applyFill="1" applyBorder="1">
      <alignment vertical="center"/>
    </xf>
    <xf numFmtId="0" fontId="6" fillId="4" borderId="77" xfId="4" applyFont="1" applyFill="1" applyBorder="1">
      <alignment vertical="center"/>
    </xf>
    <xf numFmtId="0" fontId="14" fillId="4" borderId="77" xfId="4" applyFont="1" applyFill="1" applyBorder="1">
      <alignment vertical="center"/>
    </xf>
    <xf numFmtId="0" fontId="6" fillId="4" borderId="60" xfId="4" applyFont="1" applyFill="1" applyBorder="1" applyAlignment="1">
      <alignment horizontal="right" vertical="center"/>
    </xf>
    <xf numFmtId="0" fontId="11" fillId="4" borderId="60" xfId="4" applyFont="1" applyFill="1" applyBorder="1" applyAlignment="1">
      <alignment horizontal="right" vertical="center"/>
    </xf>
    <xf numFmtId="0" fontId="18" fillId="4" borderId="74" xfId="4" applyFont="1" applyFill="1" applyBorder="1">
      <alignment vertical="center"/>
    </xf>
    <xf numFmtId="0" fontId="6" fillId="4" borderId="74" xfId="4" applyFont="1" applyFill="1" applyBorder="1" applyAlignment="1">
      <alignment horizontal="right" vertical="center"/>
    </xf>
    <xf numFmtId="0" fontId="18" fillId="4" borderId="60" xfId="4" applyFont="1" applyFill="1" applyBorder="1">
      <alignment vertical="center"/>
    </xf>
    <xf numFmtId="0" fontId="11" fillId="4" borderId="67" xfId="4" applyFont="1" applyFill="1" applyBorder="1" applyAlignment="1">
      <alignment vertical="center" wrapText="1"/>
    </xf>
    <xf numFmtId="0" fontId="15" fillId="4" borderId="0" xfId="4" applyFont="1" applyFill="1">
      <alignment vertical="center"/>
    </xf>
    <xf numFmtId="0" fontId="15" fillId="4" borderId="67" xfId="4" applyFont="1" applyFill="1" applyBorder="1">
      <alignment vertical="center"/>
    </xf>
    <xf numFmtId="0" fontId="49" fillId="4" borderId="0" xfId="4" applyFont="1" applyFill="1">
      <alignment vertical="center"/>
    </xf>
    <xf numFmtId="0" fontId="15" fillId="4" borderId="74" xfId="4" applyFont="1" applyFill="1" applyBorder="1" applyAlignment="1">
      <alignment horizontal="right" vertical="center"/>
    </xf>
    <xf numFmtId="0" fontId="11" fillId="4" borderId="0" xfId="4" applyFont="1" applyFill="1" applyAlignment="1">
      <alignment horizontal="right" vertical="center"/>
    </xf>
    <xf numFmtId="178" fontId="14" fillId="4" borderId="74" xfId="4" applyNumberFormat="1" applyFont="1" applyFill="1" applyBorder="1">
      <alignment vertical="center"/>
    </xf>
    <xf numFmtId="0" fontId="15" fillId="4" borderId="0" xfId="4" applyFont="1" applyFill="1" applyAlignment="1">
      <alignment horizontal="right" vertical="center"/>
    </xf>
    <xf numFmtId="0" fontId="6" fillId="4" borderId="0" xfId="4" applyFont="1" applyFill="1" applyAlignment="1">
      <alignment horizontal="right" vertical="center"/>
    </xf>
    <xf numFmtId="178" fontId="14" fillId="4" borderId="0" xfId="4" applyNumberFormat="1" applyFont="1" applyFill="1" applyBorder="1">
      <alignment vertical="center"/>
    </xf>
    <xf numFmtId="0" fontId="11" fillId="4" borderId="0" xfId="4" applyFont="1" applyFill="1" applyBorder="1" applyAlignment="1">
      <alignment horizontal="right" vertical="center"/>
    </xf>
    <xf numFmtId="0" fontId="6" fillId="4" borderId="0" xfId="4" applyFont="1" applyFill="1" applyBorder="1" applyAlignment="1">
      <alignment horizontal="right" vertical="center"/>
    </xf>
    <xf numFmtId="0" fontId="11" fillId="0" borderId="0" xfId="4" applyFont="1" applyFill="1" applyAlignment="1">
      <alignment horizontal="center" vertical="center"/>
    </xf>
    <xf numFmtId="172" fontId="26" fillId="12" borderId="0" xfId="4" applyNumberFormat="1" applyFont="1" applyFill="1" applyBorder="1" applyAlignment="1" applyProtection="1">
      <alignment horizontal="right" vertical="center"/>
    </xf>
    <xf numFmtId="172" fontId="26" fillId="0" borderId="0" xfId="4" applyNumberFormat="1" applyFont="1" applyFill="1" applyBorder="1" applyAlignment="1" applyProtection="1">
      <alignment horizontal="right" vertical="center"/>
    </xf>
    <xf numFmtId="0" fontId="22" fillId="0" borderId="0" xfId="4" applyFont="1" applyFill="1" applyBorder="1">
      <alignment vertical="center"/>
    </xf>
    <xf numFmtId="0" fontId="15" fillId="4" borderId="0" xfId="4" applyFont="1" applyFill="1" applyBorder="1" applyAlignment="1">
      <alignment horizontal="center" vertical="center"/>
    </xf>
    <xf numFmtId="0" fontId="6" fillId="0" borderId="0" xfId="4" applyFont="1" applyFill="1" applyBorder="1" applyProtection="1">
      <alignment vertical="center"/>
      <protection locked="0"/>
    </xf>
    <xf numFmtId="0" fontId="14" fillId="4" borderId="0" xfId="4" applyFont="1" applyFill="1" applyBorder="1" applyProtection="1">
      <alignment vertical="center"/>
      <protection locked="0"/>
    </xf>
    <xf numFmtId="0" fontId="18" fillId="4" borderId="77" xfId="4" applyFont="1" applyFill="1" applyBorder="1" applyProtection="1">
      <alignment vertical="center"/>
      <protection locked="0"/>
    </xf>
    <xf numFmtId="0" fontId="6" fillId="0" borderId="77" xfId="4" applyFont="1" applyFill="1" applyBorder="1" applyProtection="1">
      <alignment vertical="center"/>
      <protection locked="0"/>
    </xf>
    <xf numFmtId="0" fontId="14" fillId="4" borderId="77" xfId="4" applyFont="1" applyFill="1" applyBorder="1" applyProtection="1">
      <alignment vertical="center"/>
      <protection locked="0"/>
    </xf>
    <xf numFmtId="0" fontId="6" fillId="4" borderId="60" xfId="4" applyFont="1" applyFill="1" applyBorder="1" applyProtection="1">
      <alignment vertical="center"/>
      <protection locked="0"/>
    </xf>
    <xf numFmtId="0" fontId="11" fillId="0" borderId="74" xfId="4" applyFont="1" applyFill="1" applyBorder="1" applyProtection="1">
      <alignment vertical="center"/>
      <protection locked="0"/>
    </xf>
    <xf numFmtId="0" fontId="11" fillId="4" borderId="114" xfId="4" applyFont="1" applyFill="1" applyBorder="1" applyProtection="1">
      <alignment vertical="center"/>
      <protection locked="0"/>
    </xf>
    <xf numFmtId="0" fontId="11" fillId="4" borderId="115" xfId="4" applyFont="1" applyFill="1" applyBorder="1" applyProtection="1">
      <alignment vertical="center"/>
      <protection locked="0"/>
    </xf>
    <xf numFmtId="0" fontId="6" fillId="4" borderId="106" xfId="4" applyFont="1" applyFill="1" applyBorder="1" applyProtection="1">
      <alignment vertical="center"/>
      <protection locked="0"/>
    </xf>
    <xf numFmtId="0" fontId="11" fillId="0" borderId="75" xfId="4" applyFont="1" applyFill="1" applyBorder="1" applyProtection="1">
      <alignment vertical="center"/>
      <protection locked="0"/>
    </xf>
    <xf numFmtId="0" fontId="6" fillId="4" borderId="58" xfId="4" applyFont="1" applyFill="1" applyBorder="1" applyProtection="1">
      <alignment vertical="center"/>
      <protection locked="0"/>
    </xf>
    <xf numFmtId="0" fontId="12" fillId="0" borderId="77" xfId="4" applyFont="1" applyFill="1" applyBorder="1" applyAlignment="1" applyProtection="1">
      <alignment horizontal="right" vertical="center"/>
      <protection locked="0"/>
    </xf>
    <xf numFmtId="178" fontId="50" fillId="4" borderId="34" xfId="4" applyNumberFormat="1" applyFont="1" applyFill="1" applyBorder="1">
      <alignment vertical="center"/>
    </xf>
    <xf numFmtId="0" fontId="11" fillId="0" borderId="107" xfId="4" applyFont="1" applyFill="1" applyBorder="1" applyProtection="1">
      <alignment vertical="center"/>
      <protection locked="0"/>
    </xf>
    <xf numFmtId="0" fontId="12" fillId="0" borderId="43" xfId="4" applyFont="1" applyFill="1" applyBorder="1" applyAlignment="1" applyProtection="1">
      <alignment horizontal="right" vertical="center"/>
      <protection locked="0"/>
    </xf>
    <xf numFmtId="0" fontId="15" fillId="0" borderId="74" xfId="4" applyFont="1" applyFill="1" applyBorder="1" applyProtection="1">
      <alignment vertical="center"/>
      <protection locked="0"/>
    </xf>
    <xf numFmtId="178" fontId="30" fillId="4" borderId="34" xfId="4" applyNumberFormat="1" applyFont="1" applyFill="1" applyBorder="1">
      <alignment vertical="center"/>
    </xf>
    <xf numFmtId="0" fontId="63" fillId="4" borderId="115" xfId="4" applyFont="1" applyFill="1" applyBorder="1" applyAlignment="1" applyProtection="1">
      <alignment horizontal="center" vertical="center" wrapText="1"/>
      <protection locked="0"/>
    </xf>
    <xf numFmtId="0" fontId="18" fillId="4" borderId="74" xfId="4" applyFont="1" applyFill="1" applyBorder="1" applyProtection="1">
      <alignment vertical="center"/>
      <protection locked="0"/>
    </xf>
    <xf numFmtId="0" fontId="6" fillId="0" borderId="74" xfId="4" applyFont="1" applyFill="1" applyBorder="1" applyAlignment="1" applyProtection="1">
      <alignment horizontal="right" vertical="center"/>
      <protection locked="0"/>
    </xf>
    <xf numFmtId="0" fontId="11" fillId="4" borderId="0" xfId="4" applyFont="1" applyFill="1" applyBorder="1" applyProtection="1">
      <alignment vertical="center"/>
      <protection locked="0"/>
    </xf>
    <xf numFmtId="0" fontId="6" fillId="0" borderId="74" xfId="4" applyFont="1" applyFill="1" applyBorder="1" applyProtection="1">
      <alignment vertical="center"/>
      <protection locked="0"/>
    </xf>
    <xf numFmtId="0" fontId="64" fillId="0" borderId="74" xfId="4" applyFont="1" applyFill="1" applyBorder="1" applyAlignment="1" applyProtection="1">
      <alignment horizontal="right" vertical="center"/>
      <protection locked="0"/>
    </xf>
    <xf numFmtId="172" fontId="50" fillId="12" borderId="0" xfId="4" applyNumberFormat="1" applyFont="1" applyFill="1" applyBorder="1" applyAlignment="1" applyProtection="1">
      <alignment horizontal="right" vertical="center"/>
    </xf>
    <xf numFmtId="14" fontId="30" fillId="4" borderId="0" xfId="4" applyNumberFormat="1" applyFont="1" applyFill="1" applyBorder="1" applyAlignment="1" applyProtection="1">
      <alignment horizontal="center" vertical="center"/>
      <protection locked="0"/>
    </xf>
    <xf numFmtId="0" fontId="14" fillId="13" borderId="0" xfId="4" applyFont="1" applyFill="1" applyBorder="1">
      <alignment vertical="center"/>
    </xf>
    <xf numFmtId="0" fontId="14" fillId="12" borderId="0" xfId="4" applyFont="1" applyFill="1" applyBorder="1">
      <alignment vertical="center"/>
    </xf>
    <xf numFmtId="0" fontId="14" fillId="12" borderId="0" xfId="4" applyFont="1" applyFill="1" applyBorder="1" applyProtection="1">
      <alignment vertical="center"/>
      <protection locked="0"/>
    </xf>
    <xf numFmtId="178" fontId="14" fillId="12" borderId="0" xfId="4" applyNumberFormat="1" applyFont="1" applyFill="1" applyBorder="1">
      <alignment vertical="center"/>
    </xf>
    <xf numFmtId="172" fontId="26" fillId="14" borderId="34" xfId="4" applyNumberFormat="1" applyFont="1" applyFill="1" applyBorder="1" applyAlignment="1" applyProtection="1">
      <alignment horizontal="right" vertical="center"/>
    </xf>
    <xf numFmtId="172" fontId="50" fillId="14" borderId="34" xfId="4" applyNumberFormat="1" applyFont="1" applyFill="1" applyBorder="1" applyAlignment="1" applyProtection="1">
      <alignment horizontal="right" vertical="center"/>
    </xf>
    <xf numFmtId="178" fontId="14" fillId="14" borderId="34" xfId="4" applyNumberFormat="1" applyFont="1" applyFill="1" applyBorder="1">
      <alignment vertical="center"/>
    </xf>
    <xf numFmtId="172" fontId="65" fillId="12" borderId="0" xfId="4" applyNumberFormat="1" applyFont="1" applyFill="1" applyBorder="1" applyAlignment="1" applyProtection="1">
      <alignment horizontal="right" vertical="center"/>
    </xf>
    <xf numFmtId="14" fontId="22" fillId="4" borderId="0" xfId="4" applyNumberFormat="1" applyFont="1" applyFill="1" applyBorder="1" applyAlignment="1" applyProtection="1">
      <alignment horizontal="center" vertical="center"/>
      <protection locked="0"/>
    </xf>
    <xf numFmtId="0" fontId="6" fillId="12" borderId="0" xfId="4" applyFont="1" applyFill="1" applyBorder="1" applyProtection="1">
      <alignment vertical="center"/>
      <protection locked="0"/>
    </xf>
    <xf numFmtId="181" fontId="6" fillId="12" borderId="0" xfId="4" applyNumberFormat="1" applyFont="1" applyFill="1" applyBorder="1" applyProtection="1">
      <alignment vertical="center"/>
      <protection locked="0"/>
    </xf>
    <xf numFmtId="10" fontId="6" fillId="12" borderId="0" xfId="4" applyNumberFormat="1" applyFont="1" applyFill="1" applyBorder="1" applyProtection="1">
      <alignment vertical="center"/>
      <protection locked="0"/>
    </xf>
    <xf numFmtId="181" fontId="37" fillId="12" borderId="0" xfId="4" applyNumberFormat="1" applyFont="1" applyFill="1" applyBorder="1" applyProtection="1">
      <alignment vertical="center"/>
      <protection locked="0"/>
    </xf>
    <xf numFmtId="0" fontId="37" fillId="12" borderId="0" xfId="4" applyFont="1" applyFill="1" applyBorder="1" applyProtection="1">
      <alignment vertical="center"/>
      <protection locked="0"/>
    </xf>
    <xf numFmtId="0" fontId="31" fillId="0" borderId="0" xfId="4" applyFill="1">
      <alignment vertical="center"/>
    </xf>
    <xf numFmtId="0" fontId="11" fillId="0" borderId="67" xfId="4" applyFont="1" applyFill="1" applyBorder="1">
      <alignment vertical="center"/>
    </xf>
    <xf numFmtId="0" fontId="54" fillId="4" borderId="60" xfId="4" applyFont="1" applyFill="1" applyBorder="1">
      <alignment vertical="center"/>
    </xf>
    <xf numFmtId="0" fontId="15" fillId="0" borderId="67" xfId="4" applyFont="1" applyFill="1" applyBorder="1" applyProtection="1">
      <alignment vertical="center"/>
      <protection locked="0"/>
    </xf>
    <xf numFmtId="0" fontId="15" fillId="0" borderId="0" xfId="4" applyFont="1" applyFill="1" applyBorder="1" applyProtection="1">
      <alignment vertical="center"/>
      <protection locked="0"/>
    </xf>
    <xf numFmtId="0" fontId="49" fillId="4" borderId="77" xfId="4" applyFont="1" applyFill="1" applyBorder="1">
      <alignment vertical="center"/>
    </xf>
    <xf numFmtId="0" fontId="6" fillId="0" borderId="77" xfId="4" applyFont="1" applyFill="1" applyBorder="1">
      <alignment vertical="center"/>
    </xf>
    <xf numFmtId="0" fontId="15" fillId="0" borderId="67" xfId="4" applyFont="1" applyFill="1" applyBorder="1">
      <alignment vertical="center"/>
    </xf>
    <xf numFmtId="0" fontId="11" fillId="4" borderId="73" xfId="4" applyFont="1" applyFill="1" applyBorder="1" applyProtection="1">
      <alignment vertical="center"/>
      <protection locked="0"/>
    </xf>
    <xf numFmtId="0" fontId="23" fillId="0" borderId="67" xfId="4" applyFont="1" applyFill="1" applyBorder="1" applyProtection="1">
      <alignment vertical="center"/>
      <protection locked="0"/>
    </xf>
    <xf numFmtId="0" fontId="25" fillId="0" borderId="67" xfId="4" applyFont="1" applyFill="1" applyBorder="1" applyProtection="1">
      <alignment vertical="center"/>
      <protection locked="0"/>
    </xf>
    <xf numFmtId="178" fontId="14" fillId="4" borderId="114" xfId="4" applyNumberFormat="1" applyFont="1" applyFill="1" applyBorder="1">
      <alignment vertical="center"/>
    </xf>
    <xf numFmtId="0" fontId="49" fillId="4" borderId="0" xfId="4" applyFont="1" applyFill="1" applyAlignment="1">
      <alignment horizontal="left" vertical="center"/>
    </xf>
    <xf numFmtId="0" fontId="11" fillId="0" borderId="0" xfId="4" applyFont="1" applyFill="1" applyBorder="1" applyProtection="1">
      <alignment vertical="center"/>
      <protection locked="0"/>
    </xf>
    <xf numFmtId="0" fontId="25" fillId="0" borderId="75" xfId="4" applyFont="1" applyFill="1" applyBorder="1" applyProtection="1">
      <alignment vertical="center"/>
      <protection locked="0"/>
    </xf>
    <xf numFmtId="0" fontId="23" fillId="0" borderId="0" xfId="4" applyFont="1" applyFill="1" applyBorder="1">
      <alignment vertical="center"/>
    </xf>
    <xf numFmtId="0" fontId="37" fillId="0" borderId="0" xfId="4" applyFont="1" applyFill="1" applyBorder="1">
      <alignment vertical="center"/>
    </xf>
    <xf numFmtId="0" fontId="25" fillId="0" borderId="0" xfId="4" applyFont="1" applyFill="1" applyBorder="1" applyProtection="1">
      <alignment vertical="center"/>
      <protection locked="0"/>
    </xf>
    <xf numFmtId="0" fontId="29" fillId="0" borderId="0" xfId="4" applyFont="1" applyFill="1" applyBorder="1">
      <alignment vertical="center"/>
    </xf>
    <xf numFmtId="0" fontId="23" fillId="0" borderId="0" xfId="4" applyFont="1" applyFill="1" applyBorder="1" applyAlignment="1">
      <alignment horizontal="left" vertical="center"/>
    </xf>
    <xf numFmtId="0" fontId="25" fillId="0" borderId="0" xfId="4" applyFont="1" applyFill="1" applyBorder="1" applyAlignment="1">
      <alignment horizontal="left" vertical="center"/>
    </xf>
    <xf numFmtId="0" fontId="15" fillId="0" borderId="0" xfId="4" applyFont="1" applyFill="1" applyBorder="1" applyAlignment="1">
      <alignment horizontal="left" vertical="center"/>
    </xf>
    <xf numFmtId="0" fontId="23" fillId="4" borderId="0" xfId="4" applyFont="1" applyFill="1" applyBorder="1" applyAlignment="1">
      <alignment horizontal="left" vertical="center"/>
    </xf>
    <xf numFmtId="0" fontId="54" fillId="4" borderId="0" xfId="4" applyFont="1" applyFill="1" applyBorder="1" applyAlignment="1">
      <alignment horizontal="left" vertical="center"/>
    </xf>
    <xf numFmtId="0" fontId="11" fillId="0" borderId="0" xfId="4" applyFont="1" applyFill="1" applyBorder="1" applyAlignment="1">
      <alignment horizontal="left" vertical="center"/>
    </xf>
    <xf numFmtId="0" fontId="11" fillId="0" borderId="0" xfId="4" applyFont="1" applyFill="1" applyBorder="1">
      <alignment vertical="center"/>
    </xf>
    <xf numFmtId="168" fontId="14" fillId="12" borderId="0" xfId="4" applyNumberFormat="1" applyFont="1" applyFill="1" applyBorder="1">
      <alignment vertical="center"/>
    </xf>
    <xf numFmtId="10" fontId="14" fillId="12" borderId="0" xfId="4" applyNumberFormat="1" applyFont="1" applyFill="1" applyBorder="1">
      <alignment vertical="center"/>
    </xf>
    <xf numFmtId="178" fontId="53" fillId="12" borderId="0" xfId="4" applyNumberFormat="1" applyFont="1" applyFill="1" applyBorder="1">
      <alignment vertical="center"/>
    </xf>
    <xf numFmtId="181" fontId="6" fillId="12" borderId="0" xfId="4" applyNumberFormat="1" applyFont="1" applyFill="1" applyBorder="1">
      <alignment vertical="center"/>
    </xf>
    <xf numFmtId="0" fontId="6" fillId="12" borderId="0" xfId="4" applyFont="1" applyFill="1" applyBorder="1">
      <alignment vertical="center"/>
    </xf>
    <xf numFmtId="0" fontId="15" fillId="0" borderId="0" xfId="4" applyFont="1" applyFill="1" applyBorder="1">
      <alignment vertical="center"/>
    </xf>
    <xf numFmtId="0" fontId="6" fillId="0" borderId="0" xfId="4" applyFont="1" applyFill="1" applyBorder="1">
      <alignment vertical="center"/>
    </xf>
    <xf numFmtId="180" fontId="14" fillId="4" borderId="0" xfId="4" applyNumberFormat="1" applyFont="1" applyFill="1" applyBorder="1">
      <alignment vertical="center"/>
    </xf>
    <xf numFmtId="0" fontId="15" fillId="4" borderId="0" xfId="4" applyFont="1" applyFill="1" applyBorder="1">
      <alignment vertical="center"/>
    </xf>
    <xf numFmtId="180" fontId="14" fillId="4" borderId="0" xfId="4" applyNumberFormat="1" applyFont="1" applyFill="1">
      <alignment vertical="center"/>
    </xf>
    <xf numFmtId="0" fontId="11" fillId="0" borderId="0" xfId="4" applyFont="1" applyFill="1">
      <alignment vertical="center"/>
    </xf>
    <xf numFmtId="0" fontId="0" fillId="0" borderId="116" xfId="0" applyBorder="1"/>
    <xf numFmtId="0" fontId="51" fillId="4" borderId="0" xfId="4" applyFont="1" applyFill="1">
      <alignment vertical="center"/>
    </xf>
    <xf numFmtId="0" fontId="66" fillId="4" borderId="0" xfId="4" applyFont="1" applyFill="1" applyBorder="1">
      <alignment vertical="center"/>
    </xf>
    <xf numFmtId="0" fontId="11" fillId="4" borderId="77" xfId="4" applyFont="1" applyFill="1" applyBorder="1" applyProtection="1">
      <alignment vertical="center"/>
      <protection locked="0"/>
    </xf>
    <xf numFmtId="0" fontId="63" fillId="4" borderId="114" xfId="4" applyFont="1" applyFill="1" applyBorder="1" applyAlignment="1" applyProtection="1">
      <alignment horizontal="center" vertical="center" wrapText="1"/>
      <protection locked="0"/>
    </xf>
    <xf numFmtId="0" fontId="11" fillId="4" borderId="58" xfId="4" applyFont="1" applyFill="1" applyBorder="1" applyAlignment="1" applyProtection="1">
      <alignment horizontal="right" vertical="center"/>
      <protection locked="0"/>
    </xf>
    <xf numFmtId="0" fontId="11" fillId="4" borderId="43" xfId="4" applyFont="1" applyFill="1" applyBorder="1" applyAlignment="1" applyProtection="1">
      <alignment horizontal="right" vertical="center"/>
      <protection locked="0"/>
    </xf>
    <xf numFmtId="0" fontId="63" fillId="4" borderId="0" xfId="4" applyFont="1" applyFill="1" applyBorder="1" applyAlignment="1" applyProtection="1">
      <alignment horizontal="center" vertical="center" wrapText="1"/>
      <protection locked="0"/>
    </xf>
    <xf numFmtId="10" fontId="50" fillId="4" borderId="34" xfId="4" applyNumberFormat="1" applyFont="1" applyFill="1" applyBorder="1">
      <alignment vertical="center"/>
    </xf>
    <xf numFmtId="0" fontId="12" fillId="4" borderId="43" xfId="4" applyFont="1" applyFill="1" applyBorder="1" applyAlignment="1" applyProtection="1">
      <alignment horizontal="right" vertical="center"/>
      <protection locked="0"/>
    </xf>
    <xf numFmtId="0" fontId="51" fillId="4" borderId="74" xfId="4" applyFont="1" applyFill="1" applyBorder="1">
      <alignment vertical="center"/>
    </xf>
    <xf numFmtId="0" fontId="63" fillId="4" borderId="117" xfId="4" applyFont="1" applyFill="1" applyBorder="1" applyAlignment="1" applyProtection="1">
      <alignment horizontal="center" vertical="center" wrapText="1"/>
      <protection locked="0"/>
    </xf>
    <xf numFmtId="0" fontId="11" fillId="4" borderId="73" xfId="4" applyFont="1" applyFill="1" applyBorder="1" applyAlignment="1" applyProtection="1">
      <alignment horizontal="right" vertical="center" wrapText="1"/>
      <protection locked="0"/>
    </xf>
    <xf numFmtId="170" fontId="50" fillId="12" borderId="0" xfId="4" applyNumberFormat="1" applyFont="1" applyFill="1" applyBorder="1" applyAlignment="1" applyProtection="1">
      <alignment horizontal="right" vertical="center"/>
    </xf>
    <xf numFmtId="0" fontId="11" fillId="4" borderId="75" xfId="4" applyFont="1" applyFill="1" applyBorder="1" applyProtection="1">
      <alignment vertical="center"/>
      <protection locked="0"/>
    </xf>
    <xf numFmtId="0" fontId="67" fillId="4" borderId="43" xfId="4" applyFont="1" applyFill="1" applyBorder="1" applyAlignment="1" applyProtection="1">
      <alignment horizontal="right" vertical="center"/>
      <protection locked="0"/>
    </xf>
    <xf numFmtId="0" fontId="63" fillId="4" borderId="73" xfId="4" applyFont="1" applyFill="1" applyBorder="1" applyAlignment="1" applyProtection="1">
      <alignment horizontal="center" vertical="center" wrapText="1"/>
      <protection locked="0"/>
    </xf>
    <xf numFmtId="0" fontId="11" fillId="4" borderId="75" xfId="4" applyFont="1" applyFill="1" applyBorder="1" applyAlignment="1" applyProtection="1">
      <alignment horizontal="right" vertical="center"/>
      <protection locked="0"/>
    </xf>
    <xf numFmtId="0" fontId="15" fillId="4" borderId="75" xfId="4" applyFont="1" applyFill="1" applyBorder="1" applyProtection="1">
      <alignment vertical="center"/>
      <protection locked="0"/>
    </xf>
    <xf numFmtId="0" fontId="63" fillId="4" borderId="118" xfId="4" applyFont="1" applyFill="1" applyBorder="1" applyAlignment="1" applyProtection="1">
      <alignment horizontal="center" vertical="center" wrapText="1"/>
      <protection locked="0"/>
    </xf>
    <xf numFmtId="0" fontId="11" fillId="4" borderId="119" xfId="4" applyFont="1" applyFill="1" applyBorder="1" applyAlignment="1" applyProtection="1">
      <alignment horizontal="right" vertical="center" wrapText="1"/>
      <protection locked="0"/>
    </xf>
    <xf numFmtId="0" fontId="63" fillId="4" borderId="106" xfId="4" applyFont="1" applyFill="1" applyBorder="1" applyAlignment="1" applyProtection="1">
      <alignment horizontal="center" vertical="center" wrapText="1"/>
      <protection locked="0"/>
    </xf>
    <xf numFmtId="0" fontId="18" fillId="4" borderId="0" xfId="4" applyFont="1" applyFill="1" applyBorder="1" applyAlignment="1" applyProtection="1">
      <alignment horizontal="center" vertical="center" wrapText="1"/>
      <protection locked="0"/>
    </xf>
    <xf numFmtId="0" fontId="11" fillId="4" borderId="34" xfId="4" applyFont="1" applyFill="1" applyBorder="1" applyAlignment="1" applyProtection="1">
      <alignment horizontal="right" vertical="center" wrapText="1"/>
      <protection locked="0"/>
    </xf>
    <xf numFmtId="0" fontId="6" fillId="4" borderId="58" xfId="4" applyFont="1" applyFill="1" applyBorder="1" applyAlignment="1" applyProtection="1">
      <alignment horizontal="center" vertical="center" wrapText="1"/>
      <protection locked="0"/>
    </xf>
    <xf numFmtId="0" fontId="11" fillId="4" borderId="115" xfId="4" applyFont="1" applyFill="1" applyBorder="1" applyAlignment="1" applyProtection="1">
      <alignment horizontal="right" vertical="center" wrapText="1"/>
      <protection locked="0"/>
    </xf>
    <xf numFmtId="0" fontId="6" fillId="4" borderId="73" xfId="4" applyFont="1" applyFill="1" applyBorder="1" applyAlignment="1" applyProtection="1">
      <alignment horizontal="center" vertical="center" wrapText="1"/>
      <protection locked="0"/>
    </xf>
    <xf numFmtId="0" fontId="52" fillId="4" borderId="0" xfId="4" applyFont="1" applyFill="1" applyBorder="1" applyProtection="1">
      <alignment vertical="center"/>
      <protection locked="0"/>
    </xf>
    <xf numFmtId="0" fontId="18" fillId="4" borderId="67" xfId="4" applyFont="1" applyFill="1" applyBorder="1" applyProtection="1">
      <alignment vertical="center"/>
      <protection locked="0"/>
    </xf>
    <xf numFmtId="0" fontId="6" fillId="4" borderId="0" xfId="4" applyFont="1" applyFill="1" applyBorder="1" applyAlignment="1" applyProtection="1">
      <alignment horizontal="center" vertical="center" wrapText="1"/>
      <protection locked="0"/>
    </xf>
    <xf numFmtId="0" fontId="6" fillId="4" borderId="74" xfId="4" applyFont="1" applyFill="1" applyBorder="1" applyProtection="1">
      <alignment vertical="center"/>
      <protection locked="0"/>
    </xf>
    <xf numFmtId="0" fontId="11" fillId="0" borderId="67" xfId="4" applyFont="1" applyFill="1" applyBorder="1" applyProtection="1">
      <alignment vertical="center"/>
      <protection locked="0"/>
    </xf>
    <xf numFmtId="10" fontId="50" fillId="14" borderId="34" xfId="4" applyNumberFormat="1" applyFont="1" applyFill="1" applyBorder="1">
      <alignment vertical="center"/>
    </xf>
    <xf numFmtId="170" fontId="50" fillId="14" borderId="34" xfId="4" applyNumberFormat="1" applyFont="1" applyFill="1" applyBorder="1" applyAlignment="1" applyProtection="1">
      <alignment horizontal="right" vertical="center"/>
    </xf>
    <xf numFmtId="178" fontId="14" fillId="0" borderId="34" xfId="4" applyNumberFormat="1" applyFont="1" applyFill="1" applyBorder="1">
      <alignment vertical="center"/>
    </xf>
    <xf numFmtId="170" fontId="50" fillId="14" borderId="34" xfId="0" applyNumberFormat="1" applyFont="1" applyFill="1" applyBorder="1" applyAlignment="1" applyProtection="1">
      <alignment horizontal="right" vertical="center"/>
    </xf>
    <xf numFmtId="170" fontId="68" fillId="12" borderId="0" xfId="4" applyNumberFormat="1" applyFont="1" applyFill="1" applyBorder="1" applyAlignment="1" applyProtection="1">
      <alignment horizontal="right" vertical="center"/>
    </xf>
    <xf numFmtId="178" fontId="14" fillId="14" borderId="34" xfId="0" applyNumberFormat="1" applyFont="1" applyFill="1" applyBorder="1" applyAlignment="1">
      <alignment horizontal="right" vertical="center"/>
    </xf>
    <xf numFmtId="0" fontId="14" fillId="4" borderId="116" xfId="4" applyFont="1" applyFill="1" applyBorder="1">
      <alignment vertical="center"/>
    </xf>
    <xf numFmtId="0" fontId="51" fillId="4" borderId="116" xfId="4" applyFont="1" applyFill="1" applyBorder="1">
      <alignment vertical="center"/>
    </xf>
    <xf numFmtId="14" fontId="22" fillId="4" borderId="116" xfId="4" applyNumberFormat="1" applyFont="1" applyFill="1" applyBorder="1" applyAlignment="1" applyProtection="1">
      <alignment horizontal="center" vertical="center"/>
      <protection locked="0"/>
    </xf>
    <xf numFmtId="0" fontId="31" fillId="0" borderId="116" xfId="4" applyBorder="1">
      <alignment vertical="center"/>
    </xf>
    <xf numFmtId="0" fontId="14" fillId="12" borderId="116" xfId="4" applyFont="1" applyFill="1" applyBorder="1">
      <alignment vertical="center"/>
    </xf>
    <xf numFmtId="0" fontId="51" fillId="12" borderId="116" xfId="4" applyFont="1" applyFill="1" applyBorder="1">
      <alignment vertical="center"/>
    </xf>
    <xf numFmtId="0" fontId="14" fillId="12" borderId="116" xfId="4" applyFont="1" applyFill="1" applyBorder="1" applyProtection="1">
      <alignment vertical="center"/>
      <protection locked="0"/>
    </xf>
    <xf numFmtId="0" fontId="11" fillId="12" borderId="116" xfId="4" applyFont="1" applyFill="1" applyBorder="1" applyProtection="1">
      <alignment vertical="center"/>
      <protection locked="0"/>
    </xf>
    <xf numFmtId="178" fontId="14" fillId="12" borderId="116" xfId="4" applyNumberFormat="1" applyFont="1" applyFill="1" applyBorder="1">
      <alignment vertical="center"/>
    </xf>
    <xf numFmtId="181" fontId="11" fillId="12" borderId="116" xfId="4" applyNumberFormat="1" applyFont="1" applyFill="1" applyBorder="1" applyProtection="1">
      <alignment vertical="center"/>
      <protection locked="0"/>
    </xf>
    <xf numFmtId="172" fontId="26" fillId="12" borderId="116" xfId="4" applyNumberFormat="1" applyFont="1" applyFill="1" applyBorder="1" applyAlignment="1" applyProtection="1">
      <alignment horizontal="right" vertical="center"/>
    </xf>
    <xf numFmtId="170" fontId="50" fillId="12" borderId="116" xfId="4" applyNumberFormat="1" applyFont="1" applyFill="1" applyBorder="1" applyAlignment="1" applyProtection="1">
      <alignment horizontal="right" vertical="center"/>
    </xf>
    <xf numFmtId="10" fontId="11" fillId="12" borderId="116" xfId="4" applyNumberFormat="1" applyFont="1" applyFill="1" applyBorder="1" applyProtection="1">
      <alignment vertical="center"/>
      <protection locked="0"/>
    </xf>
    <xf numFmtId="10" fontId="14" fillId="12" borderId="116" xfId="4" applyNumberFormat="1" applyFont="1" applyFill="1" applyBorder="1">
      <alignment vertical="center"/>
    </xf>
    <xf numFmtId="181" fontId="6" fillId="12" borderId="116" xfId="4" applyNumberFormat="1" applyFont="1" applyFill="1" applyBorder="1" applyProtection="1">
      <alignment vertical="center"/>
      <protection locked="0"/>
    </xf>
    <xf numFmtId="0" fontId="34" fillId="4" borderId="0" xfId="4" applyFont="1" applyFill="1" applyBorder="1" applyProtection="1">
      <alignment vertical="center"/>
      <protection locked="0"/>
    </xf>
    <xf numFmtId="0" fontId="52" fillId="4" borderId="77" xfId="4" applyFont="1" applyFill="1" applyBorder="1" applyProtection="1">
      <alignment vertical="center"/>
      <protection locked="0"/>
    </xf>
    <xf numFmtId="0" fontId="6" fillId="4" borderId="76" xfId="4" applyFont="1" applyFill="1" applyBorder="1" applyAlignment="1" applyProtection="1">
      <alignment horizontal="center" vertical="center" wrapText="1"/>
      <protection locked="0"/>
    </xf>
    <xf numFmtId="0" fontId="11" fillId="4" borderId="74" xfId="4" applyFont="1" applyFill="1" applyBorder="1" applyAlignment="1" applyProtection="1">
      <alignment horizontal="right" vertical="center"/>
      <protection locked="0"/>
    </xf>
    <xf numFmtId="0" fontId="6" fillId="4" borderId="115" xfId="4" applyFont="1" applyFill="1" applyBorder="1" applyAlignment="1" applyProtection="1">
      <alignment horizontal="center" vertical="center" wrapText="1"/>
      <protection locked="0"/>
    </xf>
    <xf numFmtId="0" fontId="11" fillId="4" borderId="0" xfId="4" applyFont="1" applyFill="1" applyBorder="1" applyAlignment="1" applyProtection="1">
      <alignment horizontal="right" vertical="center"/>
      <protection locked="0"/>
    </xf>
    <xf numFmtId="0" fontId="49" fillId="4" borderId="0" xfId="4" applyFont="1" applyFill="1" applyBorder="1" applyProtection="1">
      <alignment vertical="center"/>
      <protection locked="0"/>
    </xf>
    <xf numFmtId="0" fontId="6" fillId="4" borderId="67" xfId="4" applyFont="1" applyFill="1" applyBorder="1" applyProtection="1">
      <alignment vertical="center"/>
      <protection locked="0"/>
    </xf>
    <xf numFmtId="0" fontId="49" fillId="4" borderId="77" xfId="4" applyFont="1" applyFill="1" applyBorder="1" applyAlignment="1" applyProtection="1">
      <alignment horizontal="left" vertical="center"/>
      <protection locked="0"/>
    </xf>
    <xf numFmtId="0" fontId="54" fillId="4" borderId="77" xfId="4" applyFont="1" applyFill="1" applyBorder="1" applyProtection="1">
      <alignment vertical="center"/>
      <protection locked="0"/>
    </xf>
    <xf numFmtId="10" fontId="14" fillId="0" borderId="34" xfId="4" applyNumberFormat="1" applyFont="1" applyFill="1" applyBorder="1">
      <alignment vertical="center"/>
    </xf>
    <xf numFmtId="0" fontId="6" fillId="4" borderId="74" xfId="4" applyFont="1" applyFill="1" applyBorder="1" applyAlignment="1" applyProtection="1">
      <alignment horizontal="right" vertical="center"/>
      <protection locked="0"/>
    </xf>
    <xf numFmtId="0" fontId="14" fillId="4" borderId="116" xfId="4" applyFont="1" applyFill="1" applyBorder="1" applyProtection="1">
      <alignment vertical="center"/>
      <protection locked="0"/>
    </xf>
    <xf numFmtId="0" fontId="6" fillId="4" borderId="116" xfId="4" applyFont="1" applyFill="1" applyBorder="1" applyProtection="1">
      <alignment vertical="center"/>
      <protection locked="0"/>
    </xf>
    <xf numFmtId="0" fontId="0" fillId="0" borderId="94" xfId="0" applyBorder="1"/>
    <xf numFmtId="178" fontId="14" fillId="4" borderId="0" xfId="4" applyNumberFormat="1" applyFont="1" applyFill="1" applyBorder="1" applyAlignment="1"/>
    <xf numFmtId="0" fontId="49" fillId="4" borderId="0" xfId="4" applyFont="1" applyFill="1" applyBorder="1" applyAlignment="1"/>
    <xf numFmtId="0" fontId="49" fillId="4" borderId="0" xfId="4" applyFont="1" applyFill="1" applyBorder="1" applyAlignment="1">
      <alignment horizontal="right"/>
    </xf>
    <xf numFmtId="0" fontId="25" fillId="4" borderId="34" xfId="4" applyFont="1" applyFill="1" applyBorder="1" applyProtection="1">
      <alignment vertical="center"/>
      <protection locked="0"/>
    </xf>
    <xf numFmtId="10" fontId="56" fillId="9" borderId="34" xfId="4" applyNumberFormat="1" applyFont="1" applyFill="1" applyBorder="1" applyAlignment="1" applyProtection="1">
      <alignment horizontal="right" vertical="center"/>
      <protection locked="0"/>
    </xf>
    <xf numFmtId="178" fontId="14" fillId="4" borderId="22" xfId="4" applyNumberFormat="1" applyFont="1" applyFill="1" applyBorder="1" applyAlignment="1"/>
    <xf numFmtId="0" fontId="25" fillId="4" borderId="0" xfId="4" applyFont="1" applyFill="1" applyBorder="1" applyProtection="1">
      <alignment vertical="center"/>
      <protection locked="0"/>
    </xf>
    <xf numFmtId="0" fontId="11" fillId="4" borderId="0" xfId="4" applyFont="1" applyFill="1" applyAlignment="1">
      <alignment horizontal="left" vertical="center"/>
    </xf>
    <xf numFmtId="178" fontId="14" fillId="4" borderId="113" xfId="4" applyNumberFormat="1" applyFont="1" applyFill="1" applyBorder="1" applyAlignment="1"/>
    <xf numFmtId="0" fontId="6" fillId="4" borderId="120" xfId="4" applyFont="1" applyFill="1" applyBorder="1">
      <alignment vertical="center"/>
    </xf>
    <xf numFmtId="0" fontId="14" fillId="4" borderId="120" xfId="4" applyFont="1" applyFill="1" applyBorder="1">
      <alignment vertical="center"/>
    </xf>
    <xf numFmtId="0" fontId="54" fillId="4" borderId="0" xfId="4" applyFont="1" applyFill="1" applyBorder="1" applyAlignment="1"/>
    <xf numFmtId="0" fontId="15" fillId="4" borderId="0" xfId="4" applyFont="1" applyFill="1" applyBorder="1" applyAlignment="1"/>
    <xf numFmtId="167" fontId="56" fillId="9" borderId="34" xfId="4" applyNumberFormat="1" applyFont="1" applyFill="1" applyBorder="1" applyAlignment="1" applyProtection="1">
      <alignment horizontal="center" vertical="center"/>
      <protection locked="0"/>
    </xf>
    <xf numFmtId="179" fontId="50" fillId="4" borderId="0" xfId="4" applyNumberFormat="1" applyFont="1" applyFill="1" applyBorder="1" applyAlignment="1" applyProtection="1">
      <alignment horizontal="center" vertical="center"/>
      <protection locked="0"/>
    </xf>
    <xf numFmtId="0" fontId="18" fillId="4" borderId="0" xfId="4" applyFont="1" applyFill="1" applyBorder="1" applyAlignment="1"/>
    <xf numFmtId="10" fontId="50" fillId="9" borderId="34" xfId="4" applyNumberFormat="1" applyFont="1" applyFill="1" applyBorder="1" applyAlignment="1" applyProtection="1">
      <alignment horizontal="right" vertical="center"/>
      <protection locked="0"/>
    </xf>
    <xf numFmtId="170" fontId="6" fillId="4" borderId="0" xfId="4" applyNumberFormat="1" applyFont="1" applyFill="1" applyBorder="1" applyAlignment="1" applyProtection="1">
      <alignment horizontal="left" vertical="center"/>
      <protection locked="0"/>
    </xf>
    <xf numFmtId="178" fontId="50" fillId="9" borderId="34" xfId="4" applyNumberFormat="1" applyFont="1" applyFill="1" applyBorder="1" applyAlignment="1" applyProtection="1">
      <alignment horizontal="right" vertical="center"/>
      <protection locked="0"/>
    </xf>
    <xf numFmtId="170" fontId="14" fillId="4" borderId="0" xfId="4" applyNumberFormat="1" applyFont="1" applyFill="1" applyBorder="1" applyAlignment="1" applyProtection="1">
      <alignment horizontal="left" vertical="center"/>
      <protection locked="0"/>
    </xf>
    <xf numFmtId="0" fontId="53" fillId="4" borderId="0" xfId="4" applyFont="1" applyFill="1" applyAlignment="1">
      <alignment horizontal="center" vertical="center"/>
    </xf>
    <xf numFmtId="0" fontId="6" fillId="4" borderId="0" xfId="4" applyFont="1" applyFill="1" applyAlignment="1">
      <alignment horizontal="right"/>
    </xf>
    <xf numFmtId="171" fontId="14" fillId="4" borderId="0" xfId="4" applyNumberFormat="1" applyFont="1" applyFill="1" applyBorder="1">
      <alignment vertical="center"/>
    </xf>
    <xf numFmtId="172" fontId="26" fillId="9" borderId="60" xfId="4" applyNumberFormat="1" applyFont="1" applyFill="1" applyBorder="1" applyAlignment="1" applyProtection="1">
      <alignment horizontal="right" vertical="center"/>
      <protection locked="0"/>
    </xf>
    <xf numFmtId="172" fontId="26" fillId="9" borderId="74" xfId="4" applyNumberFormat="1" applyFont="1" applyFill="1" applyBorder="1" applyAlignment="1" applyProtection="1">
      <alignment horizontal="right" vertical="center"/>
      <protection locked="0"/>
    </xf>
    <xf numFmtId="172" fontId="26" fillId="9" borderId="69" xfId="4" applyNumberFormat="1" applyFont="1" applyFill="1" applyBorder="1" applyAlignment="1" applyProtection="1">
      <alignment horizontal="right" vertical="center"/>
      <protection locked="0"/>
    </xf>
    <xf numFmtId="9" fontId="14" fillId="4" borderId="0" xfId="4" applyNumberFormat="1" applyFont="1" applyFill="1" applyBorder="1">
      <alignment vertical="center"/>
    </xf>
    <xf numFmtId="0" fontId="6" fillId="4" borderId="0" xfId="4" applyFont="1" applyFill="1" applyBorder="1" applyAlignment="1">
      <alignment horizontal="right"/>
    </xf>
    <xf numFmtId="0" fontId="53" fillId="4" borderId="0" xfId="4" applyFont="1" applyFill="1">
      <alignment vertical="center"/>
    </xf>
    <xf numFmtId="178" fontId="14" fillId="0" borderId="22" xfId="4" applyNumberFormat="1" applyFont="1" applyFill="1" applyBorder="1" applyAlignment="1"/>
    <xf numFmtId="178" fontId="30" fillId="4" borderId="0" xfId="4" applyNumberFormat="1" applyFont="1" applyFill="1" applyBorder="1" applyAlignment="1"/>
    <xf numFmtId="0" fontId="11" fillId="4" borderId="0" xfId="4" applyFont="1" applyFill="1" applyBorder="1" applyAlignment="1"/>
    <xf numFmtId="178" fontId="14" fillId="4" borderId="39" xfId="4" applyNumberFormat="1" applyFont="1" applyFill="1" applyBorder="1" applyAlignment="1"/>
    <xf numFmtId="178" fontId="14" fillId="4" borderId="31" xfId="4" applyNumberFormat="1" applyFont="1" applyFill="1" applyBorder="1" applyAlignment="1"/>
    <xf numFmtId="178" fontId="14" fillId="4" borderId="112" xfId="4" applyNumberFormat="1" applyFont="1" applyFill="1" applyBorder="1" applyAlignment="1"/>
    <xf numFmtId="178" fontId="53" fillId="4" borderId="0" xfId="4" applyNumberFormat="1" applyFont="1" applyFill="1" applyBorder="1" applyAlignment="1"/>
    <xf numFmtId="178" fontId="6" fillId="4" borderId="0" xfId="4" applyNumberFormat="1" applyFont="1" applyFill="1" applyBorder="1" applyAlignment="1"/>
    <xf numFmtId="182" fontId="6" fillId="4" borderId="0" xfId="4" applyNumberFormat="1" applyFont="1" applyFill="1" applyBorder="1" applyAlignment="1"/>
    <xf numFmtId="172" fontId="25" fillId="4" borderId="0" xfId="4" applyNumberFormat="1" applyFont="1" applyFill="1" applyBorder="1" applyAlignment="1" applyProtection="1">
      <alignment horizontal="right" vertical="center"/>
      <protection locked="0"/>
    </xf>
    <xf numFmtId="172" fontId="27" fillId="4" borderId="0" xfId="4" applyNumberFormat="1" applyFont="1" applyFill="1" applyBorder="1" applyAlignment="1" applyProtection="1">
      <alignment horizontal="right"/>
      <protection locked="0"/>
    </xf>
    <xf numFmtId="182" fontId="56" fillId="4" borderId="0" xfId="4" applyNumberFormat="1" applyFont="1" applyFill="1" applyBorder="1">
      <alignment vertical="center"/>
    </xf>
    <xf numFmtId="182" fontId="14" fillId="4" borderId="0" xfId="4" applyNumberFormat="1" applyFont="1" applyFill="1" applyBorder="1" applyAlignment="1"/>
    <xf numFmtId="0" fontId="11" fillId="4" borderId="94" xfId="4" applyFont="1" applyFill="1" applyBorder="1">
      <alignment vertical="center"/>
    </xf>
    <xf numFmtId="0" fontId="6" fillId="4" borderId="94" xfId="4" applyFont="1" applyFill="1" applyBorder="1">
      <alignment vertical="center"/>
    </xf>
    <xf numFmtId="178" fontId="14" fillId="4" borderId="0" xfId="4" applyNumberFormat="1" applyFont="1" applyFill="1" applyBorder="1" applyAlignment="1">
      <alignment horizontal="left"/>
    </xf>
    <xf numFmtId="178" fontId="14" fillId="4" borderId="0" xfId="4" applyNumberFormat="1" applyFont="1" applyFill="1" applyBorder="1" applyAlignment="1">
      <alignment horizontal="right"/>
    </xf>
    <xf numFmtId="0" fontId="11" fillId="4" borderId="0" xfId="4" applyFont="1" applyFill="1" applyBorder="1" applyAlignment="1">
      <alignment horizontal="left"/>
    </xf>
    <xf numFmtId="0" fontId="0" fillId="0" borderId="0" xfId="0" applyBorder="1" applyProtection="1">
      <protection locked="0"/>
    </xf>
    <xf numFmtId="0" fontId="0" fillId="0" borderId="0" xfId="0" applyProtection="1">
      <protection locked="0"/>
    </xf>
    <xf numFmtId="0" fontId="15" fillId="4" borderId="0" xfId="4" applyFont="1" applyFill="1" applyProtection="1">
      <alignment vertical="center"/>
      <protection locked="0"/>
    </xf>
    <xf numFmtId="178" fontId="14" fillId="4" borderId="0" xfId="4" applyNumberFormat="1" applyFont="1" applyFill="1" applyBorder="1" applyAlignment="1" applyProtection="1">
      <alignment horizontal="right" vertical="center"/>
      <protection locked="0"/>
    </xf>
    <xf numFmtId="0" fontId="11" fillId="4" borderId="0" xfId="4" applyFont="1" applyFill="1" applyProtection="1">
      <alignment vertical="center"/>
      <protection hidden="1"/>
    </xf>
    <xf numFmtId="0" fontId="11" fillId="4" borderId="0" xfId="4" applyFont="1" applyFill="1" applyProtection="1">
      <alignment vertical="center"/>
      <protection locked="0"/>
    </xf>
    <xf numFmtId="0" fontId="49" fillId="4" borderId="0" xfId="4" applyFont="1" applyFill="1" applyBorder="1" applyAlignment="1" applyProtection="1">
      <protection locked="0"/>
    </xf>
    <xf numFmtId="0" fontId="15" fillId="4" borderId="18" xfId="4" applyFont="1" applyFill="1" applyBorder="1" applyProtection="1">
      <alignment vertical="center"/>
      <protection locked="0"/>
    </xf>
    <xf numFmtId="173" fontId="22" fillId="7" borderId="20" xfId="4" applyNumberFormat="1" applyFont="1" applyFill="1" applyBorder="1" applyAlignment="1" applyProtection="1">
      <alignment horizontal="center" vertical="center"/>
      <protection locked="0"/>
    </xf>
    <xf numFmtId="173" fontId="30" fillId="10" borderId="20" xfId="4" applyNumberFormat="1" applyFont="1" applyFill="1" applyBorder="1" applyAlignment="1" applyProtection="1">
      <alignment horizontal="center" vertical="center"/>
      <protection locked="0"/>
    </xf>
    <xf numFmtId="173" fontId="30" fillId="10" borderId="25" xfId="4" applyNumberFormat="1" applyFont="1" applyFill="1" applyBorder="1" applyAlignment="1" applyProtection="1">
      <alignment horizontal="center" vertical="center"/>
      <protection locked="0"/>
    </xf>
    <xf numFmtId="0" fontId="22" fillId="4" borderId="0" xfId="4" applyFont="1" applyFill="1" applyBorder="1" applyAlignment="1" applyProtection="1">
      <alignment horizontal="center" vertical="center"/>
      <protection locked="0"/>
    </xf>
    <xf numFmtId="0" fontId="15" fillId="4" borderId="0" xfId="4" applyFont="1" applyFill="1" applyProtection="1">
      <alignment vertical="center"/>
      <protection hidden="1"/>
    </xf>
    <xf numFmtId="0" fontId="11" fillId="4" borderId="39" xfId="4" applyFont="1" applyFill="1" applyBorder="1" applyProtection="1">
      <alignment vertical="center"/>
      <protection hidden="1"/>
    </xf>
    <xf numFmtId="0" fontId="15" fillId="4" borderId="112" xfId="4" applyFont="1" applyFill="1" applyBorder="1" applyProtection="1">
      <alignment vertical="center"/>
      <protection hidden="1"/>
    </xf>
    <xf numFmtId="178" fontId="14" fillId="4" borderId="39" xfId="4" applyNumberFormat="1" applyFont="1" applyFill="1" applyBorder="1" applyAlignment="1" applyProtection="1">
      <alignment horizontal="right" vertical="center"/>
      <protection hidden="1"/>
    </xf>
    <xf numFmtId="178" fontId="14" fillId="4" borderId="31" xfId="4" applyNumberFormat="1" applyFont="1" applyFill="1" applyBorder="1" applyAlignment="1" applyProtection="1">
      <alignment horizontal="right" vertical="center"/>
      <protection hidden="1"/>
    </xf>
    <xf numFmtId="178" fontId="14" fillId="4" borderId="112" xfId="4" applyNumberFormat="1" applyFont="1" applyFill="1" applyBorder="1" applyAlignment="1" applyProtection="1">
      <alignment horizontal="right" vertical="center"/>
      <protection hidden="1"/>
    </xf>
    <xf numFmtId="0" fontId="11" fillId="4" borderId="22" xfId="4" applyFont="1" applyFill="1" applyBorder="1" applyProtection="1">
      <alignment vertical="center"/>
      <protection hidden="1"/>
    </xf>
    <xf numFmtId="0" fontId="15" fillId="4" borderId="18" xfId="4" applyFont="1" applyFill="1" applyBorder="1" applyProtection="1">
      <alignment vertical="center"/>
      <protection hidden="1"/>
    </xf>
    <xf numFmtId="178" fontId="14" fillId="4" borderId="22" xfId="4" applyNumberFormat="1" applyFont="1" applyFill="1" applyBorder="1" applyAlignment="1" applyProtection="1">
      <alignment horizontal="right" vertical="center"/>
      <protection hidden="1"/>
    </xf>
    <xf numFmtId="178" fontId="14" fillId="4" borderId="0" xfId="4" applyNumberFormat="1" applyFont="1" applyFill="1" applyBorder="1" applyAlignment="1" applyProtection="1">
      <alignment horizontal="right" vertical="center"/>
      <protection hidden="1"/>
    </xf>
    <xf numFmtId="178" fontId="14" fillId="4" borderId="18" xfId="4" applyNumberFormat="1" applyFont="1" applyFill="1" applyBorder="1" applyAlignment="1" applyProtection="1">
      <alignment horizontal="right" vertical="center"/>
      <protection hidden="1"/>
    </xf>
    <xf numFmtId="0" fontId="11" fillId="4" borderId="113" xfId="4" applyFont="1" applyFill="1" applyBorder="1" applyProtection="1">
      <alignment vertical="center"/>
      <protection hidden="1"/>
    </xf>
    <xf numFmtId="0" fontId="15" fillId="4" borderId="23" xfId="4" applyFont="1" applyFill="1" applyBorder="1" applyProtection="1">
      <alignment vertical="center"/>
      <protection hidden="1"/>
    </xf>
    <xf numFmtId="178" fontId="14" fillId="4" borderId="113" xfId="4" applyNumberFormat="1" applyFont="1" applyFill="1" applyBorder="1" applyAlignment="1" applyProtection="1">
      <alignment horizontal="right" vertical="center"/>
      <protection hidden="1"/>
    </xf>
    <xf numFmtId="178" fontId="14" fillId="4" borderId="19" xfId="4" applyNumberFormat="1" applyFont="1" applyFill="1" applyBorder="1" applyAlignment="1" applyProtection="1">
      <alignment horizontal="right" vertical="center"/>
      <protection hidden="1"/>
    </xf>
    <xf numFmtId="0" fontId="11" fillId="4" borderId="22" xfId="4" applyFont="1" applyFill="1" applyBorder="1" applyAlignment="1" applyProtection="1">
      <alignment horizontal="left" vertical="center"/>
      <protection hidden="1"/>
    </xf>
    <xf numFmtId="0" fontId="11" fillId="4" borderId="113" xfId="4" applyFont="1" applyFill="1" applyBorder="1" applyAlignment="1" applyProtection="1">
      <alignment horizontal="left" vertical="center"/>
      <protection hidden="1"/>
    </xf>
    <xf numFmtId="0" fontId="11" fillId="4" borderId="0" xfId="4" applyFont="1" applyFill="1" applyBorder="1" applyProtection="1">
      <alignment vertical="center"/>
      <protection hidden="1"/>
    </xf>
    <xf numFmtId="0" fontId="15" fillId="4" borderId="25" xfId="4" applyFont="1" applyFill="1" applyBorder="1" applyProtection="1">
      <alignment vertical="center"/>
      <protection hidden="1"/>
    </xf>
    <xf numFmtId="178" fontId="14" fillId="4" borderId="24" xfId="4" applyNumberFormat="1" applyFont="1" applyFill="1" applyBorder="1" applyProtection="1">
      <alignment vertical="center"/>
      <protection hidden="1"/>
    </xf>
    <xf numFmtId="178" fontId="14" fillId="4" borderId="20" xfId="4" applyNumberFormat="1" applyFont="1" applyFill="1" applyBorder="1" applyProtection="1">
      <alignment vertical="center"/>
      <protection hidden="1"/>
    </xf>
    <xf numFmtId="178" fontId="14" fillId="4" borderId="25" xfId="4" applyNumberFormat="1" applyFont="1" applyFill="1" applyBorder="1" applyProtection="1">
      <alignment vertical="center"/>
      <protection hidden="1"/>
    </xf>
    <xf numFmtId="0" fontId="54" fillId="4" borderId="0" xfId="4" applyFont="1" applyFill="1" applyBorder="1" applyAlignment="1" applyProtection="1">
      <protection locked="0"/>
    </xf>
    <xf numFmtId="0" fontId="15" fillId="4" borderId="0" xfId="4" applyFont="1" applyFill="1" applyBorder="1" applyAlignment="1" applyProtection="1">
      <protection locked="0"/>
    </xf>
    <xf numFmtId="0" fontId="6" fillId="4" borderId="0" xfId="4" applyFont="1" applyFill="1" applyProtection="1">
      <alignment vertical="center"/>
    </xf>
    <xf numFmtId="0" fontId="11" fillId="4" borderId="0" xfId="4" applyFont="1" applyFill="1" applyBorder="1" applyAlignment="1" applyProtection="1">
      <protection locked="0"/>
    </xf>
    <xf numFmtId="1" fontId="14" fillId="4" borderId="0" xfId="4" applyNumberFormat="1" applyFont="1" applyFill="1" applyProtection="1">
      <alignment vertical="center"/>
      <protection locked="0"/>
    </xf>
    <xf numFmtId="182" fontId="14" fillId="4" borderId="0" xfId="4" applyNumberFormat="1" applyFont="1" applyFill="1" applyAlignment="1" applyProtection="1">
      <protection locked="0"/>
    </xf>
    <xf numFmtId="182" fontId="14" fillId="4" borderId="0" xfId="4" applyNumberFormat="1" applyFont="1" applyFill="1" applyBorder="1" applyAlignment="1" applyProtection="1">
      <protection locked="0"/>
    </xf>
    <xf numFmtId="0" fontId="6" fillId="4" borderId="0" xfId="4" applyFont="1" applyFill="1" applyBorder="1" applyAlignment="1" applyProtection="1">
      <protection locked="0"/>
    </xf>
    <xf numFmtId="0" fontId="6" fillId="4" borderId="0" xfId="4" applyFont="1" applyFill="1" applyBorder="1" applyAlignment="1" applyProtection="1"/>
    <xf numFmtId="167" fontId="56" fillId="9" borderId="0" xfId="4" applyNumberFormat="1" applyFont="1" applyFill="1" applyBorder="1" applyAlignment="1" applyProtection="1">
      <alignment horizontal="center"/>
      <protection locked="0"/>
    </xf>
    <xf numFmtId="167" fontId="56" fillId="9" borderId="0" xfId="4" applyNumberFormat="1" applyFont="1" applyFill="1" applyBorder="1" applyAlignment="1" applyProtection="1">
      <alignment horizontal="center" vertical="center"/>
      <protection locked="0"/>
    </xf>
    <xf numFmtId="0" fontId="11" fillId="4" borderId="0" xfId="4" applyFont="1" applyFill="1" applyBorder="1" applyProtection="1">
      <alignment vertical="center"/>
    </xf>
    <xf numFmtId="0" fontId="11" fillId="4" borderId="0" xfId="4" applyFont="1" applyFill="1" applyBorder="1" applyAlignment="1" applyProtection="1">
      <alignment horizontal="right" vertical="center"/>
      <protection hidden="1"/>
    </xf>
    <xf numFmtId="178" fontId="14" fillId="4" borderId="39" xfId="4" applyNumberFormat="1" applyFont="1" applyFill="1" applyBorder="1" applyAlignment="1" applyProtection="1">
      <alignment horizontal="center" vertical="center"/>
      <protection locked="0"/>
    </xf>
    <xf numFmtId="172" fontId="26" fillId="9" borderId="31" xfId="4" applyNumberFormat="1" applyFont="1" applyFill="1" applyBorder="1" applyAlignment="1" applyProtection="1">
      <alignment horizontal="right" vertical="center"/>
      <protection locked="0"/>
    </xf>
    <xf numFmtId="172" fontId="26" fillId="9" borderId="112" xfId="4" applyNumberFormat="1" applyFont="1" applyFill="1" applyBorder="1" applyAlignment="1" applyProtection="1">
      <alignment horizontal="right" vertical="center"/>
      <protection locked="0"/>
    </xf>
    <xf numFmtId="0" fontId="69" fillId="4" borderId="0" xfId="4" applyFont="1" applyFill="1" applyBorder="1" applyProtection="1">
      <alignment vertical="center"/>
    </xf>
    <xf numFmtId="167" fontId="14" fillId="4" borderId="113" xfId="4" applyNumberFormat="1" applyFont="1" applyFill="1" applyBorder="1" applyAlignment="1" applyProtection="1">
      <alignment horizontal="center" vertical="center"/>
      <protection locked="0"/>
    </xf>
    <xf numFmtId="164" fontId="26" fillId="9" borderId="19" xfId="4" applyNumberFormat="1" applyFont="1" applyFill="1" applyBorder="1" applyAlignment="1" applyProtection="1">
      <alignment horizontal="right" vertical="center"/>
      <protection locked="0"/>
    </xf>
    <xf numFmtId="0" fontId="51" fillId="4" borderId="0" xfId="4" applyFont="1" applyFill="1" applyProtection="1">
      <alignment vertical="center"/>
    </xf>
    <xf numFmtId="0" fontId="31" fillId="0" borderId="0" xfId="4" applyProtection="1">
      <alignment vertical="center"/>
      <protection hidden="1"/>
    </xf>
    <xf numFmtId="178" fontId="14" fillId="4" borderId="0" xfId="4" applyNumberFormat="1" applyFont="1" applyFill="1" applyProtection="1">
      <alignment vertical="center"/>
      <protection locked="0"/>
    </xf>
    <xf numFmtId="178" fontId="14" fillId="4" borderId="0" xfId="4" applyNumberFormat="1" applyFont="1" applyFill="1" applyBorder="1" applyProtection="1">
      <alignment vertical="center"/>
      <protection locked="0"/>
    </xf>
    <xf numFmtId="0" fontId="11" fillId="4" borderId="0" xfId="4" applyFont="1" applyFill="1" applyBorder="1" applyAlignment="1" applyProtection="1">
      <alignment horizontal="right"/>
    </xf>
    <xf numFmtId="178" fontId="27" fillId="4" borderId="0" xfId="4" applyNumberFormat="1" applyFont="1" applyFill="1" applyBorder="1" applyAlignment="1" applyProtection="1">
      <protection hidden="1"/>
    </xf>
    <xf numFmtId="178" fontId="14" fillId="4" borderId="39" xfId="4" applyNumberFormat="1" applyFont="1" applyFill="1" applyBorder="1" applyAlignment="1" applyProtection="1">
      <protection locked="0"/>
    </xf>
    <xf numFmtId="178" fontId="14" fillId="4" borderId="31" xfId="4" applyNumberFormat="1" applyFont="1" applyFill="1" applyBorder="1" applyAlignment="1" applyProtection="1">
      <protection hidden="1"/>
    </xf>
    <xf numFmtId="178" fontId="14" fillId="4" borderId="112" xfId="4" applyNumberFormat="1" applyFont="1" applyFill="1" applyBorder="1" applyAlignment="1" applyProtection="1">
      <protection hidden="1"/>
    </xf>
    <xf numFmtId="178" fontId="14" fillId="8" borderId="22" xfId="4" applyNumberFormat="1" applyFont="1" applyFill="1" applyBorder="1" applyAlignment="1" applyProtection="1">
      <protection locked="0"/>
    </xf>
    <xf numFmtId="178" fontId="14" fillId="4" borderId="0" xfId="4" applyNumberFormat="1" applyFont="1" applyFill="1" applyBorder="1" applyAlignment="1" applyProtection="1">
      <protection hidden="1"/>
    </xf>
    <xf numFmtId="178" fontId="14" fillId="4" borderId="18" xfId="4" applyNumberFormat="1" applyFont="1" applyFill="1" applyBorder="1" applyAlignment="1" applyProtection="1">
      <protection hidden="1"/>
    </xf>
    <xf numFmtId="178" fontId="14" fillId="8" borderId="0" xfId="4" applyNumberFormat="1" applyFont="1" applyFill="1" applyBorder="1" applyAlignment="1" applyProtection="1">
      <protection locked="0"/>
    </xf>
    <xf numFmtId="0" fontId="31" fillId="0" borderId="0" xfId="4" applyProtection="1">
      <alignment vertical="center"/>
    </xf>
    <xf numFmtId="182" fontId="14" fillId="4" borderId="0" xfId="4" applyNumberFormat="1" applyFont="1" applyFill="1" applyBorder="1" applyAlignment="1" applyProtection="1">
      <protection hidden="1"/>
    </xf>
    <xf numFmtId="178" fontId="70" fillId="4" borderId="0" xfId="4" applyNumberFormat="1" applyFont="1" applyFill="1" applyBorder="1" applyAlignment="1" applyProtection="1">
      <protection locked="0"/>
    </xf>
    <xf numFmtId="178" fontId="14" fillId="4" borderId="0" xfId="4" applyNumberFormat="1" applyFont="1" applyFill="1" applyBorder="1" applyAlignment="1" applyProtection="1">
      <protection locked="0"/>
    </xf>
    <xf numFmtId="0" fontId="11" fillId="4" borderId="0" xfId="4" applyFont="1" applyFill="1" applyAlignment="1" applyProtection="1">
      <alignment horizontal="right" vertical="center"/>
    </xf>
    <xf numFmtId="0" fontId="51" fillId="4" borderId="0" xfId="4" applyFont="1" applyFill="1" applyProtection="1">
      <alignment vertical="center"/>
      <protection hidden="1"/>
    </xf>
    <xf numFmtId="178" fontId="14" fillId="4" borderId="22" xfId="4" applyNumberFormat="1" applyFont="1" applyFill="1" applyBorder="1" applyProtection="1">
      <alignment vertical="center"/>
      <protection hidden="1"/>
    </xf>
    <xf numFmtId="178" fontId="14" fillId="4" borderId="113" xfId="4" applyNumberFormat="1" applyFont="1" applyFill="1" applyBorder="1" applyProtection="1">
      <alignment vertical="center"/>
      <protection hidden="1"/>
    </xf>
    <xf numFmtId="178" fontId="14" fillId="4" borderId="19" xfId="4" applyNumberFormat="1" applyFont="1" applyFill="1" applyBorder="1" applyAlignment="1" applyProtection="1">
      <protection hidden="1"/>
    </xf>
    <xf numFmtId="0" fontId="14" fillId="4" borderId="0" xfId="4" applyFont="1" applyFill="1" applyProtection="1">
      <alignment vertical="center"/>
      <protection locked="0"/>
    </xf>
    <xf numFmtId="0" fontId="11" fillId="4" borderId="0" xfId="4" applyFont="1" applyFill="1" applyProtection="1">
      <alignment vertical="center"/>
    </xf>
    <xf numFmtId="167" fontId="56" fillId="9" borderId="0" xfId="4" applyNumberFormat="1" applyFont="1" applyFill="1" applyAlignment="1" applyProtection="1">
      <alignment horizontal="center"/>
      <protection locked="0"/>
    </xf>
    <xf numFmtId="182" fontId="50" fillId="4" borderId="0" xfId="4" applyNumberFormat="1" applyFont="1" applyFill="1" applyBorder="1" applyAlignment="1" applyProtection="1">
      <protection locked="0"/>
    </xf>
    <xf numFmtId="14" fontId="22" fillId="4" borderId="19" xfId="4" applyNumberFormat="1" applyFont="1" applyFill="1" applyBorder="1" applyAlignment="1" applyProtection="1">
      <alignment horizontal="center" vertical="center"/>
      <protection locked="0"/>
    </xf>
    <xf numFmtId="0" fontId="6" fillId="4" borderId="0" xfId="4" applyFont="1" applyFill="1" applyBorder="1" applyProtection="1">
      <alignment vertical="center"/>
    </xf>
    <xf numFmtId="178" fontId="14" fillId="4" borderId="39" xfId="4" applyNumberFormat="1" applyFont="1" applyFill="1" applyBorder="1" applyAlignment="1" applyProtection="1">
      <alignment horizontal="center" vertical="center"/>
      <protection hidden="1"/>
    </xf>
    <xf numFmtId="164" fontId="26" fillId="9" borderId="31" xfId="4" applyNumberFormat="1" applyFont="1" applyFill="1" applyBorder="1" applyAlignment="1" applyProtection="1">
      <alignment horizontal="right" vertical="center"/>
      <protection locked="0"/>
    </xf>
    <xf numFmtId="164" fontId="26" fillId="9" borderId="112" xfId="4" applyNumberFormat="1" applyFont="1" applyFill="1" applyBorder="1" applyAlignment="1" applyProtection="1">
      <alignment horizontal="right" vertical="center"/>
      <protection locked="0"/>
    </xf>
    <xf numFmtId="167" fontId="14" fillId="4" borderId="113" xfId="4" applyNumberFormat="1" applyFont="1" applyFill="1" applyBorder="1" applyAlignment="1" applyProtection="1">
      <alignment horizontal="center" vertical="center"/>
      <protection hidden="1"/>
    </xf>
    <xf numFmtId="0" fontId="31" fillId="0" borderId="0" xfId="4" applyProtection="1">
      <alignment vertical="center"/>
      <protection locked="0"/>
    </xf>
    <xf numFmtId="178" fontId="27" fillId="4" borderId="0" xfId="4" applyNumberFormat="1" applyFont="1" applyFill="1" applyBorder="1" applyAlignment="1" applyProtection="1">
      <protection locked="0"/>
    </xf>
    <xf numFmtId="178" fontId="14" fillId="4" borderId="31" xfId="4" applyNumberFormat="1" applyFont="1" applyFill="1" applyBorder="1" applyAlignment="1" applyProtection="1">
      <protection locked="0"/>
    </xf>
    <xf numFmtId="178" fontId="14" fillId="4" borderId="112" xfId="4" applyNumberFormat="1" applyFont="1" applyFill="1" applyBorder="1" applyAlignment="1" applyProtection="1">
      <protection locked="0"/>
    </xf>
    <xf numFmtId="178" fontId="14" fillId="4" borderId="18" xfId="4" applyNumberFormat="1" applyFont="1" applyFill="1" applyBorder="1" applyAlignment="1" applyProtection="1">
      <protection locked="0"/>
    </xf>
    <xf numFmtId="0" fontId="51" fillId="4" borderId="0" xfId="4" applyFont="1" applyFill="1" applyProtection="1">
      <alignment vertical="center"/>
      <protection locked="0"/>
    </xf>
    <xf numFmtId="178" fontId="14" fillId="4" borderId="39" xfId="4" applyNumberFormat="1" applyFont="1" applyFill="1" applyBorder="1" applyAlignment="1" applyProtection="1">
      <alignment horizontal="right"/>
      <protection locked="0"/>
    </xf>
    <xf numFmtId="178" fontId="14" fillId="4" borderId="22" xfId="4" applyNumberFormat="1" applyFont="1" applyFill="1" applyBorder="1" applyAlignment="1" applyProtection="1">
      <protection locked="0"/>
    </xf>
    <xf numFmtId="178" fontId="14" fillId="4" borderId="113" xfId="4" applyNumberFormat="1" applyFont="1" applyFill="1" applyBorder="1" applyAlignment="1" applyProtection="1">
      <protection locked="0"/>
    </xf>
    <xf numFmtId="178" fontId="14" fillId="4" borderId="19" xfId="4" applyNumberFormat="1" applyFont="1" applyFill="1" applyBorder="1" applyAlignment="1" applyProtection="1">
      <protection locked="0"/>
    </xf>
    <xf numFmtId="0" fontId="6" fillId="4" borderId="0" xfId="4" applyFont="1" applyFill="1" applyProtection="1">
      <alignment vertical="center"/>
      <protection locked="0"/>
    </xf>
    <xf numFmtId="14" fontId="22" fillId="4" borderId="0" xfId="4" applyNumberFormat="1" applyFont="1" applyFill="1" applyAlignment="1" applyProtection="1">
      <alignment horizontal="center" vertical="center"/>
      <protection locked="0"/>
    </xf>
    <xf numFmtId="0" fontId="15" fillId="4" borderId="0" xfId="4" applyFont="1" applyFill="1" applyBorder="1" applyAlignment="1" applyProtection="1">
      <alignment horizontal="left"/>
    </xf>
    <xf numFmtId="0" fontId="11" fillId="4" borderId="0" xfId="4" applyFont="1" applyFill="1" applyBorder="1" applyAlignment="1" applyProtection="1">
      <alignment horizontal="center" vertical="center"/>
      <protection locked="0"/>
    </xf>
    <xf numFmtId="0" fontId="11" fillId="4" borderId="0" xfId="4" applyFont="1" applyFill="1" applyBorder="1" applyAlignment="1" applyProtection="1">
      <alignment horizontal="center"/>
      <protection locked="0"/>
    </xf>
    <xf numFmtId="178" fontId="50" fillId="4" borderId="0" xfId="4" applyNumberFormat="1" applyFont="1" applyFill="1" applyBorder="1" applyAlignment="1" applyProtection="1">
      <alignment horizontal="right" vertical="center"/>
      <protection locked="0"/>
    </xf>
    <xf numFmtId="178" fontId="50" fillId="4" borderId="31" xfId="4" applyNumberFormat="1" applyFont="1" applyFill="1" applyBorder="1" applyAlignment="1" applyProtection="1">
      <alignment horizontal="center" vertical="center"/>
      <protection locked="0"/>
    </xf>
    <xf numFmtId="179" fontId="18" fillId="4" borderId="0" xfId="4" applyNumberFormat="1" applyFont="1" applyFill="1" applyAlignment="1" applyProtection="1">
      <alignment horizontal="left"/>
    </xf>
    <xf numFmtId="178" fontId="14" fillId="4" borderId="0" xfId="4" applyNumberFormat="1" applyFont="1" applyFill="1" applyAlignment="1" applyProtection="1">
      <protection locked="0"/>
    </xf>
    <xf numFmtId="178" fontId="6" fillId="4" borderId="0" xfId="4" applyNumberFormat="1" applyFont="1" applyFill="1" applyBorder="1" applyProtection="1">
      <alignment vertical="center"/>
      <protection locked="0"/>
    </xf>
    <xf numFmtId="178" fontId="71" fillId="4" borderId="113" xfId="4" applyNumberFormat="1" applyFont="1" applyFill="1" applyBorder="1" applyAlignment="1" applyProtection="1">
      <alignment horizontal="right"/>
      <protection locked="0"/>
    </xf>
    <xf numFmtId="0" fontId="31" fillId="4" borderId="0" xfId="4" applyFill="1" applyBorder="1" applyProtection="1">
      <alignment vertical="center"/>
      <protection locked="0"/>
    </xf>
    <xf numFmtId="0" fontId="15" fillId="4" borderId="0" xfId="4" applyFont="1" applyFill="1" applyProtection="1">
      <alignment vertical="center"/>
    </xf>
    <xf numFmtId="178" fontId="14" fillId="4" borderId="22" xfId="4" applyNumberFormat="1" applyFont="1" applyFill="1" applyBorder="1" applyAlignment="1" applyProtection="1">
      <alignment horizontal="right"/>
      <protection locked="0"/>
    </xf>
    <xf numFmtId="164" fontId="26" fillId="9" borderId="0" xfId="4" applyNumberFormat="1" applyFont="1" applyFill="1" applyBorder="1" applyAlignment="1" applyProtection="1">
      <alignment horizontal="right"/>
      <protection locked="0"/>
    </xf>
    <xf numFmtId="164" fontId="26" fillId="9" borderId="18" xfId="4" applyNumberFormat="1" applyFont="1" applyFill="1" applyBorder="1" applyAlignment="1" applyProtection="1">
      <alignment horizontal="right"/>
      <protection locked="0"/>
    </xf>
    <xf numFmtId="14" fontId="22" fillId="4" borderId="31" xfId="4" applyNumberFormat="1" applyFont="1" applyFill="1" applyBorder="1" applyAlignment="1" applyProtection="1">
      <alignment horizontal="center" vertical="center"/>
      <protection locked="0"/>
    </xf>
    <xf numFmtId="0" fontId="51" fillId="4" borderId="0" xfId="4" applyFont="1" applyFill="1" applyBorder="1" applyProtection="1">
      <alignment vertical="center"/>
      <protection locked="0"/>
    </xf>
    <xf numFmtId="0" fontId="18" fillId="4" borderId="0" xfId="4" applyFont="1" applyFill="1" applyProtection="1">
      <alignment vertical="center"/>
    </xf>
    <xf numFmtId="0" fontId="11" fillId="4" borderId="0" xfId="4" applyFont="1" applyFill="1" applyBorder="1" applyAlignment="1" applyProtection="1">
      <alignment horizontal="right" vertical="center"/>
    </xf>
    <xf numFmtId="164" fontId="26" fillId="9" borderId="0" xfId="4" applyNumberFormat="1" applyFont="1" applyFill="1" applyBorder="1" applyAlignment="1" applyProtection="1">
      <alignment horizontal="right" vertical="center"/>
      <protection locked="0"/>
    </xf>
    <xf numFmtId="164" fontId="26" fillId="9" borderId="18" xfId="4" applyNumberFormat="1" applyFont="1" applyFill="1" applyBorder="1" applyAlignment="1" applyProtection="1">
      <alignment horizontal="right" vertical="center"/>
      <protection locked="0"/>
    </xf>
    <xf numFmtId="178" fontId="14" fillId="4" borderId="113" xfId="4" applyNumberFormat="1" applyFont="1" applyFill="1" applyBorder="1" applyAlignment="1" applyProtection="1">
      <alignment horizontal="right"/>
      <protection locked="0"/>
    </xf>
    <xf numFmtId="0" fontId="66" fillId="4" borderId="0" xfId="4" applyFont="1" applyFill="1" applyProtection="1">
      <alignment vertical="center"/>
    </xf>
    <xf numFmtId="180" fontId="26" fillId="9" borderId="31" xfId="4" applyNumberFormat="1" applyFont="1" applyFill="1" applyBorder="1" applyAlignment="1" applyProtection="1">
      <alignment horizontal="right" vertical="center"/>
      <protection locked="0"/>
    </xf>
    <xf numFmtId="180" fontId="26" fillId="9" borderId="112" xfId="4" applyNumberFormat="1" applyFont="1" applyFill="1" applyBorder="1" applyAlignment="1" applyProtection="1">
      <alignment horizontal="right" vertical="center"/>
      <protection locked="0"/>
    </xf>
    <xf numFmtId="180" fontId="26" fillId="9" borderId="19" xfId="4" applyNumberFormat="1" applyFont="1" applyFill="1" applyBorder="1" applyAlignment="1" applyProtection="1">
      <alignment horizontal="right" vertical="center"/>
      <protection locked="0"/>
    </xf>
    <xf numFmtId="0" fontId="15" fillId="4" borderId="0" xfId="4" applyFont="1" applyFill="1" applyAlignment="1" applyProtection="1">
      <alignment horizontal="left" vertical="center"/>
    </xf>
    <xf numFmtId="0" fontId="66" fillId="4" borderId="0" xfId="4" applyFont="1" applyFill="1" applyProtection="1">
      <alignment vertical="center"/>
      <protection locked="0"/>
    </xf>
    <xf numFmtId="0" fontId="56" fillId="9" borderId="0" xfId="4" applyFont="1" applyFill="1" applyAlignment="1" applyProtection="1">
      <alignment horizontal="center" vertical="center"/>
      <protection locked="0"/>
    </xf>
    <xf numFmtId="0" fontId="51" fillId="4" borderId="0" xfId="4" applyFont="1" applyFill="1" applyAlignment="1" applyProtection="1">
      <alignment horizontal="center" vertical="center"/>
      <protection locked="0"/>
    </xf>
    <xf numFmtId="178" fontId="14" fillId="4" borderId="24" xfId="4" applyNumberFormat="1" applyFont="1" applyFill="1" applyBorder="1" applyProtection="1">
      <alignment vertical="center"/>
      <protection locked="0"/>
    </xf>
    <xf numFmtId="180" fontId="26" fillId="9" borderId="20" xfId="4" applyNumberFormat="1" applyFont="1" applyFill="1" applyBorder="1" applyAlignment="1" applyProtection="1">
      <alignment horizontal="right" vertical="center"/>
      <protection locked="0"/>
    </xf>
    <xf numFmtId="180" fontId="26" fillId="9" borderId="25" xfId="4" applyNumberFormat="1" applyFont="1" applyFill="1" applyBorder="1" applyAlignment="1" applyProtection="1">
      <alignment horizontal="right" vertical="center"/>
      <protection locked="0"/>
    </xf>
    <xf numFmtId="0" fontId="51" fillId="4" borderId="0" xfId="4" applyFont="1" applyFill="1" applyAlignment="1" applyProtection="1">
      <alignment horizontal="right" vertical="center"/>
    </xf>
    <xf numFmtId="178" fontId="6" fillId="4" borderId="0" xfId="4" applyNumberFormat="1" applyFont="1" applyFill="1" applyProtection="1">
      <alignment vertical="center"/>
      <protection locked="0"/>
    </xf>
    <xf numFmtId="178" fontId="14" fillId="4" borderId="39" xfId="4" applyNumberFormat="1" applyFont="1" applyFill="1" applyBorder="1" applyProtection="1">
      <alignment vertical="center"/>
      <protection locked="0"/>
    </xf>
    <xf numFmtId="178" fontId="14" fillId="4" borderId="31" xfId="4" applyNumberFormat="1" applyFont="1" applyFill="1" applyBorder="1" applyProtection="1">
      <alignment vertical="center"/>
      <protection locked="0"/>
    </xf>
    <xf numFmtId="178" fontId="14" fillId="4" borderId="112" xfId="4" applyNumberFormat="1" applyFont="1" applyFill="1" applyBorder="1" applyProtection="1">
      <alignment vertical="center"/>
      <protection locked="0"/>
    </xf>
    <xf numFmtId="178" fontId="14" fillId="8" borderId="22" xfId="4" applyNumberFormat="1" applyFont="1" applyFill="1" applyBorder="1" applyProtection="1">
      <alignment vertical="center"/>
      <protection locked="0"/>
    </xf>
    <xf numFmtId="178" fontId="14" fillId="4" borderId="18" xfId="4" applyNumberFormat="1" applyFont="1" applyFill="1" applyBorder="1" applyProtection="1">
      <alignment vertical="center"/>
      <protection locked="0"/>
    </xf>
    <xf numFmtId="178" fontId="14" fillId="8" borderId="0" xfId="4" applyNumberFormat="1" applyFont="1" applyFill="1" applyBorder="1" applyProtection="1">
      <alignment vertical="center"/>
      <protection locked="0"/>
    </xf>
    <xf numFmtId="0" fontId="51" fillId="4" borderId="0" xfId="4" applyFont="1" applyFill="1" applyBorder="1" applyAlignment="1" applyProtection="1">
      <alignment horizontal="right" vertical="center"/>
    </xf>
    <xf numFmtId="178" fontId="14" fillId="4" borderId="39" xfId="4" applyNumberFormat="1" applyFont="1" applyFill="1" applyBorder="1" applyAlignment="1" applyProtection="1">
      <alignment horizontal="right" vertical="center"/>
      <protection locked="0"/>
    </xf>
    <xf numFmtId="178" fontId="14" fillId="4" borderId="113" xfId="4" applyNumberFormat="1" applyFont="1" applyFill="1" applyBorder="1" applyAlignment="1" applyProtection="1">
      <alignment horizontal="right" vertical="center"/>
      <protection locked="0"/>
    </xf>
    <xf numFmtId="178" fontId="14" fillId="4" borderId="19" xfId="4" applyNumberFormat="1" applyFont="1" applyFill="1" applyBorder="1" applyProtection="1">
      <alignment vertical="center"/>
      <protection locked="0"/>
    </xf>
    <xf numFmtId="0" fontId="62" fillId="4" borderId="0" xfId="4" applyFont="1" applyFill="1" applyBorder="1" applyProtection="1">
      <alignment vertical="center"/>
      <protection locked="0"/>
    </xf>
    <xf numFmtId="0" fontId="14" fillId="4" borderId="0" xfId="0" applyFont="1" applyFill="1" applyAlignment="1" applyProtection="1">
      <alignment vertical="center"/>
      <protection locked="0"/>
    </xf>
    <xf numFmtId="0" fontId="72" fillId="11" borderId="34" xfId="4" applyFont="1" applyFill="1" applyBorder="1" applyProtection="1">
      <alignment vertical="center"/>
      <protection locked="0"/>
    </xf>
    <xf numFmtId="0" fontId="15" fillId="11" borderId="34" xfId="4" applyFont="1" applyFill="1" applyBorder="1" applyAlignment="1" applyProtection="1">
      <alignment horizontal="center" vertical="center"/>
      <protection locked="0"/>
    </xf>
    <xf numFmtId="0" fontId="72" fillId="11" borderId="34" xfId="4" applyFont="1" applyFill="1" applyBorder="1" applyAlignment="1" applyProtection="1">
      <alignment horizontal="center" vertical="center"/>
      <protection locked="0"/>
    </xf>
    <xf numFmtId="0" fontId="6" fillId="4" borderId="0" xfId="4" applyFont="1" applyFill="1" applyBorder="1" applyAlignment="1" applyProtection="1">
      <alignment vertical="center"/>
      <protection locked="0"/>
    </xf>
    <xf numFmtId="0" fontId="49" fillId="4" borderId="106" xfId="4" applyFont="1" applyFill="1" applyBorder="1" applyAlignment="1" applyProtection="1">
      <alignment horizontal="center" vertical="center"/>
      <protection locked="0"/>
    </xf>
    <xf numFmtId="0" fontId="73" fillId="4" borderId="75" xfId="4" applyFont="1" applyFill="1" applyBorder="1" applyAlignment="1" applyProtection="1">
      <alignment horizontal="center" vertical="center"/>
      <protection locked="0"/>
    </xf>
    <xf numFmtId="0" fontId="74" fillId="4" borderId="77" xfId="4" applyFont="1" applyFill="1" applyBorder="1" applyAlignment="1" applyProtection="1">
      <alignment horizontal="center" vertical="center"/>
      <protection locked="0"/>
    </xf>
    <xf numFmtId="0" fontId="27" fillId="4" borderId="77" xfId="4" applyFont="1" applyFill="1" applyBorder="1" applyAlignment="1" applyProtection="1">
      <alignment horizontal="center" vertical="center"/>
      <protection locked="0"/>
    </xf>
    <xf numFmtId="0" fontId="27" fillId="4" borderId="34" xfId="4" applyFont="1" applyFill="1" applyBorder="1" applyProtection="1">
      <alignment vertical="center"/>
      <protection locked="0"/>
    </xf>
    <xf numFmtId="0" fontId="11" fillId="4" borderId="34" xfId="4" applyFont="1" applyFill="1" applyBorder="1" applyAlignment="1" applyProtection="1">
      <alignment horizontal="center" vertical="center"/>
      <protection locked="0"/>
    </xf>
    <xf numFmtId="0" fontId="11" fillId="4" borderId="60" xfId="4" applyFont="1" applyFill="1" applyBorder="1" applyAlignment="1" applyProtection="1">
      <alignment horizontal="center" vertical="center"/>
      <protection locked="0"/>
    </xf>
    <xf numFmtId="175" fontId="26" fillId="9" borderId="32" xfId="0" applyNumberFormat="1" applyFont="1" applyFill="1" applyBorder="1" applyAlignment="1" applyProtection="1">
      <alignment horizontal="right" vertical="center"/>
      <protection locked="0"/>
    </xf>
    <xf numFmtId="175" fontId="26" fillId="9" borderId="67" xfId="0" applyNumberFormat="1" applyFont="1" applyFill="1" applyBorder="1" applyAlignment="1" applyProtection="1">
      <alignment horizontal="right" vertical="center"/>
      <protection locked="0"/>
    </xf>
    <xf numFmtId="175" fontId="26" fillId="9" borderId="59" xfId="0" applyNumberFormat="1" applyFont="1" applyFill="1" applyBorder="1" applyAlignment="1" applyProtection="1">
      <alignment horizontal="right" vertical="center"/>
      <protection locked="0"/>
    </xf>
    <xf numFmtId="175" fontId="26" fillId="9" borderId="43" xfId="0" applyNumberFormat="1" applyFont="1" applyFill="1" applyBorder="1" applyAlignment="1" applyProtection="1">
      <alignment horizontal="right" vertical="center"/>
      <protection locked="0"/>
    </xf>
    <xf numFmtId="0" fontId="25" fillId="4" borderId="34" xfId="4" applyFont="1" applyFill="1" applyBorder="1" applyAlignment="1" applyProtection="1">
      <alignment horizontal="center" vertical="center"/>
      <protection locked="0"/>
    </xf>
    <xf numFmtId="0" fontId="6" fillId="4" borderId="34" xfId="4" applyFont="1" applyFill="1" applyBorder="1" applyAlignment="1" applyProtection="1">
      <alignment horizontal="center" vertical="center"/>
      <protection locked="0"/>
    </xf>
    <xf numFmtId="0" fontId="74" fillId="4" borderId="0" xfId="4" applyFont="1" applyFill="1" applyBorder="1" applyAlignment="1" applyProtection="1">
      <alignment vertical="center" wrapText="1"/>
      <protection locked="0"/>
    </xf>
    <xf numFmtId="175" fontId="26" fillId="9" borderId="121" xfId="0" applyNumberFormat="1" applyFont="1" applyFill="1" applyBorder="1" applyAlignment="1" applyProtection="1">
      <alignment horizontal="right" vertical="center"/>
      <protection locked="0"/>
    </xf>
    <xf numFmtId="175" fontId="26" fillId="9" borderId="122" xfId="0" applyNumberFormat="1" applyFont="1" applyFill="1" applyBorder="1" applyAlignment="1" applyProtection="1">
      <alignment horizontal="right" vertical="center"/>
      <protection locked="0"/>
    </xf>
    <xf numFmtId="0" fontId="15" fillId="4" borderId="60" xfId="4" applyFont="1" applyFill="1" applyBorder="1" applyProtection="1">
      <alignment vertical="center"/>
      <protection locked="0"/>
    </xf>
    <xf numFmtId="0" fontId="6" fillId="4" borderId="74" xfId="4" applyFont="1" applyFill="1" applyBorder="1" applyAlignment="1" applyProtection="1">
      <alignment horizontal="center" vertical="center"/>
      <protection locked="0"/>
    </xf>
    <xf numFmtId="0" fontId="27" fillId="4" borderId="74" xfId="4" applyFont="1" applyFill="1" applyBorder="1" applyAlignment="1" applyProtection="1">
      <alignment horizontal="center" vertical="center"/>
      <protection locked="0"/>
    </xf>
    <xf numFmtId="0" fontId="25" fillId="4" borderId="34" xfId="4" applyFont="1" applyFill="1" applyBorder="1" applyAlignment="1" applyProtection="1">
      <alignment horizontal="center" vertical="center" wrapText="1"/>
      <protection locked="0"/>
    </xf>
    <xf numFmtId="175" fontId="26" fillId="9" borderId="55" xfId="0" applyNumberFormat="1" applyFont="1" applyFill="1" applyBorder="1" applyAlignment="1" applyProtection="1">
      <alignment horizontal="right" vertical="center"/>
      <protection locked="0"/>
    </xf>
    <xf numFmtId="175" fontId="26" fillId="9" borderId="45" xfId="0" applyNumberFormat="1" applyFont="1" applyFill="1" applyBorder="1" applyAlignment="1" applyProtection="1">
      <alignment horizontal="right" vertical="center"/>
      <protection locked="0"/>
    </xf>
    <xf numFmtId="0" fontId="6" fillId="4" borderId="34" xfId="4" applyFont="1" applyFill="1" applyBorder="1" applyProtection="1">
      <alignment vertical="center"/>
      <protection locked="0"/>
    </xf>
    <xf numFmtId="0" fontId="18" fillId="4" borderId="74" xfId="4" applyFont="1" applyFill="1" applyBorder="1" applyAlignment="1" applyProtection="1">
      <alignment horizontal="center" vertical="center"/>
      <protection locked="0"/>
    </xf>
    <xf numFmtId="0" fontId="73" fillId="4" borderId="74" xfId="4" applyFont="1" applyFill="1" applyBorder="1" applyAlignment="1" applyProtection="1">
      <alignment horizontal="center" vertical="center"/>
      <protection locked="0"/>
    </xf>
    <xf numFmtId="0" fontId="18" fillId="4" borderId="0" xfId="4" applyFont="1" applyFill="1" applyBorder="1" applyAlignment="1" applyProtection="1">
      <alignment horizontal="center" vertical="center"/>
      <protection locked="0"/>
    </xf>
    <xf numFmtId="0" fontId="75" fillId="4" borderId="0" xfId="4" applyFont="1" applyFill="1" applyBorder="1" applyAlignment="1" applyProtection="1">
      <alignment horizontal="center" vertical="center"/>
      <protection locked="0"/>
    </xf>
    <xf numFmtId="14" fontId="14" fillId="4" borderId="0" xfId="0" applyNumberFormat="1" applyFont="1" applyFill="1" applyAlignment="1" applyProtection="1">
      <alignment vertical="center"/>
      <protection locked="0"/>
    </xf>
    <xf numFmtId="0" fontId="49" fillId="4" borderId="58" xfId="4" applyFont="1" applyFill="1" applyBorder="1" applyAlignment="1" applyProtection="1">
      <alignment horizontal="center" vertical="center"/>
      <protection locked="0"/>
    </xf>
    <xf numFmtId="0" fontId="6" fillId="4" borderId="0" xfId="4" applyFont="1" applyFill="1" applyBorder="1" applyAlignment="1" applyProtection="1">
      <alignment horizontal="center" vertical="center"/>
      <protection locked="0"/>
    </xf>
    <xf numFmtId="0" fontId="27" fillId="4" borderId="0" xfId="4" applyFont="1" applyFill="1" applyBorder="1" applyAlignment="1" applyProtection="1">
      <alignment horizontal="center" vertical="center"/>
      <protection locked="0"/>
    </xf>
    <xf numFmtId="0" fontId="6" fillId="4" borderId="67" xfId="4" applyFont="1" applyFill="1" applyBorder="1" applyAlignment="1" applyProtection="1">
      <alignment horizontal="center" vertical="center"/>
      <protection locked="0"/>
    </xf>
    <xf numFmtId="0" fontId="37" fillId="4" borderId="0" xfId="4" applyFont="1" applyFill="1" applyBorder="1" applyAlignment="1" applyProtection="1">
      <alignment vertical="center" wrapText="1"/>
      <protection locked="0"/>
    </xf>
    <xf numFmtId="0" fontId="76" fillId="4" borderId="74" xfId="4" applyFont="1" applyFill="1" applyBorder="1" applyAlignment="1" applyProtection="1">
      <alignment horizontal="center" vertical="center"/>
      <protection locked="0"/>
    </xf>
    <xf numFmtId="175" fontId="26" fillId="9" borderId="123" xfId="0" applyNumberFormat="1" applyFont="1" applyFill="1" applyBorder="1" applyAlignment="1" applyProtection="1">
      <alignment horizontal="right" vertical="center"/>
      <protection locked="0"/>
    </xf>
    <xf numFmtId="175" fontId="26" fillId="9" borderId="124" xfId="0" applyNumberFormat="1" applyFont="1" applyFill="1" applyBorder="1" applyAlignment="1" applyProtection="1">
      <alignment horizontal="right" vertical="center"/>
      <protection locked="0"/>
    </xf>
    <xf numFmtId="0" fontId="6" fillId="4" borderId="0" xfId="4" applyFont="1" applyFill="1" applyBorder="1" applyAlignment="1">
      <alignment vertical="center" wrapText="1"/>
    </xf>
    <xf numFmtId="0" fontId="18" fillId="4" borderId="0" xfId="4" applyFont="1" applyFill="1" applyBorder="1" applyAlignment="1">
      <alignment vertical="center" wrapText="1"/>
    </xf>
    <xf numFmtId="0" fontId="14" fillId="4" borderId="0" xfId="0" applyFont="1" applyFill="1" applyAlignment="1">
      <alignment vertical="center" wrapText="1"/>
    </xf>
    <xf numFmtId="0" fontId="14" fillId="4" borderId="0" xfId="0" applyFont="1" applyFill="1" applyAlignment="1">
      <alignment vertical="center"/>
    </xf>
    <xf numFmtId="0" fontId="6" fillId="4" borderId="0" xfId="4" applyFont="1" applyFill="1" applyBorder="1" applyAlignment="1" applyProtection="1">
      <alignment vertical="center" wrapText="1"/>
      <protection locked="0"/>
    </xf>
    <xf numFmtId="0" fontId="49" fillId="4" borderId="73" xfId="4" applyFont="1" applyFill="1" applyBorder="1" applyAlignment="1" applyProtection="1">
      <alignment horizontal="center" vertical="center"/>
      <protection locked="0"/>
    </xf>
    <xf numFmtId="0" fontId="27" fillId="4" borderId="0" xfId="4" applyFont="1" applyFill="1" applyBorder="1" applyAlignment="1">
      <alignment horizontal="center" vertical="center"/>
    </xf>
    <xf numFmtId="0" fontId="27" fillId="4" borderId="67" xfId="4" applyFont="1" applyFill="1" applyBorder="1" applyAlignment="1">
      <alignment horizontal="center" vertical="center"/>
    </xf>
    <xf numFmtId="0" fontId="25" fillId="4" borderId="34" xfId="4" applyFont="1" applyFill="1" applyBorder="1" applyAlignment="1">
      <alignment horizontal="right" vertical="center"/>
    </xf>
    <xf numFmtId="167" fontId="56" fillId="9" borderId="34" xfId="4" applyNumberFormat="1" applyFont="1" applyFill="1" applyBorder="1" applyAlignment="1" applyProtection="1">
      <alignment horizontal="center"/>
      <protection locked="0"/>
    </xf>
    <xf numFmtId="172" fontId="26" fillId="9" borderId="55" xfId="0" applyNumberFormat="1" applyFont="1" applyFill="1" applyBorder="1" applyAlignment="1" applyProtection="1">
      <alignment horizontal="right" vertical="center"/>
      <protection locked="0"/>
    </xf>
    <xf numFmtId="172" fontId="26" fillId="9" borderId="45" xfId="0" applyNumberFormat="1" applyFont="1" applyFill="1" applyBorder="1" applyAlignment="1" applyProtection="1">
      <alignment horizontal="right" vertical="center"/>
      <protection locked="0"/>
    </xf>
    <xf numFmtId="172" fontId="26" fillId="9" borderId="121" xfId="0" applyNumberFormat="1" applyFont="1" applyFill="1" applyBorder="1" applyAlignment="1" applyProtection="1">
      <alignment horizontal="right" vertical="center"/>
      <protection locked="0"/>
    </xf>
    <xf numFmtId="172" fontId="26" fillId="9" borderId="122" xfId="0" applyNumberFormat="1" applyFont="1" applyFill="1" applyBorder="1" applyAlignment="1" applyProtection="1">
      <alignment horizontal="right" vertical="center"/>
      <protection locked="0"/>
    </xf>
    <xf numFmtId="0" fontId="25" fillId="4" borderId="0" xfId="4" applyFont="1" applyFill="1" applyBorder="1" applyAlignment="1">
      <alignment horizontal="right" vertical="center"/>
    </xf>
    <xf numFmtId="0" fontId="27" fillId="4" borderId="34" xfId="4" applyFont="1" applyFill="1" applyBorder="1" applyAlignment="1" applyProtection="1">
      <alignment horizontal="right" vertical="center" wrapText="1"/>
      <protection locked="0"/>
    </xf>
    <xf numFmtId="0" fontId="27" fillId="4" borderId="0" xfId="4" applyFont="1" applyFill="1" applyBorder="1" applyAlignment="1" applyProtection="1">
      <alignment horizontal="right" vertical="center" wrapText="1"/>
      <protection locked="0"/>
    </xf>
    <xf numFmtId="0" fontId="25" fillId="4" borderId="34" xfId="4" applyFont="1" applyFill="1" applyBorder="1" applyAlignment="1" applyProtection="1">
      <alignment horizontal="right" vertical="center" wrapText="1"/>
      <protection locked="0"/>
    </xf>
    <xf numFmtId="0" fontId="27" fillId="4" borderId="73" xfId="4" applyFont="1" applyFill="1" applyBorder="1" applyAlignment="1" applyProtection="1">
      <alignment horizontal="center" vertical="center" wrapText="1"/>
      <protection locked="0"/>
    </xf>
    <xf numFmtId="0" fontId="76" fillId="4" borderId="73" xfId="4" applyFont="1" applyFill="1" applyBorder="1" applyProtection="1">
      <alignment vertical="center"/>
      <protection locked="0"/>
    </xf>
    <xf numFmtId="0" fontId="11" fillId="4" borderId="60" xfId="4" applyFont="1" applyFill="1" applyBorder="1" applyAlignment="1" applyProtection="1">
      <alignment horizontal="right" vertical="center" wrapText="1"/>
      <protection locked="0"/>
    </xf>
    <xf numFmtId="0" fontId="27" fillId="4" borderId="67" xfId="4" applyFont="1" applyFill="1" applyBorder="1" applyAlignment="1" applyProtection="1">
      <alignment horizontal="center" vertical="center"/>
      <protection locked="0"/>
    </xf>
    <xf numFmtId="0" fontId="6" fillId="4" borderId="0" xfId="4" applyFont="1" applyFill="1" applyBorder="1" applyAlignment="1" applyProtection="1">
      <alignment horizontal="right" vertical="center"/>
      <protection locked="0"/>
    </xf>
    <xf numFmtId="172" fontId="26" fillId="9" borderId="123" xfId="0" applyNumberFormat="1" applyFont="1" applyFill="1" applyBorder="1" applyAlignment="1" applyProtection="1">
      <alignment horizontal="right" vertical="center"/>
      <protection locked="0"/>
    </xf>
    <xf numFmtId="172" fontId="26" fillId="9" borderId="124" xfId="0" applyNumberFormat="1" applyFont="1" applyFill="1" applyBorder="1" applyAlignment="1" applyProtection="1">
      <alignment horizontal="right" vertical="center"/>
      <protection locked="0"/>
    </xf>
    <xf numFmtId="0" fontId="76" fillId="4" borderId="0" xfId="4" applyFont="1" applyFill="1" applyBorder="1" applyProtection="1">
      <alignment vertical="center"/>
      <protection locked="0"/>
    </xf>
    <xf numFmtId="172" fontId="26" fillId="9" borderId="59" xfId="0" applyNumberFormat="1" applyFont="1" applyFill="1" applyBorder="1" applyAlignment="1" applyProtection="1">
      <alignment horizontal="right" vertical="center"/>
      <protection locked="0"/>
    </xf>
    <xf numFmtId="172" fontId="26" fillId="9" borderId="43" xfId="0" applyNumberFormat="1" applyFont="1" applyFill="1" applyBorder="1" applyAlignment="1" applyProtection="1">
      <alignment horizontal="right" vertical="center"/>
      <protection locked="0"/>
    </xf>
    <xf numFmtId="0" fontId="27" fillId="4" borderId="0" xfId="4" applyFont="1" applyFill="1" applyBorder="1" applyProtection="1">
      <alignment vertical="center"/>
      <protection locked="0"/>
    </xf>
    <xf numFmtId="0" fontId="75" fillId="4" borderId="0" xfId="4" applyFont="1" applyFill="1" applyBorder="1" applyProtection="1">
      <alignment vertical="center"/>
      <protection locked="0"/>
    </xf>
    <xf numFmtId="0" fontId="25" fillId="4" borderId="34" xfId="4" applyFont="1" applyFill="1" applyBorder="1" applyAlignment="1" applyProtection="1">
      <alignment horizontal="right" vertical="center"/>
      <protection locked="0"/>
    </xf>
    <xf numFmtId="0" fontId="56" fillId="9" borderId="34" xfId="4" applyFont="1" applyFill="1" applyBorder="1" applyAlignment="1" applyProtection="1">
      <alignment horizontal="center" vertical="center"/>
      <protection locked="0"/>
    </xf>
    <xf numFmtId="0" fontId="27" fillId="4" borderId="60" xfId="4" applyFont="1" applyFill="1" applyBorder="1" applyAlignment="1" applyProtection="1">
      <alignment horizontal="right" vertical="center"/>
      <protection locked="0"/>
    </xf>
    <xf numFmtId="0" fontId="11" fillId="4" borderId="34" xfId="4" applyFont="1" applyFill="1" applyBorder="1" applyAlignment="1">
      <alignment horizontal="right" vertical="center"/>
    </xf>
    <xf numFmtId="170" fontId="11" fillId="4" borderId="34" xfId="4" applyNumberFormat="1" applyFont="1" applyFill="1" applyBorder="1" applyAlignment="1" applyProtection="1">
      <alignment horizontal="right" vertical="center"/>
      <protection locked="0"/>
    </xf>
    <xf numFmtId="170" fontId="6" fillId="4" borderId="34" xfId="4" applyNumberFormat="1" applyFont="1" applyFill="1" applyBorder="1" applyAlignment="1" applyProtection="1">
      <alignment horizontal="right" vertical="center"/>
      <protection locked="0"/>
    </xf>
    <xf numFmtId="178" fontId="56" fillId="9" borderId="34" xfId="4" applyNumberFormat="1" applyFont="1" applyFill="1" applyBorder="1" applyAlignment="1" applyProtection="1">
      <alignment horizontal="right" vertical="center"/>
      <protection locked="0"/>
    </xf>
    <xf numFmtId="0" fontId="5" fillId="0" borderId="0" xfId="0" applyFont="1"/>
    <xf numFmtId="0" fontId="55" fillId="4" borderId="0" xfId="4" applyFont="1" applyFill="1" applyBorder="1" applyProtection="1">
      <alignment vertical="center"/>
      <protection locked="0"/>
    </xf>
    <xf numFmtId="0" fontId="6" fillId="4" borderId="125" xfId="4" applyFont="1" applyFill="1" applyBorder="1" applyProtection="1">
      <alignment vertical="center"/>
    </xf>
    <xf numFmtId="14" fontId="11" fillId="4" borderId="0" xfId="4" applyNumberFormat="1" applyFont="1" applyFill="1" applyBorder="1" applyAlignment="1" applyProtection="1">
      <alignment horizontal="left" vertical="center"/>
    </xf>
    <xf numFmtId="14" fontId="22" fillId="4" borderId="0" xfId="4" applyNumberFormat="1" applyFont="1" applyFill="1" applyBorder="1" applyAlignment="1" applyProtection="1">
      <alignment horizontal="center" vertical="center"/>
    </xf>
    <xf numFmtId="173" fontId="22" fillId="7" borderId="20" xfId="4" applyNumberFormat="1" applyFont="1" applyFill="1" applyBorder="1" applyAlignment="1" applyProtection="1">
      <alignment horizontal="center" vertical="center"/>
    </xf>
    <xf numFmtId="0" fontId="15" fillId="4" borderId="0" xfId="4" applyFont="1" applyFill="1" applyBorder="1" applyProtection="1">
      <alignment vertical="center"/>
    </xf>
    <xf numFmtId="0" fontId="18" fillId="4" borderId="0" xfId="4" applyFont="1" applyFill="1" applyBorder="1" applyProtection="1">
      <alignment vertical="center"/>
    </xf>
    <xf numFmtId="0" fontId="6" fillId="4" borderId="0" xfId="4" applyFont="1" applyFill="1" applyBorder="1" applyAlignment="1" applyProtection="1">
      <alignment horizontal="right" vertical="center"/>
    </xf>
    <xf numFmtId="0" fontId="11" fillId="4" borderId="125" xfId="4" applyFont="1" applyFill="1" applyBorder="1" applyProtection="1">
      <alignment vertical="center"/>
    </xf>
    <xf numFmtId="0" fontId="15" fillId="4" borderId="125" xfId="4" applyFont="1" applyFill="1" applyBorder="1" applyProtection="1">
      <alignment vertical="center"/>
    </xf>
    <xf numFmtId="178" fontId="0" fillId="4" borderId="0" xfId="0" applyNumberFormat="1" applyFill="1"/>
    <xf numFmtId="10" fontId="14" fillId="4" borderId="0" xfId="4" applyNumberFormat="1" applyFont="1" applyFill="1" applyBorder="1" applyProtection="1">
      <alignment vertical="center"/>
    </xf>
    <xf numFmtId="10" fontId="77" fillId="4" borderId="0" xfId="4" applyNumberFormat="1" applyFont="1" applyFill="1" applyBorder="1" applyProtection="1">
      <alignment vertical="center"/>
    </xf>
    <xf numFmtId="178" fontId="6" fillId="4" borderId="0" xfId="4" applyNumberFormat="1" applyFont="1" applyFill="1" applyBorder="1" applyProtection="1">
      <alignment vertical="center"/>
    </xf>
    <xf numFmtId="0" fontId="18" fillId="4" borderId="125" xfId="4" applyFont="1" applyFill="1" applyBorder="1" applyProtection="1">
      <alignment vertical="center"/>
    </xf>
    <xf numFmtId="0" fontId="15" fillId="4" borderId="125" xfId="4" applyFont="1" applyFill="1" applyBorder="1" applyAlignment="1" applyProtection="1">
      <alignment horizontal="right" vertical="center"/>
    </xf>
    <xf numFmtId="0" fontId="78" fillId="4" borderId="125" xfId="4" applyFont="1" applyFill="1" applyBorder="1" applyAlignment="1" applyProtection="1">
      <alignment horizontal="right" vertical="center"/>
    </xf>
    <xf numFmtId="178" fontId="71" fillId="4" borderId="0" xfId="4" applyNumberFormat="1" applyFont="1" applyFill="1" applyBorder="1" applyProtection="1">
      <alignment vertical="center"/>
    </xf>
    <xf numFmtId="172" fontId="14" fillId="4" borderId="0" xfId="0" applyNumberFormat="1" applyFont="1" applyFill="1" applyBorder="1" applyAlignment="1" applyProtection="1">
      <alignment vertical="center"/>
    </xf>
    <xf numFmtId="0" fontId="76" fillId="4" borderId="125" xfId="4" applyFont="1" applyFill="1" applyBorder="1" applyAlignment="1" applyProtection="1">
      <alignment horizontal="right" vertical="center"/>
    </xf>
    <xf numFmtId="178" fontId="30" fillId="4" borderId="0" xfId="3" applyNumberFormat="1" applyFont="1" applyFill="1" applyProtection="1">
      <alignment vertical="center"/>
    </xf>
    <xf numFmtId="178" fontId="14" fillId="4" borderId="0" xfId="3" applyNumberFormat="1" applyFont="1" applyFill="1" applyProtection="1">
      <alignment vertical="center"/>
    </xf>
    <xf numFmtId="0" fontId="11" fillId="4" borderId="125" xfId="4" applyFont="1" applyFill="1" applyBorder="1" applyAlignment="1" applyProtection="1">
      <alignment horizontal="right" vertical="center"/>
    </xf>
    <xf numFmtId="0" fontId="0" fillId="4" borderId="78" xfId="0" applyFill="1" applyBorder="1"/>
    <xf numFmtId="0" fontId="18" fillId="4" borderId="0" xfId="4" applyFont="1" applyFill="1" applyAlignment="1">
      <alignment horizontal="left" vertical="center"/>
    </xf>
    <xf numFmtId="0" fontId="11" fillId="4" borderId="125" xfId="4" applyFont="1" applyFill="1" applyBorder="1" applyAlignment="1">
      <alignment horizontal="left" vertical="center"/>
    </xf>
    <xf numFmtId="0" fontId="15" fillId="4" borderId="125" xfId="4" applyFont="1" applyFill="1" applyBorder="1" applyAlignment="1">
      <alignment horizontal="left" vertical="center"/>
    </xf>
    <xf numFmtId="0" fontId="6" fillId="4" borderId="125" xfId="4" applyFont="1" applyFill="1" applyBorder="1" applyAlignment="1">
      <alignment horizontal="left" vertical="center"/>
    </xf>
    <xf numFmtId="0" fontId="11" fillId="4" borderId="125" xfId="4" applyFont="1" applyFill="1" applyBorder="1" applyAlignment="1">
      <alignment horizontal="left" vertical="center" wrapText="1"/>
    </xf>
    <xf numFmtId="178" fontId="14" fillId="4" borderId="0" xfId="4" applyNumberFormat="1" applyFont="1" applyFill="1" applyBorder="1" applyAlignment="1" applyProtection="1">
      <alignment vertical="center" wrapText="1"/>
    </xf>
    <xf numFmtId="0" fontId="6" fillId="4" borderId="0" xfId="4" applyFont="1" applyFill="1" applyAlignment="1">
      <alignment horizontal="left" vertical="center"/>
    </xf>
    <xf numFmtId="176" fontId="14" fillId="4" borderId="0" xfId="0" applyNumberFormat="1" applyFont="1" applyFill="1" applyBorder="1" applyAlignment="1" applyProtection="1">
      <alignment vertical="center"/>
    </xf>
    <xf numFmtId="0" fontId="30" fillId="4" borderId="0" xfId="4" applyNumberFormat="1" applyFont="1" applyFill="1" applyBorder="1" applyProtection="1">
      <alignment vertical="center"/>
    </xf>
    <xf numFmtId="172" fontId="14" fillId="4" borderId="0" xfId="0" applyNumberFormat="1" applyFont="1" applyFill="1" applyAlignment="1" applyProtection="1">
      <alignment vertical="center"/>
    </xf>
    <xf numFmtId="172" fontId="30" fillId="4" borderId="0" xfId="0" applyNumberFormat="1" applyFont="1" applyFill="1" applyBorder="1" applyAlignment="1" applyProtection="1">
      <alignment vertical="center"/>
    </xf>
    <xf numFmtId="0" fontId="94" fillId="0" borderId="31" xfId="7" applyBorder="1"/>
    <xf numFmtId="0" fontId="94" fillId="0" borderId="116" xfId="7" applyBorder="1"/>
    <xf numFmtId="0" fontId="94" fillId="0" borderId="0" xfId="7"/>
    <xf numFmtId="0" fontId="94" fillId="0" borderId="126" xfId="7" applyBorder="1"/>
    <xf numFmtId="178" fontId="79" fillId="4" borderId="0" xfId="3" applyNumberFormat="1" applyFont="1" applyFill="1" applyBorder="1" applyAlignment="1" applyProtection="1">
      <alignment horizontal="right" vertical="center"/>
      <protection locked="0"/>
    </xf>
    <xf numFmtId="178" fontId="6" fillId="4" borderId="0" xfId="3" applyNumberFormat="1" applyFont="1" applyFill="1">
      <alignment vertical="center"/>
    </xf>
    <xf numFmtId="178" fontId="25" fillId="4" borderId="0" xfId="3" applyNumberFormat="1" applyFont="1" applyFill="1" applyBorder="1" applyAlignment="1">
      <alignment horizontal="left" vertical="center"/>
    </xf>
    <xf numFmtId="14" fontId="22" fillId="7" borderId="20" xfId="7" applyNumberFormat="1" applyFont="1" applyFill="1" applyBorder="1" applyAlignment="1">
      <alignment horizontal="center"/>
    </xf>
    <xf numFmtId="178" fontId="23" fillId="4" borderId="0" xfId="3" applyNumberFormat="1" applyFont="1" applyFill="1" applyBorder="1" applyAlignment="1">
      <alignment horizontal="right" vertical="center"/>
    </xf>
    <xf numFmtId="178" fontId="24" fillId="4" borderId="0" xfId="3" applyNumberFormat="1" applyFont="1" applyFill="1" applyBorder="1" applyAlignment="1">
      <alignment horizontal="center" vertical="center"/>
    </xf>
    <xf numFmtId="0" fontId="94" fillId="0" borderId="89" xfId="7" applyBorder="1"/>
    <xf numFmtId="178" fontId="29" fillId="4" borderId="31" xfId="3" applyNumberFormat="1" applyFont="1" applyFill="1" applyBorder="1">
      <alignment vertical="center"/>
    </xf>
    <xf numFmtId="178" fontId="24" fillId="4" borderId="31" xfId="3" applyNumberFormat="1" applyFont="1" applyFill="1" applyBorder="1" applyProtection="1">
      <alignment vertical="center"/>
      <protection locked="0"/>
    </xf>
    <xf numFmtId="0" fontId="94" fillId="0" borderId="127" xfId="7" applyBorder="1"/>
    <xf numFmtId="178" fontId="18" fillId="4" borderId="0" xfId="3" applyNumberFormat="1" applyFont="1" applyFill="1" applyBorder="1">
      <alignment vertical="center"/>
    </xf>
    <xf numFmtId="178" fontId="6" fillId="4" borderId="0" xfId="3" applyNumberFormat="1" applyFont="1" applyFill="1" applyBorder="1">
      <alignment vertical="center"/>
    </xf>
    <xf numFmtId="178" fontId="11" fillId="0" borderId="0" xfId="3" applyNumberFormat="1" applyFont="1" applyFill="1" applyBorder="1">
      <alignment vertical="center"/>
    </xf>
    <xf numFmtId="0" fontId="0" fillId="0" borderId="116" xfId="7" applyFont="1" applyBorder="1"/>
    <xf numFmtId="178" fontId="11" fillId="4" borderId="0" xfId="3" applyNumberFormat="1" applyFont="1" applyFill="1" applyBorder="1">
      <alignment vertical="center"/>
    </xf>
    <xf numFmtId="178" fontId="6" fillId="0" borderId="0" xfId="3" applyNumberFormat="1" applyFont="1" applyFill="1" applyBorder="1">
      <alignment vertical="center"/>
    </xf>
    <xf numFmtId="178" fontId="29" fillId="4" borderId="0" xfId="3" applyNumberFormat="1" applyFont="1" applyFill="1" applyBorder="1">
      <alignment vertical="center"/>
    </xf>
    <xf numFmtId="178" fontId="15" fillId="4" borderId="0" xfId="3" applyNumberFormat="1" applyFont="1" applyFill="1" applyBorder="1">
      <alignment vertical="center"/>
    </xf>
    <xf numFmtId="178" fontId="24" fillId="4" borderId="0" xfId="3" applyNumberFormat="1" applyFont="1" applyFill="1" applyProtection="1">
      <alignment vertical="center"/>
    </xf>
    <xf numFmtId="0" fontId="94" fillId="0" borderId="128" xfId="7" applyBorder="1"/>
    <xf numFmtId="0" fontId="4" fillId="0" borderId="116" xfId="7" applyFont="1" applyBorder="1"/>
    <xf numFmtId="178" fontId="14" fillId="0" borderId="0" xfId="3" applyNumberFormat="1" applyFont="1" applyFill="1" applyProtection="1">
      <alignment vertical="center"/>
    </xf>
    <xf numFmtId="178" fontId="94" fillId="0" borderId="116" xfId="7" applyNumberFormat="1" applyBorder="1"/>
    <xf numFmtId="178" fontId="0" fillId="0" borderId="116" xfId="7" applyNumberFormat="1" applyFont="1" applyBorder="1" applyAlignment="1">
      <alignment wrapText="1"/>
    </xf>
    <xf numFmtId="172" fontId="14" fillId="4" borderId="0" xfId="7" applyNumberFormat="1" applyFont="1" applyFill="1" applyAlignment="1" applyProtection="1">
      <alignment vertical="center"/>
    </xf>
    <xf numFmtId="0" fontId="94" fillId="0" borderId="94" xfId="7" applyBorder="1"/>
    <xf numFmtId="0" fontId="0" fillId="4" borderId="0" xfId="0" applyFill="1" applyAlignment="1"/>
    <xf numFmtId="0" fontId="81" fillId="4" borderId="129" xfId="0" applyFont="1" applyFill="1" applyBorder="1" applyAlignment="1"/>
    <xf numFmtId="0" fontId="0" fillId="4" borderId="130" xfId="0" applyFill="1" applyBorder="1" applyAlignment="1"/>
    <xf numFmtId="0" fontId="0" fillId="4" borderId="131" xfId="0" applyFill="1" applyBorder="1" applyAlignment="1"/>
    <xf numFmtId="0" fontId="82" fillId="4" borderId="132" xfId="0" applyFont="1" applyFill="1" applyBorder="1" applyAlignment="1"/>
    <xf numFmtId="0" fontId="0" fillId="4" borderId="133" xfId="0" applyFill="1" applyBorder="1" applyAlignment="1"/>
    <xf numFmtId="0" fontId="0" fillId="4" borderId="134" xfId="0" applyFill="1" applyBorder="1" applyAlignment="1"/>
    <xf numFmtId="0" fontId="82" fillId="4" borderId="135" xfId="0" applyFont="1" applyFill="1" applyBorder="1" applyAlignment="1"/>
    <xf numFmtId="0" fontId="0" fillId="4" borderId="136" xfId="0" applyFill="1" applyBorder="1" applyAlignment="1"/>
    <xf numFmtId="0" fontId="0" fillId="4" borderId="137" xfId="0" applyFill="1" applyBorder="1" applyAlignment="1"/>
    <xf numFmtId="0" fontId="83" fillId="0" borderId="138" xfId="0" applyNumberFormat="1" applyFont="1" applyFill="1" applyBorder="1" applyAlignment="1">
      <alignment vertical="center"/>
    </xf>
    <xf numFmtId="0" fontId="0" fillId="0" borderId="139" xfId="0" applyNumberFormat="1" applyFill="1" applyBorder="1" applyAlignment="1">
      <alignment vertical="center"/>
    </xf>
    <xf numFmtId="0" fontId="0" fillId="0" borderId="140" xfId="0" applyNumberFormat="1" applyFill="1" applyBorder="1" applyAlignment="1">
      <alignment vertical="center"/>
    </xf>
    <xf numFmtId="0" fontId="83" fillId="0" borderId="149" xfId="0" applyNumberFormat="1" applyFont="1" applyFill="1" applyBorder="1" applyProtection="1">
      <protection hidden="1"/>
    </xf>
    <xf numFmtId="0" fontId="0" fillId="0" borderId="150" xfId="0" applyNumberFormat="1" applyFill="1" applyBorder="1" applyProtection="1">
      <protection hidden="1"/>
    </xf>
    <xf numFmtId="0" fontId="0" fillId="0" borderId="151" xfId="0" applyNumberFormat="1" applyFill="1" applyBorder="1" applyAlignment="1" applyProtection="1">
      <alignment wrapText="1"/>
      <protection hidden="1"/>
    </xf>
    <xf numFmtId="0" fontId="11" fillId="0" borderId="152" xfId="0" applyNumberFormat="1" applyFont="1" applyFill="1" applyBorder="1" applyAlignment="1" applyProtection="1">
      <alignment vertical="center"/>
      <protection hidden="1"/>
    </xf>
    <xf numFmtId="0" fontId="0" fillId="0" borderId="116" xfId="0" applyNumberFormat="1" applyFill="1" applyBorder="1" applyAlignment="1" applyProtection="1">
      <alignment vertical="center"/>
      <protection hidden="1"/>
    </xf>
    <xf numFmtId="0" fontId="0" fillId="0" borderId="153" xfId="0" applyNumberFormat="1" applyFill="1" applyBorder="1" applyAlignment="1" applyProtection="1">
      <alignment vertical="center"/>
      <protection hidden="1"/>
    </xf>
    <xf numFmtId="0" fontId="0" fillId="0" borderId="89" xfId="0" applyNumberFormat="1" applyFill="1" applyBorder="1" applyAlignment="1" applyProtection="1">
      <alignment vertical="center"/>
      <protection hidden="1"/>
    </xf>
    <xf numFmtId="0" fontId="0" fillId="0" borderId="154" xfId="0" applyNumberFormat="1" applyFill="1" applyBorder="1" applyAlignment="1" applyProtection="1">
      <alignment vertical="center"/>
      <protection hidden="1"/>
    </xf>
    <xf numFmtId="0" fontId="11" fillId="0" borderId="155" xfId="0" applyNumberFormat="1" applyFont="1" applyFill="1" applyBorder="1" applyAlignment="1" applyProtection="1">
      <alignment vertical="center"/>
      <protection hidden="1"/>
    </xf>
    <xf numFmtId="0" fontId="0" fillId="0" borderId="156" xfId="0" applyNumberFormat="1" applyFill="1" applyBorder="1" applyAlignment="1" applyProtection="1">
      <alignment vertical="center"/>
      <protection hidden="1"/>
    </xf>
    <xf numFmtId="0" fontId="0" fillId="0" borderId="157" xfId="0" applyNumberFormat="1" applyFill="1" applyBorder="1" applyAlignment="1" applyProtection="1">
      <alignment vertical="center"/>
      <protection hidden="1"/>
    </xf>
    <xf numFmtId="0" fontId="0" fillId="4" borderId="0" xfId="0" applyFill="1" applyProtection="1">
      <protection locked="0"/>
    </xf>
    <xf numFmtId="0" fontId="84" fillId="4" borderId="0" xfId="0" applyFont="1" applyFill="1" applyProtection="1">
      <protection locked="0"/>
    </xf>
    <xf numFmtId="14" fontId="86" fillId="4" borderId="0" xfId="0" applyNumberFormat="1" applyFont="1" applyFill="1" applyAlignment="1" applyProtection="1">
      <alignment horizontal="center"/>
      <protection locked="0"/>
    </xf>
    <xf numFmtId="0" fontId="87" fillId="4" borderId="0" xfId="0" applyFont="1" applyFill="1" applyProtection="1">
      <protection locked="0"/>
    </xf>
    <xf numFmtId="0" fontId="0" fillId="4" borderId="0" xfId="0" applyFill="1" applyProtection="1">
      <protection hidden="1"/>
    </xf>
    <xf numFmtId="0" fontId="11" fillId="8" borderId="27" xfId="4" applyFont="1" applyFill="1" applyBorder="1" applyAlignment="1" applyProtection="1">
      <alignment horizontal="left" vertical="center"/>
    </xf>
    <xf numFmtId="49" fontId="27" fillId="15" borderId="158" xfId="4" applyNumberFormat="1" applyFont="1" applyFill="1" applyBorder="1" applyAlignment="1" applyProtection="1">
      <alignment horizontal="right" vertical="center"/>
      <protection locked="0"/>
    </xf>
    <xf numFmtId="0" fontId="11" fillId="8" borderId="27" xfId="4" applyFont="1" applyFill="1" applyBorder="1" applyAlignment="1" applyProtection="1">
      <alignment horizontal="center" vertical="center"/>
      <protection hidden="1"/>
    </xf>
    <xf numFmtId="14" fontId="6" fillId="9" borderId="159" xfId="4" applyNumberFormat="1" applyFont="1" applyFill="1" applyBorder="1" applyAlignment="1" applyProtection="1">
      <alignment horizontal="right" vertical="center"/>
      <protection locked="0"/>
    </xf>
    <xf numFmtId="0" fontId="44" fillId="4" borderId="0" xfId="0" applyFont="1" applyFill="1" applyProtection="1">
      <protection locked="0"/>
    </xf>
    <xf numFmtId="0" fontId="6" fillId="9" borderId="28" xfId="4" applyNumberFormat="1" applyFont="1" applyFill="1" applyBorder="1" applyAlignment="1" applyProtection="1">
      <alignment horizontal="right" vertical="center"/>
      <protection locked="0"/>
    </xf>
    <xf numFmtId="171" fontId="11" fillId="8" borderId="27" xfId="4" applyNumberFormat="1" applyFont="1" applyFill="1" applyBorder="1" applyAlignment="1" applyProtection="1">
      <alignment horizontal="center" vertical="center"/>
      <protection hidden="1"/>
    </xf>
    <xf numFmtId="0" fontId="17" fillId="8" borderId="27" xfId="4" applyFont="1" applyFill="1" applyBorder="1" applyAlignment="1" applyProtection="1">
      <alignment horizontal="center" vertical="center"/>
      <protection locked="0"/>
    </xf>
    <xf numFmtId="0" fontId="81" fillId="4" borderId="0" xfId="0" applyFont="1" applyFill="1" applyProtection="1">
      <protection locked="0"/>
    </xf>
    <xf numFmtId="0" fontId="39" fillId="4" borderId="0" xfId="0" applyFont="1" applyFill="1" applyProtection="1">
      <protection locked="0"/>
    </xf>
    <xf numFmtId="0" fontId="1" fillId="4" borderId="0" xfId="0" applyFont="1" applyFill="1" applyProtection="1">
      <protection locked="0"/>
    </xf>
    <xf numFmtId="0" fontId="89" fillId="8" borderId="161" xfId="1" applyNumberFormat="1" applyFont="1" applyFill="1" applyBorder="1" applyAlignment="1" applyProtection="1">
      <alignment horizontal="left"/>
    </xf>
    <xf numFmtId="0" fontId="89" fillId="8" borderId="165" xfId="1" applyNumberFormat="1" applyFont="1" applyFill="1" applyBorder="1" applyAlignment="1" applyProtection="1">
      <alignment horizontal="left" vertical="center"/>
    </xf>
    <xf numFmtId="0" fontId="91" fillId="8" borderId="165" xfId="1" applyNumberFormat="1" applyFont="1" applyFill="1" applyBorder="1" applyAlignment="1" applyProtection="1">
      <alignment horizontal="left" vertical="center"/>
    </xf>
    <xf numFmtId="0" fontId="89" fillId="8" borderId="169" xfId="1" applyNumberFormat="1" applyFont="1" applyFill="1" applyBorder="1" applyAlignment="1" applyProtection="1">
      <alignment horizontal="left" vertical="center"/>
    </xf>
    <xf numFmtId="0" fontId="45" fillId="4" borderId="170" xfId="0" applyNumberFormat="1" applyFont="1" applyFill="1" applyBorder="1" applyAlignment="1" applyProtection="1">
      <alignment horizontal="left" vertical="center"/>
    </xf>
    <xf numFmtId="0" fontId="45" fillId="4" borderId="171" xfId="0" applyNumberFormat="1" applyFont="1" applyFill="1" applyBorder="1" applyAlignment="1" applyProtection="1">
      <alignment horizontal="left" vertical="center"/>
    </xf>
    <xf numFmtId="0" fontId="45" fillId="4" borderId="172" xfId="0" applyNumberFormat="1" applyFont="1" applyFill="1" applyBorder="1" applyAlignment="1" applyProtection="1">
      <alignment horizontal="left" vertical="center"/>
    </xf>
    <xf numFmtId="0" fontId="89" fillId="8" borderId="173" xfId="1" applyNumberFormat="1" applyFont="1" applyFill="1" applyBorder="1" applyAlignment="1" applyProtection="1">
      <alignment horizontal="left" vertical="center"/>
    </xf>
    <xf numFmtId="0" fontId="39" fillId="4" borderId="0" xfId="0" applyFont="1" applyFill="1" applyProtection="1">
      <protection hidden="1"/>
    </xf>
    <xf numFmtId="0" fontId="84" fillId="4" borderId="0" xfId="0" applyFont="1" applyFill="1" applyProtection="1">
      <protection hidden="1"/>
    </xf>
    <xf numFmtId="0" fontId="92" fillId="4" borderId="0" xfId="0" applyFont="1" applyFill="1" applyProtection="1">
      <protection hidden="1"/>
    </xf>
    <xf numFmtId="178" fontId="14" fillId="8" borderId="177" xfId="4" applyNumberFormat="1" applyFont="1" applyFill="1" applyBorder="1" applyAlignment="1" applyProtection="1">
      <protection locked="0"/>
    </xf>
    <xf numFmtId="178" fontId="14" fillId="8" borderId="178" xfId="4" applyNumberFormat="1" applyFont="1" applyFill="1" applyBorder="1" applyAlignment="1" applyProtection="1">
      <protection locked="0"/>
    </xf>
    <xf numFmtId="178" fontId="14" fillId="8" borderId="177" xfId="4" applyNumberFormat="1" applyFont="1" applyFill="1" applyBorder="1" applyProtection="1">
      <alignment vertical="center"/>
      <protection locked="0"/>
    </xf>
    <xf numFmtId="178" fontId="14" fillId="8" borderId="178" xfId="4" applyNumberFormat="1" applyFont="1" applyFill="1" applyBorder="1" applyProtection="1">
      <alignment vertical="center"/>
      <protection locked="0"/>
    </xf>
    <xf numFmtId="164" fontId="26" fillId="9" borderId="179" xfId="4" applyNumberFormat="1" applyFont="1" applyFill="1" applyBorder="1" applyAlignment="1" applyProtection="1">
      <alignment horizontal="right" vertical="center"/>
      <protection locked="0"/>
    </xf>
    <xf numFmtId="178" fontId="14" fillId="4" borderId="179" xfId="4" applyNumberFormat="1" applyFont="1" applyFill="1" applyBorder="1" applyAlignment="1" applyProtection="1">
      <alignment horizontal="right" vertical="center"/>
      <protection hidden="1"/>
    </xf>
    <xf numFmtId="178" fontId="14" fillId="4" borderId="179" xfId="4" applyNumberFormat="1" applyFont="1" applyFill="1" applyBorder="1" applyAlignment="1" applyProtection="1">
      <protection hidden="1"/>
    </xf>
    <xf numFmtId="178" fontId="14" fillId="4" borderId="179" xfId="4" applyNumberFormat="1" applyFont="1" applyFill="1" applyBorder="1" applyAlignment="1" applyProtection="1">
      <protection locked="0"/>
    </xf>
    <xf numFmtId="180" fontId="26" fillId="9" borderId="179" xfId="4" applyNumberFormat="1" applyFont="1" applyFill="1" applyBorder="1" applyAlignment="1" applyProtection="1">
      <alignment horizontal="right" vertical="center"/>
      <protection locked="0"/>
    </xf>
    <xf numFmtId="178" fontId="14" fillId="4" borderId="179" xfId="4" applyNumberFormat="1" applyFont="1" applyFill="1" applyBorder="1" applyProtection="1">
      <alignment vertical="center"/>
      <protection locked="0"/>
    </xf>
    <xf numFmtId="173" fontId="30" fillId="10" borderId="180" xfId="4" applyNumberFormat="1" applyFont="1" applyFill="1" applyBorder="1" applyAlignment="1">
      <alignment horizontal="center" vertical="center"/>
    </xf>
    <xf numFmtId="178" fontId="14" fillId="4" borderId="181" xfId="4" applyNumberFormat="1" applyFont="1" applyFill="1" applyBorder="1" applyAlignment="1"/>
    <xf numFmtId="178" fontId="14" fillId="4" borderId="182" xfId="4" applyNumberFormat="1" applyFont="1" applyFill="1" applyBorder="1" applyAlignment="1"/>
    <xf numFmtId="0" fontId="90" fillId="4" borderId="162" xfId="0" applyNumberFormat="1" applyFont="1" applyFill="1" applyBorder="1" applyAlignment="1" applyProtection="1">
      <alignment horizontal="left" vertical="center" wrapText="1"/>
    </xf>
    <xf numFmtId="0" fontId="90" fillId="4" borderId="163" xfId="0" applyNumberFormat="1" applyFont="1" applyFill="1" applyBorder="1" applyAlignment="1" applyProtection="1">
      <alignment horizontal="left" vertical="center" wrapText="1"/>
    </xf>
    <xf numFmtId="0" fontId="90" fillId="4" borderId="164" xfId="0" applyNumberFormat="1" applyFont="1" applyFill="1" applyBorder="1" applyAlignment="1" applyProtection="1">
      <alignment horizontal="left" vertical="center" wrapText="1"/>
    </xf>
    <xf numFmtId="0" fontId="90" fillId="4" borderId="166" xfId="0" applyNumberFormat="1" applyFont="1" applyFill="1" applyBorder="1" applyAlignment="1" applyProtection="1">
      <alignment horizontal="left" vertical="center" wrapText="1"/>
    </xf>
    <xf numFmtId="0" fontId="90" fillId="4" borderId="167" xfId="0" applyNumberFormat="1" applyFont="1" applyFill="1" applyBorder="1" applyAlignment="1" applyProtection="1">
      <alignment horizontal="left" vertical="center" wrapText="1"/>
    </xf>
    <xf numFmtId="0" fontId="90" fillId="4" borderId="168" xfId="0" applyNumberFormat="1" applyFont="1" applyFill="1" applyBorder="1" applyAlignment="1" applyProtection="1">
      <alignment horizontal="left" vertical="center" wrapText="1"/>
    </xf>
    <xf numFmtId="0" fontId="90" fillId="4" borderId="166" xfId="0" applyNumberFormat="1" applyFont="1" applyFill="1" applyBorder="1" applyAlignment="1" applyProtection="1">
      <alignment horizontal="left" vertical="center"/>
    </xf>
    <xf numFmtId="0" fontId="90" fillId="4" borderId="167" xfId="0" applyNumberFormat="1" applyFont="1" applyFill="1" applyBorder="1" applyAlignment="1" applyProtection="1">
      <alignment horizontal="left" vertical="center"/>
    </xf>
    <xf numFmtId="0" fontId="90" fillId="4" borderId="168" xfId="0" applyNumberFormat="1" applyFont="1" applyFill="1" applyBorder="1" applyAlignment="1" applyProtection="1">
      <alignment horizontal="left" vertical="center"/>
    </xf>
    <xf numFmtId="0" fontId="45" fillId="4" borderId="166" xfId="0" applyNumberFormat="1" applyFont="1" applyFill="1" applyBorder="1" applyAlignment="1" applyProtection="1">
      <alignment horizontal="left" vertical="center"/>
    </xf>
    <xf numFmtId="0" fontId="45" fillId="4" borderId="167" xfId="0" applyNumberFormat="1" applyFont="1" applyFill="1" applyBorder="1" applyAlignment="1" applyProtection="1">
      <alignment horizontal="left" vertical="center"/>
    </xf>
    <xf numFmtId="0" fontId="45" fillId="4" borderId="168" xfId="0" applyNumberFormat="1" applyFont="1" applyFill="1" applyBorder="1" applyAlignment="1" applyProtection="1">
      <alignment horizontal="left" vertical="center"/>
    </xf>
    <xf numFmtId="0" fontId="45" fillId="4" borderId="174" xfId="0" applyNumberFormat="1" applyFont="1" applyFill="1" applyBorder="1" applyAlignment="1" applyProtection="1">
      <alignment horizontal="left" vertical="center"/>
    </xf>
    <xf numFmtId="0" fontId="45" fillId="4" borderId="175" xfId="0" applyNumberFormat="1" applyFont="1" applyFill="1" applyBorder="1" applyAlignment="1" applyProtection="1">
      <alignment horizontal="left" vertical="center"/>
    </xf>
    <xf numFmtId="0" fontId="45" fillId="4" borderId="176" xfId="0" applyNumberFormat="1" applyFont="1" applyFill="1" applyBorder="1" applyAlignment="1" applyProtection="1">
      <alignment horizontal="left" vertical="center"/>
    </xf>
    <xf numFmtId="0" fontId="85" fillId="4" borderId="0" xfId="0" applyFont="1" applyFill="1" applyAlignment="1" applyProtection="1">
      <alignment horizontal="center" vertical="center"/>
      <protection locked="0"/>
    </xf>
    <xf numFmtId="0" fontId="88" fillId="4" borderId="0" xfId="0" applyFont="1" applyFill="1" applyAlignment="1" applyProtection="1">
      <alignment horizontal="center" vertical="center"/>
      <protection locked="0"/>
    </xf>
    <xf numFmtId="0" fontId="88" fillId="4" borderId="160" xfId="0" applyFont="1" applyFill="1" applyBorder="1" applyAlignment="1" applyProtection="1">
      <alignment horizontal="center" vertical="center"/>
      <protection locked="0"/>
    </xf>
    <xf numFmtId="0" fontId="80" fillId="4" borderId="0" xfId="0" applyFont="1" applyFill="1" applyAlignment="1">
      <alignment horizontal="center" vertical="center"/>
    </xf>
    <xf numFmtId="0" fontId="83" fillId="0" borderId="138" xfId="0" applyNumberFormat="1" applyFont="1" applyFill="1" applyBorder="1" applyAlignment="1" applyProtection="1">
      <alignment horizontal="left"/>
      <protection hidden="1"/>
    </xf>
    <xf numFmtId="0" fontId="83" fillId="0" borderId="139" xfId="0" applyNumberFormat="1" applyFont="1" applyFill="1" applyBorder="1" applyAlignment="1" applyProtection="1">
      <alignment horizontal="left"/>
      <protection hidden="1"/>
    </xf>
    <xf numFmtId="0" fontId="83" fillId="0" borderId="140" xfId="0" applyNumberFormat="1" applyFont="1" applyFill="1" applyBorder="1" applyAlignment="1" applyProtection="1">
      <alignment horizontal="left"/>
      <protection hidden="1"/>
    </xf>
    <xf numFmtId="0" fontId="11" fillId="4" borderId="0" xfId="4" applyFont="1" applyFill="1" applyAlignment="1">
      <alignment vertical="center" wrapText="1"/>
    </xf>
    <xf numFmtId="0" fontId="6" fillId="0" borderId="0" xfId="4" applyFont="1" applyAlignment="1">
      <alignment vertical="center" wrapText="1"/>
    </xf>
    <xf numFmtId="0" fontId="83" fillId="0" borderId="146" xfId="0" applyNumberFormat="1" applyFont="1" applyFill="1" applyBorder="1" applyAlignment="1" applyProtection="1">
      <alignment horizontal="left"/>
      <protection hidden="1"/>
    </xf>
    <xf numFmtId="0" fontId="83" fillId="0" borderId="147" xfId="0" applyNumberFormat="1" applyFont="1" applyFill="1" applyBorder="1" applyAlignment="1" applyProtection="1">
      <alignment horizontal="left"/>
      <protection hidden="1"/>
    </xf>
    <xf numFmtId="0" fontId="83" fillId="0" borderId="148" xfId="0" applyNumberFormat="1" applyFont="1" applyFill="1" applyBorder="1" applyAlignment="1" applyProtection="1">
      <alignment horizontal="left"/>
      <protection hidden="1"/>
    </xf>
    <xf numFmtId="0" fontId="11" fillId="0" borderId="143" xfId="0" applyNumberFormat="1" applyFont="1" applyFill="1" applyBorder="1" applyAlignment="1" applyProtection="1">
      <alignment horizontal="left" vertical="top" wrapText="1"/>
      <protection hidden="1"/>
    </xf>
    <xf numFmtId="0" fontId="11" fillId="0" borderId="144" xfId="0" applyNumberFormat="1" applyFont="1" applyFill="1" applyBorder="1" applyAlignment="1" applyProtection="1">
      <alignment horizontal="left" vertical="top" wrapText="1"/>
      <protection hidden="1"/>
    </xf>
    <xf numFmtId="0" fontId="11" fillId="0" borderId="145" xfId="0" applyNumberFormat="1" applyFont="1" applyFill="1" applyBorder="1" applyAlignment="1" applyProtection="1">
      <alignment horizontal="left" vertical="top" wrapText="1"/>
      <protection hidden="1"/>
    </xf>
    <xf numFmtId="0" fontId="11" fillId="0" borderId="141" xfId="0" applyNumberFormat="1" applyFont="1" applyFill="1" applyBorder="1" applyAlignment="1" applyProtection="1">
      <alignment horizontal="left" vertical="top" wrapText="1"/>
      <protection hidden="1"/>
    </xf>
    <xf numFmtId="0" fontId="11" fillId="0" borderId="0" xfId="0" applyNumberFormat="1" applyFont="1" applyFill="1" applyBorder="1" applyAlignment="1" applyProtection="1">
      <alignment horizontal="left" vertical="top" wrapText="1"/>
      <protection hidden="1"/>
    </xf>
    <xf numFmtId="0" fontId="11" fillId="0" borderId="142" xfId="0" applyNumberFormat="1" applyFont="1" applyFill="1" applyBorder="1" applyAlignment="1" applyProtection="1">
      <alignment horizontal="left" vertical="top" wrapText="1"/>
      <protection hidden="1"/>
    </xf>
    <xf numFmtId="0" fontId="11" fillId="0" borderId="135" xfId="0" applyNumberFormat="1" applyFont="1" applyFill="1" applyBorder="1" applyAlignment="1" applyProtection="1">
      <alignment horizontal="left" vertical="top" wrapText="1"/>
      <protection hidden="1"/>
    </xf>
    <xf numFmtId="0" fontId="11" fillId="0" borderId="136" xfId="0" applyNumberFormat="1" applyFont="1" applyFill="1" applyBorder="1" applyAlignment="1" applyProtection="1">
      <alignment horizontal="left" vertical="top" wrapText="1"/>
      <protection hidden="1"/>
    </xf>
    <xf numFmtId="0" fontId="11" fillId="0" borderId="137" xfId="0" applyNumberFormat="1" applyFont="1" applyFill="1" applyBorder="1" applyAlignment="1" applyProtection="1">
      <alignment horizontal="left" vertical="top" wrapText="1"/>
      <protection hidden="1"/>
    </xf>
    <xf numFmtId="0" fontId="11" fillId="0" borderId="141" xfId="0" applyNumberFormat="1" applyFont="1" applyFill="1" applyBorder="1" applyAlignment="1" applyProtection="1">
      <alignment horizontal="left" vertical="center" wrapText="1"/>
      <protection hidden="1"/>
    </xf>
    <xf numFmtId="0" fontId="0" fillId="0" borderId="0" xfId="0" applyBorder="1" applyAlignment="1">
      <alignment horizontal="left" vertical="center" wrapText="1"/>
    </xf>
    <xf numFmtId="0" fontId="0" fillId="0" borderId="142" xfId="0" applyBorder="1" applyAlignment="1">
      <alignment horizontal="left" vertical="center" wrapText="1"/>
    </xf>
    <xf numFmtId="0" fontId="0" fillId="0" borderId="141" xfId="0" applyBorder="1" applyAlignment="1">
      <alignment horizontal="left" vertical="center" wrapText="1"/>
    </xf>
    <xf numFmtId="0" fontId="0" fillId="0" borderId="135" xfId="0" applyBorder="1" applyAlignment="1">
      <alignment horizontal="left" vertical="center" wrapText="1"/>
    </xf>
    <xf numFmtId="0" fontId="0" fillId="0" borderId="136" xfId="0" applyBorder="1" applyAlignment="1">
      <alignment horizontal="left" vertical="center" wrapText="1"/>
    </xf>
    <xf numFmtId="0" fontId="0" fillId="0" borderId="137" xfId="0" applyBorder="1" applyAlignment="1">
      <alignment horizontal="left" vertical="center" wrapText="1"/>
    </xf>
    <xf numFmtId="0" fontId="11" fillId="0" borderId="143" xfId="0" applyNumberFormat="1" applyFont="1" applyFill="1" applyBorder="1" applyAlignment="1" applyProtection="1">
      <alignment horizontal="left" vertical="center" wrapText="1"/>
      <protection hidden="1"/>
    </xf>
    <xf numFmtId="0" fontId="11" fillId="0" borderId="144" xfId="0" applyNumberFormat="1" applyFont="1" applyFill="1" applyBorder="1" applyAlignment="1" applyProtection="1">
      <alignment horizontal="left" vertical="center" wrapText="1"/>
      <protection hidden="1"/>
    </xf>
    <xf numFmtId="0" fontId="11" fillId="0" borderId="145" xfId="0" applyNumberFormat="1" applyFont="1" applyFill="1" applyBorder="1" applyAlignment="1" applyProtection="1">
      <alignment horizontal="left" vertical="center" wrapText="1"/>
      <protection hidden="1"/>
    </xf>
    <xf numFmtId="0" fontId="11" fillId="0" borderId="0" xfId="0" applyNumberFormat="1" applyFont="1" applyFill="1" applyBorder="1" applyAlignment="1" applyProtection="1">
      <alignment horizontal="left" vertical="center" wrapText="1"/>
      <protection hidden="1"/>
    </xf>
    <xf numFmtId="0" fontId="11" fillId="0" borderId="142" xfId="0" applyNumberFormat="1" applyFont="1" applyFill="1" applyBorder="1" applyAlignment="1" applyProtection="1">
      <alignment horizontal="left" vertical="center" wrapText="1"/>
      <protection hidden="1"/>
    </xf>
    <xf numFmtId="0" fontId="11" fillId="0" borderId="135" xfId="0" applyNumberFormat="1" applyFont="1" applyFill="1" applyBorder="1" applyAlignment="1" applyProtection="1">
      <alignment horizontal="left" vertical="center" wrapText="1"/>
      <protection hidden="1"/>
    </xf>
    <xf numFmtId="0" fontId="11" fillId="0" borderId="136" xfId="0" applyNumberFormat="1" applyFont="1" applyFill="1" applyBorder="1" applyAlignment="1" applyProtection="1">
      <alignment horizontal="left" vertical="center" wrapText="1"/>
      <protection hidden="1"/>
    </xf>
    <xf numFmtId="0" fontId="11" fillId="0" borderId="137" xfId="0" applyNumberFormat="1" applyFont="1" applyFill="1" applyBorder="1" applyAlignment="1" applyProtection="1">
      <alignment horizontal="left" vertical="center" wrapText="1"/>
      <protection hidden="1"/>
    </xf>
    <xf numFmtId="0" fontId="15" fillId="4" borderId="0" xfId="4" applyFont="1" applyFill="1" applyAlignment="1">
      <alignment horizontal="left" vertical="center"/>
    </xf>
    <xf numFmtId="0" fontId="18" fillId="4" borderId="125" xfId="4" applyFont="1" applyFill="1" applyBorder="1" applyAlignment="1">
      <alignment horizontal="left" vertical="center"/>
    </xf>
    <xf numFmtId="0" fontId="18" fillId="4" borderId="0" xfId="4" applyFont="1" applyFill="1" applyAlignment="1">
      <alignment horizontal="left" vertical="center"/>
    </xf>
    <xf numFmtId="178" fontId="53" fillId="12" borderId="0" xfId="4" applyNumberFormat="1" applyFont="1" applyFill="1" applyBorder="1" applyAlignment="1">
      <alignment horizontal="center" vertical="center"/>
    </xf>
    <xf numFmtId="178" fontId="14" fillId="12" borderId="0" xfId="4" applyNumberFormat="1" applyFont="1" applyFill="1" applyBorder="1" applyAlignment="1">
      <alignment horizontal="center" vertical="center"/>
    </xf>
    <xf numFmtId="0" fontId="40" fillId="4" borderId="0" xfId="0" applyFont="1" applyFill="1" applyAlignment="1">
      <alignment horizontal="center" vertical="center" textRotation="255"/>
    </xf>
    <xf numFmtId="0" fontId="0" fillId="4" borderId="0" xfId="0" applyFill="1" applyBorder="1" applyAlignment="1">
      <alignment horizontal="left" vertical="center"/>
    </xf>
    <xf numFmtId="0" fontId="60" fillId="4" borderId="0" xfId="0" applyFont="1" applyFill="1" applyAlignment="1">
      <alignment horizontal="right"/>
    </xf>
    <xf numFmtId="0" fontId="57" fillId="4" borderId="24" xfId="0" applyFont="1" applyFill="1" applyBorder="1" applyAlignment="1">
      <alignment horizontal="center" vertical="center"/>
    </xf>
    <xf numFmtId="0" fontId="57" fillId="4" borderId="20" xfId="0" applyFont="1" applyFill="1" applyBorder="1" applyAlignment="1">
      <alignment horizontal="center" vertical="center"/>
    </xf>
    <xf numFmtId="0" fontId="57" fillId="4" borderId="24" xfId="0" applyFont="1" applyFill="1" applyBorder="1" applyAlignment="1">
      <alignment horizontal="center"/>
    </xf>
    <xf numFmtId="0" fontId="57" fillId="4" borderId="20" xfId="0" applyFont="1" applyFill="1" applyBorder="1" applyAlignment="1">
      <alignment horizontal="center"/>
    </xf>
    <xf numFmtId="0" fontId="15" fillId="3" borderId="87" xfId="0" applyFont="1" applyFill="1" applyBorder="1" applyAlignment="1">
      <alignment horizontal="center" vertical="center"/>
    </xf>
    <xf numFmtId="0" fontId="15" fillId="3" borderId="90" xfId="0" applyFont="1" applyFill="1" applyBorder="1" applyAlignment="1">
      <alignment horizontal="center" vertical="center"/>
    </xf>
    <xf numFmtId="0" fontId="15" fillId="3" borderId="110" xfId="0" applyFont="1" applyFill="1" applyBorder="1" applyAlignment="1">
      <alignment horizontal="center" vertical="center"/>
    </xf>
    <xf numFmtId="0" fontId="15" fillId="3" borderId="18" xfId="0" applyFont="1" applyFill="1" applyBorder="1" applyAlignment="1">
      <alignment horizontal="center" vertical="center"/>
    </xf>
    <xf numFmtId="0" fontId="33" fillId="0" borderId="0" xfId="0" applyFont="1" applyBorder="1" applyAlignment="1">
      <alignment horizontal="center" vertical="center"/>
    </xf>
    <xf numFmtId="0" fontId="45" fillId="0" borderId="19" xfId="0" applyFont="1" applyBorder="1" applyAlignment="1">
      <alignment horizontal="left" vertical="center"/>
    </xf>
    <xf numFmtId="40" fontId="18" fillId="4" borderId="48" xfId="4" applyNumberFormat="1" applyFont="1" applyFill="1" applyBorder="1" applyAlignment="1">
      <alignment horizontal="center" vertical="center"/>
    </xf>
    <xf numFmtId="40" fontId="18" fillId="4" borderId="61" xfId="4" applyNumberFormat="1" applyFont="1" applyFill="1" applyBorder="1" applyAlignment="1">
      <alignment horizontal="center" vertical="center"/>
    </xf>
    <xf numFmtId="40" fontId="18" fillId="4" borderId="62" xfId="4" applyNumberFormat="1" applyFont="1" applyFill="1" applyBorder="1" applyAlignment="1">
      <alignment horizontal="center" vertical="center"/>
    </xf>
    <xf numFmtId="40" fontId="42" fillId="9" borderId="54" xfId="0" applyNumberFormat="1" applyFont="1" applyFill="1" applyBorder="1" applyAlignment="1">
      <alignment horizontal="center" vertical="center"/>
    </xf>
    <xf numFmtId="40" fontId="42" fillId="9" borderId="53" xfId="0" applyNumberFormat="1" applyFont="1" applyFill="1" applyBorder="1" applyAlignment="1">
      <alignment horizontal="center" vertical="center"/>
    </xf>
    <xf numFmtId="40" fontId="43" fillId="9" borderId="56" xfId="0" applyNumberFormat="1" applyFont="1" applyFill="1" applyBorder="1" applyAlignment="1">
      <alignment horizontal="center" vertical="center"/>
    </xf>
    <xf numFmtId="40" fontId="42" fillId="9" borderId="57" xfId="0" applyNumberFormat="1" applyFont="1" applyFill="1" applyBorder="1" applyAlignment="1">
      <alignment horizontal="center" vertical="center"/>
    </xf>
    <xf numFmtId="40" fontId="15" fillId="4" borderId="42" xfId="4" applyNumberFormat="1" applyFont="1" applyFill="1" applyBorder="1" applyAlignment="1">
      <alignment horizontal="center" vertical="center"/>
    </xf>
    <xf numFmtId="40" fontId="8" fillId="4" borderId="49" xfId="4" applyNumberFormat="1" applyFont="1" applyFill="1" applyBorder="1" applyAlignment="1">
      <alignment horizontal="center" vertical="center"/>
    </xf>
    <xf numFmtId="40" fontId="18" fillId="4" borderId="43" xfId="4" applyNumberFormat="1" applyFont="1" applyFill="1" applyBorder="1" applyAlignment="1">
      <alignment horizontal="center" vertical="center"/>
    </xf>
    <xf numFmtId="40" fontId="18" fillId="4" borderId="50" xfId="4" applyNumberFormat="1" applyFont="1" applyFill="1" applyBorder="1" applyAlignment="1">
      <alignment horizontal="center" vertical="center"/>
    </xf>
    <xf numFmtId="40" fontId="15" fillId="4" borderId="44" xfId="4" applyNumberFormat="1" applyFont="1" applyFill="1" applyBorder="1" applyAlignment="1">
      <alignment horizontal="center" vertical="center"/>
    </xf>
    <xf numFmtId="40" fontId="8" fillId="4" borderId="51" xfId="4" applyNumberFormat="1" applyFont="1" applyFill="1" applyBorder="1" applyAlignment="1">
      <alignment horizontal="center" vertical="center"/>
    </xf>
    <xf numFmtId="40" fontId="15" fillId="4" borderId="45" xfId="4" applyNumberFormat="1" applyFont="1" applyFill="1" applyBorder="1" applyAlignment="1">
      <alignment horizontal="center" vertical="center"/>
    </xf>
    <xf numFmtId="40" fontId="18" fillId="4" borderId="46" xfId="4" applyNumberFormat="1" applyFont="1" applyFill="1" applyBorder="1" applyAlignment="1">
      <alignment horizontal="center" vertical="center"/>
    </xf>
    <xf numFmtId="40" fontId="18" fillId="4" borderId="36" xfId="4" applyNumberFormat="1" applyFont="1" applyFill="1" applyBorder="1" applyAlignment="1">
      <alignment horizontal="center" vertical="center"/>
    </xf>
    <xf numFmtId="40" fontId="15" fillId="4" borderId="47" xfId="4" applyNumberFormat="1" applyFont="1" applyFill="1" applyBorder="1" applyAlignment="1">
      <alignment horizontal="center" vertical="center"/>
    </xf>
    <xf numFmtId="40" fontId="18" fillId="4" borderId="52" xfId="4" applyNumberFormat="1" applyFont="1" applyFill="1" applyBorder="1" applyAlignment="1">
      <alignment horizontal="center" vertical="center"/>
    </xf>
    <xf numFmtId="40" fontId="15" fillId="4" borderId="48" xfId="4" applyNumberFormat="1" applyFont="1" applyFill="1" applyBorder="1" applyAlignment="1">
      <alignment horizontal="center" vertical="center"/>
    </xf>
    <xf numFmtId="40" fontId="8" fillId="4" borderId="61" xfId="4" applyNumberFormat="1" applyFont="1" applyFill="1" applyBorder="1" applyAlignment="1">
      <alignment horizontal="center" vertical="center"/>
    </xf>
    <xf numFmtId="40" fontId="8" fillId="4" borderId="62" xfId="4" applyNumberFormat="1" applyFont="1" applyFill="1" applyBorder="1" applyAlignment="1">
      <alignment horizontal="center" vertical="center"/>
    </xf>
    <xf numFmtId="0" fontId="33" fillId="4" borderId="0" xfId="0" applyNumberFormat="1" applyFont="1" applyFill="1" applyBorder="1" applyAlignment="1">
      <alignment horizontal="center" vertical="center"/>
    </xf>
    <xf numFmtId="0" fontId="33" fillId="0" borderId="0" xfId="0" applyFont="1" applyBorder="1" applyAlignment="1">
      <alignment horizontal="left" vertical="center"/>
    </xf>
    <xf numFmtId="0" fontId="7" fillId="4" borderId="18" xfId="0" applyFont="1" applyFill="1" applyBorder="1" applyAlignment="1">
      <alignment horizontal="center" vertical="center"/>
    </xf>
    <xf numFmtId="0" fontId="7" fillId="4" borderId="23" xfId="0" applyFont="1" applyFill="1" applyBorder="1" applyAlignment="1">
      <alignment horizontal="center" vertical="center"/>
    </xf>
    <xf numFmtId="14" fontId="9" fillId="6" borderId="1" xfId="0" applyNumberFormat="1" applyFont="1" applyFill="1" applyBorder="1" applyAlignment="1">
      <alignment horizontal="center"/>
    </xf>
    <xf numFmtId="14" fontId="9" fillId="6" borderId="2" xfId="0" applyNumberFormat="1" applyFont="1" applyFill="1" applyBorder="1" applyAlignment="1">
      <alignment horizontal="center"/>
    </xf>
    <xf numFmtId="171" fontId="12" fillId="6" borderId="0" xfId="0" applyNumberFormat="1" applyFont="1" applyFill="1" applyBorder="1" applyAlignment="1">
      <alignment horizontal="right" wrapText="1"/>
    </xf>
    <xf numFmtId="171" fontId="12" fillId="6" borderId="12" xfId="0" applyNumberFormat="1" applyFont="1" applyFill="1" applyBorder="1" applyAlignment="1">
      <alignment horizontal="right" wrapText="1"/>
    </xf>
    <xf numFmtId="171" fontId="7" fillId="4" borderId="0" xfId="0" applyNumberFormat="1" applyFont="1" applyFill="1" applyAlignment="1">
      <alignment horizontal="center" vertical="center"/>
    </xf>
    <xf numFmtId="171" fontId="8" fillId="4" borderId="0" xfId="0" applyNumberFormat="1" applyFont="1" applyFill="1" applyAlignment="1">
      <alignment horizontal="center" vertical="center"/>
    </xf>
    <xf numFmtId="178" fontId="14" fillId="4" borderId="183" xfId="4" applyNumberFormat="1" applyFont="1" applyFill="1" applyBorder="1" applyAlignment="1"/>
    <xf numFmtId="171" fontId="12" fillId="6" borderId="185" xfId="0" applyNumberFormat="1" applyFont="1" applyFill="1" applyBorder="1" applyAlignment="1">
      <alignment horizontal="right" wrapText="1"/>
    </xf>
    <xf numFmtId="171" fontId="14" fillId="4" borderId="185" xfId="0" applyNumberFormat="1" applyFont="1" applyFill="1" applyBorder="1" applyAlignment="1">
      <alignment horizontal="right"/>
    </xf>
    <xf numFmtId="10" fontId="14" fillId="4" borderId="185" xfId="0" applyNumberFormat="1" applyFont="1" applyFill="1" applyBorder="1" applyAlignment="1">
      <alignment horizontal="right"/>
    </xf>
    <xf numFmtId="171" fontId="12" fillId="6" borderId="188" xfId="0" applyNumberFormat="1" applyFont="1" applyFill="1" applyBorder="1" applyAlignment="1">
      <alignment horizontal="right" wrapText="1"/>
    </xf>
    <xf numFmtId="49" fontId="15" fillId="0" borderId="189" xfId="0" applyNumberFormat="1" applyFont="1" applyBorder="1" applyAlignment="1">
      <alignment horizontal="right"/>
    </xf>
    <xf numFmtId="171" fontId="14" fillId="4" borderId="188" xfId="0" applyNumberFormat="1" applyFont="1" applyFill="1" applyBorder="1" applyAlignment="1">
      <alignment horizontal="right"/>
    </xf>
    <xf numFmtId="171" fontId="12" fillId="6" borderId="190" xfId="0" applyNumberFormat="1" applyFont="1" applyFill="1" applyBorder="1" applyAlignment="1">
      <alignment horizontal="right" wrapText="1"/>
    </xf>
    <xf numFmtId="0" fontId="18" fillId="0" borderId="189" xfId="0" applyNumberFormat="1" applyFont="1" applyBorder="1" applyAlignment="1">
      <alignment horizontal="right"/>
    </xf>
    <xf numFmtId="171" fontId="6" fillId="4" borderId="188" xfId="0" applyNumberFormat="1" applyFont="1" applyFill="1" applyBorder="1" applyAlignment="1">
      <alignment horizontal="right"/>
    </xf>
    <xf numFmtId="171" fontId="12" fillId="6" borderId="190" xfId="0" applyNumberFormat="1" applyFont="1" applyFill="1" applyBorder="1" applyAlignment="1">
      <alignment horizontal="right" wrapText="1"/>
    </xf>
    <xf numFmtId="171" fontId="14" fillId="4" borderId="191" xfId="0" applyNumberFormat="1" applyFont="1" applyFill="1" applyBorder="1" applyAlignment="1">
      <alignment horizontal="right"/>
    </xf>
    <xf numFmtId="10" fontId="14" fillId="4" borderId="188" xfId="0" applyNumberFormat="1" applyFont="1" applyFill="1" applyBorder="1" applyAlignment="1">
      <alignment horizontal="right"/>
    </xf>
    <xf numFmtId="171" fontId="6" fillId="4" borderId="187" xfId="0" applyNumberFormat="1" applyFont="1" applyFill="1" applyBorder="1" applyAlignment="1">
      <alignment horizontal="right"/>
    </xf>
    <xf numFmtId="171" fontId="11" fillId="4" borderId="185" xfId="0" applyNumberFormat="1" applyFont="1" applyFill="1" applyBorder="1"/>
    <xf numFmtId="171" fontId="11" fillId="6" borderId="185" xfId="0" applyNumberFormat="1" applyFont="1" applyFill="1" applyBorder="1"/>
    <xf numFmtId="171" fontId="6" fillId="4" borderId="186" xfId="0" applyNumberFormat="1" applyFont="1" applyFill="1" applyBorder="1" applyAlignment="1">
      <alignment horizontal="right"/>
    </xf>
    <xf numFmtId="171" fontId="14" fillId="4" borderId="184" xfId="0" applyNumberFormat="1" applyFont="1" applyFill="1" applyBorder="1" applyAlignment="1">
      <alignment horizontal="right"/>
    </xf>
  </cellXfs>
  <cellStyles count="8">
    <cellStyle name="Hyperlink" xfId="1" builtinId="8"/>
    <cellStyle name="Normal" xfId="0" builtinId="0"/>
    <cellStyle name="常规 2" xfId="4" xr:uid="{00000000-0005-0000-0000-000002000000}"/>
    <cellStyle name="常规 2 2" xfId="3" xr:uid="{00000000-0005-0000-0000-000003000000}"/>
    <cellStyle name="常规 3" xfId="5" xr:uid="{00000000-0005-0000-0000-000004000000}"/>
    <cellStyle name="常规 4 2" xfId="6" xr:uid="{00000000-0005-0000-0000-000005000000}"/>
    <cellStyle name="常规 5" xfId="7" xr:uid="{00000000-0005-0000-0000-000006000000}"/>
    <cellStyle name="百分比 2" xfId="2" xr:uid="{00000000-0005-0000-0000-000000000000}"/>
  </cellStyles>
  <dxfs count="2">
    <dxf>
      <font>
        <b val="0"/>
        <i val="0"/>
        <color rgb="FFFF0000"/>
      </font>
    </dxf>
    <dxf>
      <font>
        <b val="0"/>
        <i val="0"/>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m.rtf">
      <tp t="s">
        <v>Refreshing</v>
        <stp/>
        <stp>EM_S_INFO_NAME</stp>
        <stp>1</stp>
        <stp>002138.SZ</stp>
        <tr r="E7" s="21"/>
      </tp>
      <tp t="s">
        <v>Refreshing</v>
        <stp/>
        <stp>EM_S_SHARE_TOTALA</stp>
        <stp>2</stp>
        <stp>002138.SZ</stp>
        <stp>7/26/2019</stp>
        <tr r="C12" s="17"/>
      </tp>
      <tp t="s">
        <v>Refreshing</v>
        <stp/>
        <stp>EM_S_DQ_CLOSE</stp>
        <stp>3</stp>
        <stp>002138.SZ</stp>
        <stp>N</stp>
        <stp>1</stp>
        <tr r="E8" s="21"/>
      </tp>
      <tp t="s">
        <v>Refreshing</v>
        <stp/>
        <stp>EM_S_SHARE_TOTALB</stp>
        <stp>2</stp>
        <stp>002138.SZ</stp>
        <stp>7/26/2019</stp>
        <tr r="C15" s="17"/>
      </tp>
      <tp t="s">
        <v>Refreshing</v>
        <stp/>
        <stp>EM_S_STMNOTE_ASSETDETAIL</stp>
        <stp>3</stp>
        <stp>002138.SZ</stp>
        <stp>1</stp>
        <stp>N</stp>
        <tr r="H141" s="20"/>
        <tr r="H141" s="20"/>
        <tr r="H141" s="20"/>
        <tr r="H141" s="20"/>
        <tr r="G141" s="20"/>
        <tr r="G141" s="20"/>
        <tr r="G141" s="20"/>
        <tr r="G141" s="20"/>
      </tp>
      <tp t="s">
        <v>--</v>
        <stp/>
        <stp>EM_S_STMNOTE_ASSETDETAIL</stp>
        <stp>3</stp>
        <stp>002138.SZ</stp>
        <stp>2</stp>
        <stp>N</stp>
        <tr r="H142" s="20"/>
        <tr r="H142" s="20"/>
        <tr r="H142" s="20"/>
        <tr r="G142" s="20"/>
        <tr r="G142" s="20"/>
        <tr r="G142" s="20"/>
      </tp>
      <tp t="s">
        <v>Refreshing</v>
        <stp/>
        <stp>EM_S_STMNOTE_ASSETDETAIL</stp>
        <stp>3</stp>
        <stp>002138.SZ</stp>
        <stp>5</stp>
        <stp>N</stp>
        <tr r="H145" s="20"/>
        <tr r="H145" s="20"/>
        <tr r="H145" s="20"/>
        <tr r="H145" s="20"/>
        <tr r="G145" s="20"/>
        <tr r="G145" s="20"/>
        <tr r="G145" s="20"/>
        <tr r="G145" s="20"/>
      </tp>
      <tp t="s">
        <v>Refreshing</v>
        <stp/>
        <stp>EM_S_SHARE_TOTAL</stp>
        <stp>2</stp>
        <stp>002138.SZ</stp>
        <stp>12/30/2019</stp>
        <tr r="E9" s="21"/>
      </tp>
      <tp t="s">
        <v>Refreshing</v>
        <stp/>
        <stp>EM_S_RETAINEDEARN</stp>
        <stp>3</stp>
        <stp>002138.SZ</stp>
        <stp>9</stp>
        <stp>12/31/2018</stp>
        <tr r="F35" s="20"/>
        <tr r="F35" s="20"/>
        <tr r="F35" s="20"/>
        <tr r="F35" s="20"/>
      </tp>
      <tp t="s">
        <v>Refreshing</v>
        <stp/>
        <stp>EM_S_RETAINEDEARN</stp>
        <stp>3</stp>
        <stp>002138.SZ</stp>
        <stp>9</stp>
        <stp>12/31/2015</stp>
        <tr r="C35" s="20"/>
        <tr r="C35" s="20"/>
        <tr r="C35" s="20"/>
        <tr r="C35" s="20"/>
      </tp>
      <tp t="s">
        <v>Refreshing</v>
        <stp/>
        <stp>EM_S_RETAINEDEARN</stp>
        <stp>3</stp>
        <stp>002138.SZ</stp>
        <stp>9</stp>
        <stp>12/31/2017</stp>
        <tr r="E35" s="20"/>
        <tr r="E35" s="20"/>
        <tr r="E35" s="20"/>
        <tr r="E35" s="20"/>
      </tp>
      <tp t="s">
        <v>Refreshing</v>
        <stp/>
        <stp>EM_S_RETAINEDEARN</stp>
        <stp>3</stp>
        <stp>002138.SZ</stp>
        <stp>9</stp>
        <stp>12/31/2016</stp>
        <tr r="D35" s="20"/>
        <tr r="D35" s="20"/>
        <tr r="D35" s="20"/>
        <tr r="D35" s="20"/>
      </tp>
      <tp t="s">
        <v>Refreshing</v>
        <stp/>
        <stp>EM_S_STMNOTE_ASSETDETAIL</stp>
        <stp>3</stp>
        <stp>002138.SZ</stp>
        <stp>6</stp>
        <stp>N</stp>
        <tr r="H146" s="20"/>
        <tr r="H146" s="20"/>
        <tr r="H146" s="20"/>
        <tr r="H146" s="20"/>
        <tr r="G146" s="20"/>
        <tr r="G146" s="20"/>
        <tr r="G146" s="20"/>
        <tr r="G146" s="20"/>
      </tp>
      <tp t="s">
        <v>--</v>
        <stp/>
        <stp>EM_S_STMNOTE_ASSETDETAIL</stp>
        <stp>3</stp>
        <stp>002138.SZ</stp>
        <stp>9</stp>
        <stp>N</stp>
        <tr r="H141" s="20"/>
        <tr r="H141" s="20"/>
        <tr r="H141" s="20"/>
        <tr r="G141" s="20"/>
        <tr r="G141" s="20"/>
        <tr r="G141" s="20"/>
      </tp>
      <tp t="s">
        <v>Refreshing</v>
        <stp/>
        <stp>EM_S_PQ_HIGH</stp>
        <stp>4</stp>
        <stp>002138.SZ</stp>
        <stp>E52W</stp>
        <stp>7/26/2019</stp>
        <stp>1</stp>
        <tr r="C4" s="17"/>
      </tp>
      <tp t="s">
        <v>Refreshing</v>
        <stp/>
        <stp>EM_S_VAL_BSHRMARKETVALUE</stp>
        <stp>2</stp>
        <stp>002138.SZ</stp>
        <stp>7/26/2019</stp>
        <tr r="C10" s="17"/>
      </tp>
      <tp t="s">
        <v>Refreshing</v>
        <stp/>
        <stp>EM_S_VAL_ASHRMARKETVALUE</stp>
        <stp>2</stp>
        <stp>002138.SZ</stp>
        <stp>7/26/2019</stp>
        <tr r="C10" s="17"/>
      </tp>
      <tp>
        <v>12.99</v>
        <stp/>
        <stp>EM_S_PQ_LOW</stp>
        <stp>4</stp>
        <stp>002138.SZ</stp>
        <stp>E52W</stp>
        <stp>7/26/2019</stp>
        <stp>1</stp>
        <tr r="C8" s="17"/>
      </tp>
      <tp t="s">
        <v>Refreshing</v>
        <stp/>
        <stp>EM_S_PQ_HIGH</stp>
        <stp>4</stp>
        <stp>002138</stp>
        <stp>E52W</stp>
        <stp>7/26/2019</stp>
        <stp>1</stp>
        <tr r="C7" s="17"/>
      </tp>
      <tp t="s">
        <v>Refreshing</v>
        <stp/>
        <stp>EM_S_SHARE_TOTAL</stp>
        <stp>2</stp>
        <stp>002138.SZ</stp>
        <stp>7/26/2019</stp>
        <tr r="C11" s="17"/>
      </tp>
      <tp>
        <v>43720822.439999998</v>
        <stp/>
        <stp>EM_S_STMNOTE_ASSETDETAIL</stp>
        <stp>3</stp>
        <stp>002138.SZ</stp>
        <stp>18</stp>
        <stp>12/31/2018</stp>
        <tr r="F144" s="20"/>
        <tr r="F144" s="20"/>
        <tr r="F144" s="20"/>
        <tr r="F144" s="20"/>
      </tp>
      <tp t="s">
        <v>Refreshing</v>
        <stp/>
        <stp>EM_S_STMNOTE_ASSETDETAIL</stp>
        <stp>3</stp>
        <stp>002138.SZ</stp>
        <stp>10</stp>
        <stp>12/31/2018</stp>
        <tr r="F142" s="20"/>
        <tr r="F142" s="20"/>
        <tr r="F142" s="20"/>
        <tr r="F142" s="20"/>
      </tp>
      <tp t="s">
        <v>Refreshing</v>
        <stp/>
        <stp>EM_S_STMNOTE_ASSETDETAIL</stp>
        <stp>3</stp>
        <stp>002138.SZ</stp>
        <stp>13</stp>
        <stp>12/31/2018</stp>
        <tr r="F141" s="20"/>
        <tr r="F141" s="20"/>
        <tr r="F141" s="20"/>
        <tr r="F141" s="20"/>
      </tp>
      <tp t="s">
        <v>Refreshing</v>
        <stp/>
        <stp>EM_S_STMNOTE_ASSETDETAIL</stp>
        <stp>3</stp>
        <stp>002138.SZ</stp>
        <stp>14</stp>
        <stp>12/31/2018</stp>
        <tr r="F142" s="20"/>
        <tr r="F142" s="20"/>
        <tr r="F142" s="20"/>
        <tr r="F142" s="20"/>
      </tp>
      <tp t="s">
        <v>Refreshing</v>
        <stp/>
        <stp>EM_S_STMNOTE_ASSETDETAIL</stp>
        <stp>3</stp>
        <stp>002138.SZ</stp>
        <stp>17</stp>
        <stp>12/31/2018</stp>
        <tr r="F143" s="20"/>
        <tr r="F143" s="20"/>
        <tr r="F143" s="20"/>
        <tr r="F143" s="20"/>
      </tp>
      <tp t="s">
        <v>Refreshing</v>
        <stp/>
        <stp>EM_S_STMNOTE_ASSETDETAIL</stp>
        <stp>3</stp>
        <stp>002138.SZ</stp>
        <stp>18</stp>
        <stp>12/31/2015</stp>
        <tr r="C144" s="20"/>
        <tr r="C144" s="20"/>
        <tr r="C144" s="20"/>
        <tr r="C144" s="20"/>
      </tp>
      <tp t="s">
        <v>Refreshing</v>
        <stp/>
        <stp>EM_S_STMNOTE_ASSETDETAIL</stp>
        <stp>3</stp>
        <stp>002138.SZ</stp>
        <stp>10</stp>
        <stp>12/31/2015</stp>
        <tr r="C142" s="20"/>
        <tr r="C142" s="20"/>
        <tr r="C142" s="20"/>
        <tr r="C142" s="20"/>
      </tp>
      <tp t="s">
        <v>Refreshing</v>
        <stp/>
        <stp>EM_S_STMNOTE_ASSETDETAIL</stp>
        <stp>3</stp>
        <stp>002138.SZ</stp>
        <stp>13</stp>
        <stp>12/31/2015</stp>
        <tr r="C141" s="20"/>
        <tr r="C141" s="20"/>
        <tr r="C141" s="20"/>
        <tr r="C141" s="20"/>
      </tp>
      <tp t="s">
        <v>Refreshing</v>
        <stp/>
        <stp>EM_S_STMNOTE_ASSETDETAIL</stp>
        <stp>3</stp>
        <stp>002138.SZ</stp>
        <stp>14</stp>
        <stp>12/31/2015</stp>
        <tr r="C142" s="20"/>
        <tr r="C142" s="20"/>
        <tr r="C142" s="20"/>
        <tr r="C142" s="20"/>
      </tp>
      <tp t="s">
        <v>Refreshing</v>
        <stp/>
        <stp>EM_S_STMNOTE_ASSETDETAIL</stp>
        <stp>3</stp>
        <stp>002138.SZ</stp>
        <stp>17</stp>
        <stp>12/31/2015</stp>
        <tr r="C143" s="20"/>
        <tr r="C143" s="20"/>
        <tr r="C143" s="20"/>
        <tr r="C143" s="20"/>
      </tp>
      <tp t="s">
        <v>Refreshing</v>
        <stp/>
        <stp>EM_S_STMNOTE_ASSETDETAIL</stp>
        <stp>3</stp>
        <stp>002138.SZ</stp>
        <stp>18</stp>
        <stp>12/31/2017</stp>
        <tr r="E144" s="20"/>
        <tr r="E144" s="20"/>
        <tr r="E144" s="20"/>
        <tr r="E144" s="20"/>
      </tp>
      <tp t="s">
        <v>--</v>
        <stp/>
        <stp>EM_S_STMNOTE_ASSETDETAIL</stp>
        <stp>3</stp>
        <stp>002138.SZ</stp>
        <stp>10</stp>
        <stp>12/31/2017</stp>
        <tr r="E142" s="20"/>
        <tr r="E142" s="20"/>
        <tr r="E142" s="20"/>
      </tp>
      <tp t="s">
        <v>Refreshing</v>
        <stp/>
        <stp>EM_S_STMNOTE_ASSETDETAIL</stp>
        <stp>3</stp>
        <stp>002138.SZ</stp>
        <stp>13</stp>
        <stp>12/31/2017</stp>
        <tr r="E141" s="20"/>
        <tr r="E141" s="20"/>
        <tr r="E141" s="20"/>
        <tr r="E141" s="20"/>
      </tp>
      <tp t="s">
        <v>Refreshing</v>
        <stp/>
        <stp>EM_S_STMNOTE_ASSETDETAIL</stp>
        <stp>3</stp>
        <stp>002138.SZ</stp>
        <stp>14</stp>
        <stp>12/31/2017</stp>
        <tr r="E142" s="20"/>
        <tr r="E142" s="20"/>
        <tr r="E142" s="20"/>
        <tr r="E142" s="20"/>
      </tp>
      <tp t="s">
        <v>Refreshing</v>
        <stp/>
        <stp>EM_S_STMNOTE_ASSETDETAIL</stp>
        <stp>3</stp>
        <stp>002138.SZ</stp>
        <stp>17</stp>
        <stp>12/31/2017</stp>
        <tr r="E143" s="20"/>
        <tr r="E143" s="20"/>
        <tr r="E143" s="20"/>
        <tr r="E143" s="20"/>
      </tp>
      <tp t="s">
        <v>Refreshing</v>
        <stp/>
        <stp>EM_S_STMNOTE_ASSETDETAIL</stp>
        <stp>3</stp>
        <stp>002138.SZ</stp>
        <stp>18</stp>
        <stp>12/31/2016</stp>
        <tr r="D144" s="20"/>
        <tr r="D144" s="20"/>
        <tr r="D144" s="20"/>
        <tr r="D144" s="20"/>
      </tp>
      <tp t="s">
        <v>Refreshing</v>
        <stp/>
        <stp>EM_S_STMNOTE_ASSETDETAIL</stp>
        <stp>3</stp>
        <stp>002138.SZ</stp>
        <stp>10</stp>
        <stp>12/31/2016</stp>
        <tr r="D142" s="20"/>
        <tr r="D142" s="20"/>
        <tr r="D142" s="20"/>
        <tr r="D142" s="20"/>
      </tp>
      <tp t="s">
        <v>Refreshing</v>
        <stp/>
        <stp>EM_S_STMNOTE_ASSETDETAIL</stp>
        <stp>3</stp>
        <stp>002138.SZ</stp>
        <stp>13</stp>
        <stp>12/31/2016</stp>
        <tr r="D141" s="20"/>
        <tr r="D141" s="20"/>
        <tr r="D141" s="20"/>
        <tr r="D141" s="20"/>
      </tp>
      <tp t="s">
        <v>Refreshing</v>
        <stp/>
        <stp>EM_S_STMNOTE_ASSETDETAIL</stp>
        <stp>3</stp>
        <stp>002138.SZ</stp>
        <stp>14</stp>
        <stp>12/31/2016</stp>
        <tr r="D142" s="20"/>
        <tr r="D142" s="20"/>
        <tr r="D142" s="20"/>
        <tr r="D142" s="20"/>
      </tp>
      <tp t="s">
        <v>Refreshing</v>
        <stp/>
        <stp>EM_S_STMNOTE_ASSETDETAIL</stp>
        <stp>3</stp>
        <stp>002138.SZ</stp>
        <stp>17</stp>
        <stp>12/31/2016</stp>
        <tr r="D143" s="20"/>
        <tr r="D143" s="20"/>
        <tr r="D143" s="20"/>
        <tr r="D143" s="20"/>
      </tp>
      <tp t="s">
        <v>Refreshing</v>
        <stp/>
        <stp>EM_S_VAL_MV</stp>
        <stp>2</stp>
        <stp>002138.SZ</stp>
        <stp>7/26/2019</stp>
        <tr r="C9" s="17"/>
      </tp>
      <tp t="s">
        <v>Refreshing</v>
        <stp/>
        <stp>EM_S_STM07_BS</stp>
        <stp>4</stp>
        <stp>002138.SZ</stp>
        <stp>76</stp>
        <stp>12/31/2018</stp>
        <stp>1</stp>
        <tr r="F118" s="20"/>
        <tr r="F118" s="20"/>
        <tr r="F118" s="20"/>
        <tr r="F118" s="20"/>
      </tp>
      <tp t="s">
        <v>--</v>
        <stp/>
        <stp>EM_S_STM07_BS</stp>
        <stp>4</stp>
        <stp>002138.SZ</stp>
        <stp>53</stp>
        <stp>12/31/2018</stp>
        <stp>1</stp>
        <tr r="F119" s="20"/>
        <tr r="F119" s="20"/>
        <tr r="F119" s="20"/>
      </tp>
      <tp t="s">
        <v>Refreshing</v>
        <stp/>
        <stp>EM_S_STM07_BS</stp>
        <stp>4</stp>
        <stp>002138.SZ</stp>
        <stp>26</stp>
        <stp>12/31/2018</stp>
        <stp>1</stp>
        <tr r="F119" s="20"/>
        <tr r="F119" s="20"/>
        <tr r="F119" s="20"/>
        <tr r="F119" s="20"/>
      </tp>
      <tp t="s">
        <v>Refreshing</v>
        <stp/>
        <stp>EM_S_STM07_BS</stp>
        <stp>4</stp>
        <stp>002138.SZ</stp>
        <stp>27</stp>
        <stp>12/31/2018</stp>
        <stp>1</stp>
        <tr r="F119" s="20"/>
        <tr r="F119" s="20"/>
        <tr r="F119" s="20"/>
        <tr r="F119" s="20"/>
      </tp>
      <tp t="s">
        <v>Refreshing</v>
        <stp/>
        <stp>EM_S_STM07_BS</stp>
        <stp>4</stp>
        <stp>002138.SZ</stp>
        <stp>10</stp>
        <stp>12/31/2018</stp>
        <stp>1</stp>
        <tr r="F118" s="20"/>
        <tr r="F118" s="20"/>
        <tr r="F118" s="20"/>
        <tr r="F118" s="20"/>
      </tp>
      <tp t="s">
        <v>Refreshing</v>
        <stp/>
        <stp>EM_S_STM07_BS</stp>
        <stp>4</stp>
        <stp>002138.SZ</stp>
        <stp>10</stp>
        <stp>12/31/2016</stp>
        <stp>1</stp>
        <tr r="D118" s="20"/>
        <tr r="D118" s="20"/>
        <tr r="D118" s="20"/>
        <tr r="D118" s="20"/>
      </tp>
      <tp t="s">
        <v>Refreshing</v>
        <stp/>
        <stp>EM_S_STM07_BS</stp>
        <stp>4</stp>
        <stp>002138.SZ</stp>
        <stp>26</stp>
        <stp>12/31/2015</stp>
        <stp>1</stp>
        <tr r="C119" s="20"/>
        <tr r="C119" s="20"/>
        <tr r="C119" s="20"/>
        <tr r="C119" s="20"/>
      </tp>
      <tp t="s">
        <v>Refreshing</v>
        <stp/>
        <stp>EM_S_STM07_BS</stp>
        <stp>4</stp>
        <stp>002138.SZ</stp>
        <stp>27</stp>
        <stp>12/31/2015</stp>
        <stp>1</stp>
        <tr r="C119" s="20"/>
        <tr r="C119" s="20"/>
        <tr r="C119" s="20"/>
        <tr r="C119" s="20"/>
      </tp>
      <tp t="s">
        <v>Refreshing</v>
        <stp/>
        <stp>EM_S_STM07_BS</stp>
        <stp>4</stp>
        <stp>002138.SZ</stp>
        <stp>10</stp>
        <stp>12/31/2017</stp>
        <stp>1</stp>
        <tr r="E118" s="20"/>
        <tr r="E118" s="20"/>
        <tr r="E118" s="20"/>
        <tr r="E118" s="20"/>
      </tp>
      <tp t="s">
        <v>Refreshing</v>
        <stp/>
        <stp>EM_S_STM07_BS</stp>
        <stp>4</stp>
        <stp>002138.SZ</stp>
        <stp>26</stp>
        <stp>12/31/2017</stp>
        <stp>1</stp>
        <tr r="E119" s="20"/>
        <tr r="E119" s="20"/>
        <tr r="E119" s="20"/>
        <tr r="E119" s="20"/>
      </tp>
      <tp t="s">
        <v>Refreshing</v>
        <stp/>
        <stp>EM_S_STM07_BS</stp>
        <stp>4</stp>
        <stp>002138.SZ</stp>
        <stp>27</stp>
        <stp>12/31/2017</stp>
        <stp>1</stp>
        <tr r="E119" s="20"/>
        <tr r="E119" s="20"/>
        <tr r="E119" s="20"/>
        <tr r="E119" s="20"/>
      </tp>
      <tp t="s">
        <v>Refreshing</v>
        <stp/>
        <stp>EM_S_STM07_BS</stp>
        <stp>4</stp>
        <stp>002138.SZ</stp>
        <stp>10</stp>
        <stp>12/31/2015</stp>
        <stp>1</stp>
        <tr r="C118" s="20"/>
        <tr r="C118" s="20"/>
        <tr r="C118" s="20"/>
        <tr r="C118" s="20"/>
      </tp>
      <tp t="s">
        <v>Refreshing</v>
        <stp/>
        <stp>EM_S_STM07_BS</stp>
        <stp>4</stp>
        <stp>002138.SZ</stp>
        <stp>26</stp>
        <stp>12/31/2016</stp>
        <stp>1</stp>
        <tr r="D119" s="20"/>
        <tr r="D119" s="20"/>
        <tr r="D119" s="20"/>
        <tr r="D119" s="20"/>
      </tp>
      <tp t="s">
        <v>Refreshing</v>
        <stp/>
        <stp>EM_S_STM07_BS</stp>
        <stp>4</stp>
        <stp>002138.SZ</stp>
        <stp>27</stp>
        <stp>12/31/2016</stp>
        <stp>1</stp>
        <tr r="D119" s="20"/>
        <tr r="D119" s="20"/>
        <tr r="D119" s="20"/>
        <tr r="D119" s="20"/>
      </tp>
      <tp t="s">
        <v>Refreshing</v>
        <stp/>
        <stp>EM_S_STM07_BS</stp>
        <stp>4</stp>
        <stp>002138.SZ</stp>
        <stp>53</stp>
        <stp>12/31/2016</stp>
        <stp>1</stp>
        <tr r="D119" s="20"/>
        <tr r="D119" s="20"/>
        <tr r="D119" s="20"/>
        <tr r="D119" s="20"/>
      </tp>
      <tp t="s">
        <v>Refreshing</v>
        <stp/>
        <stp>EM_S_STMNOTE_ASSETDETAIL</stp>
        <stp>3</stp>
        <stp>002138.SZ</stp>
        <stp>9</stp>
        <stp>12/31/2018</stp>
        <tr r="F141" s="20"/>
        <tr r="F141" s="20"/>
        <tr r="F141" s="20"/>
        <tr r="F141" s="20"/>
      </tp>
      <tp t="s">
        <v>Refreshing</v>
        <stp/>
        <stp>EM_S_STMNOTE_ASSETDETAIL</stp>
        <stp>3</stp>
        <stp>002138.SZ</stp>
        <stp>5</stp>
        <stp>12/31/2018</stp>
        <tr r="F145" s="20"/>
        <tr r="F145" s="20"/>
        <tr r="F145" s="20"/>
        <tr r="F145" s="20"/>
      </tp>
      <tp t="s">
        <v>Refreshing</v>
        <stp/>
        <stp>EM_S_STMNOTE_ASSETDETAIL</stp>
        <stp>3</stp>
        <stp>002138.SZ</stp>
        <stp>6</stp>
        <stp>12/31/2018</stp>
        <tr r="F146" s="20"/>
        <tr r="F146" s="20"/>
        <tr r="F146" s="20"/>
        <tr r="F146" s="20"/>
      </tp>
      <tp t="s">
        <v>Refreshing</v>
        <stp/>
        <stp>EM_S_STMNOTE_ASSETDETAIL</stp>
        <stp>3</stp>
        <stp>002138.SZ</stp>
        <stp>1</stp>
        <stp>12/31/2018</stp>
        <tr r="F141" s="20"/>
        <tr r="F141" s="20"/>
        <tr r="F141" s="20"/>
        <tr r="F141" s="20"/>
      </tp>
      <tp t="s">
        <v>Refreshing</v>
        <stp/>
        <stp>EM_S_STMNOTE_ASSETDETAIL</stp>
        <stp>3</stp>
        <stp>002138.SZ</stp>
        <stp>2</stp>
        <stp>12/31/2018</stp>
        <tr r="F142" s="20"/>
        <tr r="F142" s="20"/>
        <tr r="F142" s="20"/>
        <tr r="F142" s="20"/>
      </tp>
      <tp t="s">
        <v>Refreshing</v>
        <stp/>
        <stp>EM_S_STMNOTE_ASSETDETAIL</stp>
        <stp>3</stp>
        <stp>002138.SZ</stp>
        <stp>9</stp>
        <stp>12/31/2016</stp>
        <tr r="D141" s="20"/>
        <tr r="D141" s="20"/>
        <tr r="D141" s="20"/>
        <tr r="D141" s="20"/>
      </tp>
      <tp t="s">
        <v>Refreshing</v>
        <stp/>
        <stp>EM_S_STMNOTE_ASSETDETAIL</stp>
        <stp>3</stp>
        <stp>002138.SZ</stp>
        <stp>5</stp>
        <stp>12/31/2016</stp>
        <tr r="D145" s="20"/>
        <tr r="D145" s="20"/>
        <tr r="D145" s="20"/>
        <tr r="D145" s="20"/>
      </tp>
      <tp t="s">
        <v>Refreshing</v>
        <stp/>
        <stp>EM_S_STMNOTE_ASSETDETAIL</stp>
        <stp>3</stp>
        <stp>002138.SZ</stp>
        <stp>6</stp>
        <stp>12/31/2016</stp>
        <tr r="D146" s="20"/>
        <tr r="D146" s="20"/>
        <tr r="D146" s="20"/>
        <tr r="D146" s="20"/>
      </tp>
      <tp t="s">
        <v>Refreshing</v>
        <stp/>
        <stp>EM_S_STMNOTE_ASSETDETAIL</stp>
        <stp>3</stp>
        <stp>002138.SZ</stp>
        <stp>1</stp>
        <stp>12/31/2016</stp>
        <tr r="D141" s="20"/>
        <tr r="D141" s="20"/>
        <tr r="D141" s="20"/>
        <tr r="D141" s="20"/>
      </tp>
      <tp t="s">
        <v>Refreshing</v>
        <stp/>
        <stp>EM_S_STMNOTE_ASSETDETAIL</stp>
        <stp>3</stp>
        <stp>002138.SZ</stp>
        <stp>2</stp>
        <stp>12/31/2016</stp>
        <tr r="D142" s="20"/>
        <tr r="D142" s="20"/>
        <tr r="D142" s="20"/>
        <tr r="D142" s="20"/>
      </tp>
      <tp t="s">
        <v>Refreshing</v>
        <stp/>
        <stp>EM_S_STMNOTE_ASSETDETAIL</stp>
        <stp>3</stp>
        <stp>002138.SZ</stp>
        <stp>9</stp>
        <stp>12/31/2017</stp>
        <tr r="E141" s="20"/>
        <tr r="E141" s="20"/>
        <tr r="E141" s="20"/>
        <tr r="E141" s="20"/>
      </tp>
      <tp t="s">
        <v>Refreshing</v>
        <stp/>
        <stp>EM_S_STMNOTE_ASSETDETAIL</stp>
        <stp>3</stp>
        <stp>002138.SZ</stp>
        <stp>5</stp>
        <stp>12/31/2017</stp>
        <tr r="E145" s="20"/>
        <tr r="E145" s="20"/>
        <tr r="E145" s="20"/>
        <tr r="E145" s="20"/>
      </tp>
      <tp t="s">
        <v>Refreshing</v>
        <stp/>
        <stp>EM_S_STMNOTE_ASSETDETAIL</stp>
        <stp>3</stp>
        <stp>002138.SZ</stp>
        <stp>6</stp>
        <stp>12/31/2017</stp>
        <tr r="E146" s="20"/>
        <tr r="E146" s="20"/>
        <tr r="E146" s="20"/>
        <tr r="E146" s="20"/>
      </tp>
      <tp t="s">
        <v>Refreshing</v>
        <stp/>
        <stp>EM_S_STMNOTE_ASSETDETAIL</stp>
        <stp>3</stp>
        <stp>002138.SZ</stp>
        <stp>1</stp>
        <stp>12/31/2017</stp>
        <tr r="E141" s="20"/>
        <tr r="E141" s="20"/>
        <tr r="E141" s="20"/>
        <tr r="E141" s="20"/>
      </tp>
      <tp t="s">
        <v>Refreshing</v>
        <stp/>
        <stp>EM_S_STMNOTE_ASSETDETAIL</stp>
        <stp>3</stp>
        <stp>002138.SZ</stp>
        <stp>2</stp>
        <stp>12/31/2017</stp>
        <tr r="E142" s="20"/>
        <tr r="E142" s="20"/>
        <tr r="E142" s="20"/>
        <tr r="E142" s="20"/>
      </tp>
      <tp t="s">
        <v>Refreshing</v>
        <stp/>
        <stp>EM_S_STMNOTE_ASSETDETAIL</stp>
        <stp>3</stp>
        <stp>002138.SZ</stp>
        <stp>9</stp>
        <stp>12/31/2015</stp>
        <tr r="C141" s="20"/>
        <tr r="C141" s="20"/>
        <tr r="C141" s="20"/>
        <tr r="C141" s="20"/>
      </tp>
      <tp t="s">
        <v>Refreshing</v>
        <stp/>
        <stp>EM_S_STMNOTE_ASSETDETAIL</stp>
        <stp>3</stp>
        <stp>002138.SZ</stp>
        <stp>5</stp>
        <stp>12/31/2015</stp>
        <tr r="C145" s="20"/>
        <tr r="C145" s="20"/>
        <tr r="C145" s="20"/>
        <tr r="C145" s="20"/>
      </tp>
      <tp t="s">
        <v>Refreshing</v>
        <stp/>
        <stp>EM_S_STMNOTE_ASSETDETAIL</stp>
        <stp>3</stp>
        <stp>002138.SZ</stp>
        <stp>6</stp>
        <stp>12/31/2015</stp>
        <tr r="C146" s="20"/>
        <tr r="C146" s="20"/>
        <tr r="C146" s="20"/>
        <tr r="C146" s="20"/>
      </tp>
      <tp t="s">
        <v>Refreshing</v>
        <stp/>
        <stp>EM_S_STMNOTE_ASSETDETAIL</stp>
        <stp>3</stp>
        <stp>002138.SZ</stp>
        <stp>1</stp>
        <stp>12/31/2015</stp>
        <tr r="C141" s="20"/>
        <tr r="C141" s="20"/>
        <tr r="C141" s="20"/>
        <tr r="C141" s="20"/>
      </tp>
      <tp t="s">
        <v>Refreshing</v>
        <stp/>
        <stp>EM_S_STMNOTE_ASSETDETAIL</stp>
        <stp>3</stp>
        <stp>002138.SZ</stp>
        <stp>2</stp>
        <stp>12/31/2015</stp>
        <tr r="C142" s="20"/>
        <tr r="C142" s="20"/>
        <tr r="C142" s="20"/>
        <tr r="C142" s="20"/>
      </tp>
      <tp t="s">
        <v>Refreshing</v>
        <stp/>
        <stp>EM_S_STM07_BS</stp>
        <stp>4</stp>
        <stp>002138.SZ</stp>
        <stp>53</stp>
        <stp>12/31/2017</stp>
        <stp>1</stp>
        <tr r="E119" s="20"/>
        <tr r="E119" s="20"/>
        <tr r="E119" s="20"/>
        <tr r="E119" s="20"/>
      </tp>
      <tp t="s">
        <v>Refreshing</v>
        <stp/>
        <stp>EM_S_STM07_BS</stp>
        <stp>4</stp>
        <stp>002138.SZ</stp>
        <stp>76</stp>
        <stp>12/31/2015</stp>
        <stp>1</stp>
        <tr r="C118" s="20"/>
        <tr r="C118" s="20"/>
        <tr r="C118" s="20"/>
        <tr r="C118" s="20"/>
      </tp>
      <tp t="s">
        <v>Refreshing</v>
        <stp/>
        <stp>EM_S_STM07_BS</stp>
        <stp>4</stp>
        <stp>002138.SZ</stp>
        <stp>76</stp>
        <stp>12/31/2016</stp>
        <stp>1</stp>
        <tr r="D118" s="20"/>
        <tr r="D118" s="20"/>
        <tr r="D118" s="20"/>
        <tr r="D118" s="20"/>
      </tp>
      <tp t="s">
        <v>Refreshing</v>
        <stp/>
        <stp>EM_S_STM07_BS</stp>
        <stp>4</stp>
        <stp>002138.SZ</stp>
        <stp>53</stp>
        <stp>12/31/2015</stp>
        <stp>1</stp>
        <tr r="C119" s="20"/>
        <tr r="C119" s="20"/>
        <tr r="C119" s="20"/>
        <tr r="C119" s="20"/>
      </tp>
      <tp t="s">
        <v>Refreshing</v>
        <stp/>
        <stp>EM_S_STM07_BS</stp>
        <stp>4</stp>
        <stp>002138.SZ</stp>
        <stp>76</stp>
        <stp>12/31/2017</stp>
        <stp>1</stp>
        <tr r="E118" s="20"/>
        <tr r="E118" s="20"/>
        <tr r="E118" s="20"/>
        <tr r="E118" s="20"/>
      </tp>
      <tp t="s">
        <v>Refreshing</v>
        <stp/>
        <stp>EM_S_STMNOTE_FINEXP</stp>
        <stp>4</stp>
        <stp>002138.SZ</stp>
        <stp>2</stp>
        <stp>12/31/2017</stp>
        <stp>1</stp>
        <tr r="E149" s="20"/>
        <tr r="E149" s="20"/>
        <tr r="E149" s="20"/>
        <tr r="E149" s="20"/>
      </tp>
      <tp t="s">
        <v>Refreshing</v>
        <stp/>
        <stp>EM_S_STMNOTE_FINEXP</stp>
        <stp>4</stp>
        <stp>002138.SZ</stp>
        <stp>1</stp>
        <stp>12/31/2017</stp>
        <stp>1</stp>
        <tr r="E148" s="20"/>
        <tr r="E148" s="20"/>
        <tr r="E148" s="20"/>
        <tr r="E148" s="20"/>
      </tp>
      <tp t="s">
        <v>Refreshing</v>
        <stp/>
        <stp>EM_S_STM07_BS</stp>
        <stp>4</stp>
        <stp>002138.SZ</stp>
        <stp>26</stp>
        <stp>2017-12-31</stp>
        <stp>1</stp>
        <tr r="F119" s="20"/>
        <tr r="F119" s="20"/>
        <tr r="F119" s="20"/>
        <tr r="F119" s="20"/>
      </tp>
      <tp t="s">
        <v>Refreshing</v>
        <stp/>
        <stp>EM_S_STM07_BS</stp>
        <stp>4</stp>
        <stp>002138.SZ</stp>
        <stp>26</stp>
        <stp>2016-12-31</stp>
        <stp>1</stp>
        <tr r="E119" s="20"/>
        <tr r="E119" s="20"/>
        <tr r="E119" s="20"/>
        <tr r="E119" s="20"/>
      </tp>
      <tp t="s">
        <v>Refreshing</v>
        <stp/>
        <stp>EM_S_STM07_BS</stp>
        <stp>4</stp>
        <stp>002138.SZ</stp>
        <stp>26</stp>
        <stp>2015-12-31</stp>
        <stp>1</stp>
        <tr r="D119" s="20"/>
        <tr r="D119" s="20"/>
        <tr r="D119" s="20"/>
        <tr r="D119" s="20"/>
      </tp>
      <tp t="s">
        <v>Refreshing</v>
        <stp/>
        <stp>EM_S_STM07_BS</stp>
        <stp>4</stp>
        <stp>002138.SZ</stp>
        <stp>26</stp>
        <stp>2014-12-31</stp>
        <stp>1</stp>
        <tr r="C119" s="20"/>
        <tr r="C119" s="20"/>
        <tr r="C119" s="20"/>
        <tr r="C119" s="20"/>
      </tp>
      <tp t="s">
        <v>Refreshing</v>
        <stp/>
        <stp>EM_S_STM07_BS</stp>
        <stp>4</stp>
        <stp>002138.SZ</stp>
        <stp>27</stp>
        <stp>2017-12-31</stp>
        <stp>1</stp>
        <tr r="F119" s="20"/>
        <tr r="F119" s="20"/>
        <tr r="F119" s="20"/>
        <tr r="F119" s="20"/>
      </tp>
      <tp t="s">
        <v>Refreshing</v>
        <stp/>
        <stp>EM_S_STM07_BS</stp>
        <stp>4</stp>
        <stp>002138.SZ</stp>
        <stp>27</stp>
        <stp>2016-12-31</stp>
        <stp>1</stp>
        <tr r="E119" s="20"/>
        <tr r="E119" s="20"/>
        <tr r="E119" s="20"/>
        <tr r="E119" s="20"/>
      </tp>
      <tp t="s">
        <v>Refreshing</v>
        <stp/>
        <stp>EM_S_STM07_BS</stp>
        <stp>4</stp>
        <stp>002138.SZ</stp>
        <stp>27</stp>
        <stp>2015-12-31</stp>
        <stp>1</stp>
        <tr r="D119" s="20"/>
        <tr r="D119" s="20"/>
        <tr r="D119" s="20"/>
        <tr r="D119" s="20"/>
      </tp>
      <tp t="s">
        <v>Refreshing</v>
        <stp/>
        <stp>EM_S_STM07_BS</stp>
        <stp>4</stp>
        <stp>002138.SZ</stp>
        <stp>27</stp>
        <stp>2014-12-31</stp>
        <stp>1</stp>
        <tr r="C119" s="20"/>
        <tr r="C119" s="20"/>
        <tr r="C119" s="20"/>
        <tr r="C119" s="20"/>
      </tp>
      <tp t="s">
        <v>Refreshing</v>
        <stp/>
        <stp>EM_S_STMNOTE_FINEXP</stp>
        <stp>4</stp>
        <stp>002138.SZ</stp>
        <stp>2</stp>
        <stp>12/31/2016</stp>
        <stp>1</stp>
        <tr r="D149" s="20"/>
        <tr r="D149" s="20"/>
        <tr r="D149" s="20"/>
        <tr r="D149" s="20"/>
      </tp>
      <tp t="s">
        <v>Refreshing</v>
        <stp/>
        <stp>EM_S_STMNOTE_FINEXP</stp>
        <stp>4</stp>
        <stp>002138.SZ</stp>
        <stp>1</stp>
        <stp>12/31/2016</stp>
        <stp>1</stp>
        <tr r="D148" s="20"/>
        <tr r="D148" s="20"/>
        <tr r="D148" s="20"/>
        <tr r="D148" s="20"/>
      </tp>
      <tp t="s">
        <v>Refreshing</v>
        <stp/>
        <stp>EM_S_STMNOTE_FINEXP</stp>
        <stp>4</stp>
        <stp>002138.SZ</stp>
        <stp>2</stp>
        <stp>12/31/2015</stp>
        <stp>1</stp>
        <tr r="C149" s="20"/>
        <tr r="C149" s="20"/>
        <tr r="C149" s="20"/>
        <tr r="C149" s="20"/>
      </tp>
      <tp t="s">
        <v>Refreshing</v>
        <stp/>
        <stp>EM_S_STMNOTE_FINEXP</stp>
        <stp>4</stp>
        <stp>002138.SZ</stp>
        <stp>1</stp>
        <stp>12/31/2015</stp>
        <stp>1</stp>
        <tr r="C148" s="20"/>
        <tr r="C148" s="20"/>
        <tr r="C148" s="20"/>
        <tr r="C148" s="20"/>
      </tp>
      <tp t="s">
        <v>Refreshing</v>
        <stp/>
        <stp>EM_S_STM07_BS</stp>
        <stp>4</stp>
        <stp>002138.SZ</stp>
        <stp>10</stp>
        <stp>2017-12-31</stp>
        <stp>1</stp>
        <tr r="F118" s="20"/>
        <tr r="F118" s="20"/>
        <tr r="F118" s="20"/>
        <tr r="F118" s="20"/>
      </tp>
      <tp t="s">
        <v>Refreshing</v>
        <stp/>
        <stp>EM_S_STM07_BS</stp>
        <stp>4</stp>
        <stp>002138.SZ</stp>
        <stp>10</stp>
        <stp>2016-12-31</stp>
        <stp>1</stp>
        <tr r="E118" s="20"/>
        <tr r="E118" s="20"/>
        <tr r="E118" s="20"/>
        <tr r="E118" s="20"/>
      </tp>
      <tp t="s">
        <v>Refreshing</v>
        <stp/>
        <stp>EM_S_STM07_BS</stp>
        <stp>4</stp>
        <stp>002138.SZ</stp>
        <stp>10</stp>
        <stp>2015-12-31</stp>
        <stp>1</stp>
        <tr r="D118" s="20"/>
        <tr r="D118" s="20"/>
        <tr r="D118" s="20"/>
        <tr r="D118" s="20"/>
      </tp>
      <tp t="s">
        <v>Refreshing</v>
        <stp/>
        <stp>EM_S_STM07_BS</stp>
        <stp>4</stp>
        <stp>002138.SZ</stp>
        <stp>10</stp>
        <stp>2014-12-31</stp>
        <stp>1</stp>
        <tr r="C118" s="20"/>
        <tr r="C118" s="20"/>
        <tr r="C118" s="20"/>
        <tr r="C118" s="20"/>
      </tp>
      <tp t="s">
        <v>Refreshing</v>
        <stp/>
        <stp>EM_S_STM07_BS</stp>
        <stp>4</stp>
        <stp>002138.SZ</stp>
        <stp>76</stp>
        <stp>2017-12-31</stp>
        <stp>1</stp>
        <tr r="F118" s="20"/>
        <tr r="F118" s="20"/>
        <tr r="F118" s="20"/>
        <tr r="F118" s="20"/>
      </tp>
      <tp t="s">
        <v>Refreshing</v>
        <stp/>
        <stp>EM_S_STM07_BS</stp>
        <stp>4</stp>
        <stp>002138.SZ</stp>
        <stp>76</stp>
        <stp>2016-12-31</stp>
        <stp>1</stp>
        <tr r="E118" s="20"/>
        <tr r="E118" s="20"/>
        <tr r="E118" s="20"/>
        <tr r="E118" s="20"/>
      </tp>
      <tp t="s">
        <v>Refreshing</v>
        <stp/>
        <stp>EM_S_STM07_BS</stp>
        <stp>4</stp>
        <stp>002138.SZ</stp>
        <stp>76</stp>
        <stp>2015-12-31</stp>
        <stp>1</stp>
        <tr r="D118" s="20"/>
        <tr r="D118" s="20"/>
        <tr r="D118" s="20"/>
        <tr r="D118" s="20"/>
      </tp>
      <tp t="s">
        <v>Refreshing</v>
        <stp/>
        <stp>EM_S_STM07_BS</stp>
        <stp>4</stp>
        <stp>002138.SZ</stp>
        <stp>76</stp>
        <stp>2014-12-31</stp>
        <stp>1</stp>
        <tr r="C118" s="20"/>
        <tr r="C118" s="20"/>
        <tr r="C118" s="20"/>
        <tr r="C118" s="20"/>
      </tp>
      <tp t="s">
        <v>Refreshing</v>
        <stp/>
        <stp>EM_S_STM07_BS</stp>
        <stp>4</stp>
        <stp>002138.SZ</stp>
        <stp>53</stp>
        <stp>2017-12-31</stp>
        <stp>1</stp>
        <tr r="F119" s="20"/>
        <tr r="F119" s="20"/>
        <tr r="F119" s="20"/>
        <tr r="F119" s="20"/>
      </tp>
      <tp t="s">
        <v>Refreshing</v>
        <stp/>
        <stp>EM_S_STM07_BS</stp>
        <stp>4</stp>
        <stp>002138.SZ</stp>
        <stp>53</stp>
        <stp>2016-12-31</stp>
        <stp>1</stp>
        <tr r="E119" s="20"/>
        <tr r="E119" s="20"/>
        <tr r="E119" s="20"/>
        <tr r="E119" s="20"/>
      </tp>
      <tp t="s">
        <v>Refreshing</v>
        <stp/>
        <stp>EM_S_STM07_BS</stp>
        <stp>4</stp>
        <stp>002138.SZ</stp>
        <stp>53</stp>
        <stp>2015-12-31</stp>
        <stp>1</stp>
        <tr r="D119" s="20"/>
        <tr r="D119" s="20"/>
        <tr r="D119" s="20"/>
        <tr r="D119" s="20"/>
      </tp>
      <tp t="s">
        <v>Refreshing</v>
        <stp/>
        <stp>EM_S_STM07_BS</stp>
        <stp>4</stp>
        <stp>002138.SZ</stp>
        <stp>53</stp>
        <stp>2014-12-31</stp>
        <stp>1</stp>
        <tr r="C119" s="20"/>
        <tr r="C119" s="20"/>
        <tr r="C119" s="20"/>
        <tr r="C119" s="20"/>
      </tp>
      <tp t="s">
        <v>Refreshing</v>
        <stp/>
        <stp>EM_S_STM07_BS</stp>
        <stp>4</stp>
        <stp>002138.SZ</stp>
        <stp>26</stp>
        <stp>1899-12-31</stp>
        <stp>1</stp>
        <tr r="H119" s="20"/>
        <tr r="H119" s="20"/>
        <tr r="H119" s="20"/>
        <tr r="H119" s="20"/>
        <tr r="G119" s="20"/>
        <tr r="G119" s="20"/>
        <tr r="G119" s="20"/>
        <tr r="G119" s="20"/>
      </tp>
      <tp t="s">
        <v>Refreshing</v>
        <stp/>
        <stp>EM_S_STM07_BS</stp>
        <stp>4</stp>
        <stp>002138.SZ</stp>
        <stp>27</stp>
        <stp>1899-12-31</stp>
        <stp>1</stp>
        <tr r="H119" s="20"/>
        <tr r="H119" s="20"/>
        <tr r="H119" s="20"/>
        <tr r="H119" s="20"/>
        <tr r="G119" s="20"/>
        <tr r="G119" s="20"/>
        <tr r="G119" s="20"/>
        <tr r="G119" s="20"/>
      </tp>
      <tp t="s">
        <v>Refreshing</v>
        <stp/>
        <stp>EM_S_SHARE_RESTRICTEDA</stp>
        <stp>2</stp>
        <stp>002138.SZ</stp>
        <stp>7/26/2019</stp>
        <tr r="C14" s="17"/>
      </tp>
      <tp t="s">
        <v>Refreshing</v>
        <stp/>
        <stp>EM_S_STM07_BS</stp>
        <stp>4</stp>
        <stp>002138.SZ</stp>
        <stp>10</stp>
        <stp>1899-12-31</stp>
        <stp>1</stp>
        <tr r="H118" s="20"/>
        <tr r="H118" s="20"/>
        <tr r="H118" s="20"/>
        <tr r="H118" s="20"/>
        <tr r="G118" s="20"/>
        <tr r="G118" s="20"/>
        <tr r="G118" s="20"/>
        <tr r="G118" s="20"/>
      </tp>
      <tp t="s">
        <v>Refreshing</v>
        <stp/>
        <stp>EM_S_STM07_BS</stp>
        <stp>4</stp>
        <stp>002138.SZ</stp>
        <stp>76</stp>
        <stp>1899-12-31</stp>
        <stp>1</stp>
        <tr r="H118" s="20"/>
        <tr r="H118" s="20"/>
        <tr r="H118" s="20"/>
        <tr r="H118" s="20"/>
        <tr r="G118" s="20"/>
        <tr r="G118" s="20"/>
        <tr r="G118" s="20"/>
        <tr r="G118" s="20"/>
      </tp>
      <tp t="s">
        <v>Refreshing</v>
        <stp/>
        <stp>EM_S_STMNOTE_FINEXP</stp>
        <stp>4</stp>
        <stp>002138.SZ</stp>
        <stp>2</stp>
        <stp>12/31/2018</stp>
        <stp>1</stp>
        <tr r="F149" s="20"/>
        <tr r="F149" s="20"/>
        <tr r="F149" s="20"/>
        <tr r="F149" s="20"/>
      </tp>
      <tp t="s">
        <v>Refreshing</v>
        <stp/>
        <stp>EM_S_STMNOTE_FINEXP</stp>
        <stp>4</stp>
        <stp>002138.SZ</stp>
        <stp>1</stp>
        <stp>12/31/2018</stp>
        <stp>1</stp>
        <tr r="F148" s="20"/>
        <tr r="F148" s="20"/>
        <tr r="F148" s="20"/>
        <tr r="F148" s="20"/>
      </tp>
      <tp t="s">
        <v>Refreshing</v>
        <stp/>
        <stp>EM_S_STM07_BS</stp>
        <stp>4</stp>
        <stp>002138.SZ</stp>
        <stp>53</stp>
        <stp>1899-12-31</stp>
        <stp>1</stp>
        <tr r="H119" s="20"/>
        <tr r="H119" s="20"/>
        <tr r="H119" s="20"/>
        <tr r="H119" s="20"/>
        <tr r="G119" s="20"/>
        <tr r="G119" s="20"/>
        <tr r="G119" s="20"/>
        <tr r="G119" s="20"/>
      </tp>
      <tp t="s">
        <v>Refreshing</v>
        <stp/>
        <stp>EM_S_DQ_CLOSE</stp>
        <stp>3</stp>
        <stp>002138.SZ</stp>
        <stp>7/26/2019</stp>
        <stp>1</stp>
        <tr r="C6" s="17"/>
      </tp>
      <tp t="s">
        <v>Refreshing</v>
        <stp/>
        <stp>EM_S_STM07_BS</stp>
        <stp>4</stp>
        <stp>002138.SZ</stp>
        <stp>27</stp>
        <stp>N</stp>
        <stp>1</stp>
        <tr r="H119" s="20"/>
        <tr r="H119" s="20"/>
        <tr r="H119" s="20"/>
        <tr r="H119" s="20"/>
        <tr r="G119" s="20"/>
        <tr r="G119" s="20"/>
        <tr r="G119" s="20"/>
        <tr r="G119" s="20"/>
      </tp>
      <tp t="s">
        <v>Refreshing</v>
        <stp/>
        <stp>EM_S_STM07_BS</stp>
        <stp>4</stp>
        <stp>002138.SZ</stp>
        <stp>26</stp>
        <stp>N</stp>
        <stp>1</stp>
        <tr r="H119" s="20"/>
        <tr r="H119" s="20"/>
        <tr r="H119" s="20"/>
        <tr r="H119" s="20"/>
        <tr r="G119" s="20"/>
        <tr r="G119" s="20"/>
        <tr r="G119" s="20"/>
        <tr r="G119" s="20"/>
      </tp>
      <tp t="s">
        <v>Refreshing</v>
        <stp/>
        <stp>EM_S_STM07_BS</stp>
        <stp>4</stp>
        <stp>002138.SZ</stp>
        <stp>10</stp>
        <stp>N</stp>
        <stp>1</stp>
        <tr r="H118" s="20"/>
        <tr r="H118" s="20"/>
        <tr r="H118" s="20"/>
        <tr r="H118" s="20"/>
        <tr r="G118" s="20"/>
        <tr r="G118" s="20"/>
        <tr r="G118" s="20"/>
        <tr r="G118" s="20"/>
      </tp>
      <tp t="s">
        <v>Refreshing</v>
        <stp/>
        <stp>EM_S_STM07_BS</stp>
        <stp>4</stp>
        <stp>002138.SZ</stp>
        <stp>76</stp>
        <stp>N</stp>
        <stp>1</stp>
        <tr r="H118" s="20"/>
        <tr r="H118" s="20"/>
        <tr r="H118" s="20"/>
        <tr r="H118" s="20"/>
        <tr r="G118" s="20"/>
        <tr r="G118" s="20"/>
        <tr r="G118" s="20"/>
        <tr r="G118" s="20"/>
      </tp>
      <tp t="s">
        <v>Refreshing</v>
        <stp/>
        <stp>EM_S_STM07_BS</stp>
        <stp>4</stp>
        <stp>002138.SZ</stp>
        <stp>53</stp>
        <stp>N</stp>
        <stp>1</stp>
        <tr r="H119" s="20"/>
        <tr r="H119" s="20"/>
        <tr r="H119" s="20"/>
        <tr r="H119" s="20"/>
        <tr r="G119" s="20"/>
        <tr r="G119" s="20"/>
        <tr r="G119" s="20"/>
        <tr r="G119" s="20"/>
      </tp>
      <tp t="s">
        <v>Refreshing</v>
        <stp/>
        <stp>EM_S_INFO_INDUSTRY_SW2014</stp>
        <stp>2</stp>
        <stp>002138.SZ</stp>
        <stp>2</stp>
        <tr r="B3" s="14"/>
      </tp>
      <tp t="s">
        <v>Refreshing</v>
        <stp/>
        <stp>EM_S_STMNOTE_ASSETDETAIL</stp>
        <stp>3</stp>
        <stp>002138.SZ</stp>
        <stp>14</stp>
        <stp>N</stp>
        <tr r="H142" s="20"/>
        <tr r="H142" s="20"/>
        <tr r="H142" s="20"/>
        <tr r="H142" s="20"/>
        <tr r="G142" s="20"/>
        <tr r="G142" s="20"/>
        <tr r="G142" s="20"/>
        <tr r="G142" s="20"/>
      </tp>
      <tp t="s">
        <v>Refreshing</v>
        <stp/>
        <stp>EM_S_STMNOTE_ASSETDETAIL</stp>
        <stp>3</stp>
        <stp>002138.SZ</stp>
        <stp>17</stp>
        <stp>N</stp>
        <tr r="H143" s="20"/>
        <tr r="H143" s="20"/>
        <tr r="H143" s="20"/>
        <tr r="H143" s="20"/>
        <tr r="G143" s="20"/>
        <tr r="G143" s="20"/>
        <tr r="G143" s="20"/>
        <tr r="G143" s="20"/>
      </tp>
      <tp t="s">
        <v>Refreshing</v>
        <stp/>
        <stp>EM_S_STMNOTE_ASSETDETAIL</stp>
        <stp>3</stp>
        <stp>002138.SZ</stp>
        <stp>10</stp>
        <stp>N</stp>
        <tr r="H142" s="20"/>
        <tr r="H142" s="20"/>
        <tr r="H142" s="20"/>
        <tr r="H142" s="20"/>
        <tr r="G142" s="20"/>
        <tr r="G142" s="20"/>
        <tr r="G142" s="20"/>
        <tr r="G142" s="20"/>
      </tp>
      <tp t="s">
        <v>Refreshing</v>
        <stp/>
        <stp>EM_S_STMNOTE_ASSETDETAIL</stp>
        <stp>3</stp>
        <stp>002138.SZ</stp>
        <stp>13</stp>
        <stp>N</stp>
        <tr r="H141" s="20"/>
        <tr r="H141" s="20"/>
        <tr r="H141" s="20"/>
        <tr r="H141" s="20"/>
        <tr r="G141" s="20"/>
        <tr r="G141" s="20"/>
        <tr r="G141" s="20"/>
        <tr r="G141" s="20"/>
      </tp>
      <tp t="s">
        <v>Refreshing</v>
        <stp/>
        <stp>EM_S_SHARE_H</stp>
        <stp>2</stp>
        <stp>002138.SZ</stp>
        <stp>7/26/2019</stp>
        <tr r="C16" s="17"/>
      </tp>
      <tp t="s">
        <v>Refreshing</v>
        <stp/>
        <stp>EM_S_SHARE_LIQA</stp>
        <stp>2</stp>
        <stp>002138.SZ</stp>
        <stp>7/26/2019</stp>
        <tr r="C13" s="17"/>
      </tp>
      <tp t="s">
        <v>Refreshing</v>
        <stp/>
        <stp>EM_S_STMNOTE_ASSETDETAIL</stp>
        <stp>3</stp>
        <stp>002138.SZ</stp>
        <stp>18</stp>
        <stp>N</stp>
        <tr r="H144" s="20"/>
        <tr r="H144" s="20"/>
        <tr r="H144" s="20"/>
        <tr r="H144" s="20"/>
        <tr r="G144" s="20"/>
        <tr r="G144" s="20"/>
        <tr r="G144" s="20"/>
        <tr r="G144" s="20"/>
      </tp>
      <tp t="s">
        <v>Refreshing</v>
        <stp/>
        <stp>EM_S_STMNOTE_FINEXP</stp>
        <stp>4</stp>
        <stp>002138.SZ</stp>
        <stp>2</stp>
        <stp>N</stp>
        <stp>1</stp>
        <tr r="H149" s="20"/>
        <tr r="H149" s="20"/>
        <tr r="H149" s="20"/>
        <tr r="H149" s="20"/>
        <tr r="G149" s="20"/>
        <tr r="G149" s="20"/>
        <tr r="G149" s="20"/>
        <tr r="G149" s="20"/>
      </tp>
      <tp t="s">
        <v>Refreshing</v>
        <stp/>
        <stp>EM_S_STMNOTE_FINEXP</stp>
        <stp>4</stp>
        <stp>002138.SZ</stp>
        <stp>1</stp>
        <stp>N</stp>
        <stp>1</stp>
        <tr r="H148" s="20"/>
        <tr r="H148" s="20"/>
        <tr r="H148" s="20"/>
        <tr r="H148" s="20"/>
        <tr r="G148" s="20"/>
        <tr r="G148" s="20"/>
        <tr r="G148" s="20"/>
        <tr r="G148" s="2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val>
            <c:numRef>
              <c:f>'历史年度（原始）'!$B$59:$E$59</c:f>
              <c:numCache>
                <c:formatCode>#,##0.00_ ;[Red]\-#,##0.00\ </c:formatCode>
                <c:ptCount val="4"/>
                <c:pt idx="0">
                  <c:v>3.6E-9</c:v>
                </c:pt>
                <c:pt idx="1">
                  <c:v>4.8E-9</c:v>
                </c:pt>
                <c:pt idx="2">
                  <c:v>4.3999999999999997E-9</c:v>
                </c:pt>
                <c:pt idx="3">
                  <c:v>5.8999999999999999E-9</c:v>
                </c:pt>
              </c:numCache>
            </c:numRef>
          </c:val>
          <c:extLst>
            <c:ext xmlns:c16="http://schemas.microsoft.com/office/drawing/2014/chart" uri="{C3380CC4-5D6E-409C-BE32-E72D297353CC}">
              <c16:uniqueId val="{00000000-4E6C-415B-B3C2-65C6D5F922FA}"/>
            </c:ext>
          </c:extLst>
        </c:ser>
        <c:dLbls>
          <c:showLegendKey val="0"/>
          <c:showVal val="0"/>
          <c:showCatName val="0"/>
          <c:showSerName val="0"/>
          <c:showPercent val="0"/>
          <c:showBubbleSize val="0"/>
        </c:dLbls>
        <c:gapWidth val="219"/>
        <c:overlap val="-27"/>
        <c:axId val="1326086048"/>
        <c:axId val="1194927040"/>
      </c:barChart>
      <c:catAx>
        <c:axId val="1326086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927040"/>
        <c:crosses val="autoZero"/>
        <c:auto val="1"/>
        <c:lblAlgn val="ctr"/>
        <c:lblOffset val="100"/>
        <c:noMultiLvlLbl val="0"/>
      </c:catAx>
      <c:valAx>
        <c:axId val="1194927040"/>
        <c:scaling>
          <c:orientation val="minMax"/>
        </c:scaling>
        <c:delete val="0"/>
        <c:axPos val="l"/>
        <c:majorGridlines>
          <c:spPr>
            <a:ln w="9525" cap="flat" cmpd="sng" algn="ctr">
              <a:solidFill>
                <a:schemeClr val="tx1">
                  <a:lumMod val="15000"/>
                  <a:lumOff val="85000"/>
                </a:schemeClr>
              </a:solidFill>
              <a:round/>
            </a:ln>
            <a:effectLst/>
          </c:spPr>
        </c:majorGridlines>
        <c:numFmt formatCode="#,##0.00_ ;[Red]\-#,##0.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08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333466307742202E-2"/>
          <c:y val="9.0634758268509502E-2"/>
          <c:w val="0.82234869538366495"/>
          <c:h val="0.70493549333523697"/>
        </c:manualLayout>
      </c:layout>
      <c:barChart>
        <c:barDir val="col"/>
        <c:grouping val="clustered"/>
        <c:varyColors val="0"/>
        <c:ser>
          <c:idx val="2"/>
          <c:order val="2"/>
          <c:tx>
            <c:v>流动比率(倍)</c:v>
          </c:tx>
          <c:invertIfNegative val="0"/>
          <c:cat>
            <c:numRef>
              <c:f>财务分析!$D$2:$J$2</c:f>
              <c:numCache>
                <c:formatCode>yyyy\-m\-d</c:formatCode>
                <c:ptCount val="7"/>
                <c:pt idx="0">
                  <c:v>42369</c:v>
                </c:pt>
                <c:pt idx="1">
                  <c:v>42735</c:v>
                </c:pt>
                <c:pt idx="2">
                  <c:v>43100</c:v>
                </c:pt>
                <c:pt idx="3">
                  <c:v>43465</c:v>
                </c:pt>
                <c:pt idx="4">
                  <c:v>43830</c:v>
                </c:pt>
                <c:pt idx="5">
                  <c:v>44196</c:v>
                </c:pt>
                <c:pt idx="6">
                  <c:v>44561</c:v>
                </c:pt>
              </c:numCache>
            </c:numRef>
          </c:cat>
          <c:val>
            <c:numRef>
              <c:f>财务分析!$D$65:$J$65</c:f>
              <c:numCache>
                <c:formatCode>0.00_ </c:formatCode>
                <c:ptCount val="7"/>
                <c:pt idx="0">
                  <c:v>1.5433260181890638</c:v>
                </c:pt>
                <c:pt idx="1">
                  <c:v>1.1446402646867493</c:v>
                </c:pt>
                <c:pt idx="2">
                  <c:v>2.9461719615908288</c:v>
                </c:pt>
                <c:pt idx="3">
                  <c:v>2.7780148063849954</c:v>
                </c:pt>
                <c:pt idx="4">
                  <c:v>0</c:v>
                </c:pt>
                <c:pt idx="5">
                  <c:v>0</c:v>
                </c:pt>
                <c:pt idx="6">
                  <c:v>0</c:v>
                </c:pt>
              </c:numCache>
            </c:numRef>
          </c:val>
          <c:extLst>
            <c:ext xmlns:c16="http://schemas.microsoft.com/office/drawing/2014/chart" uri="{C3380CC4-5D6E-409C-BE32-E72D297353CC}">
              <c16:uniqueId val="{00000002-FF31-43E3-B223-0BE84A39477F}"/>
            </c:ext>
          </c:extLst>
        </c:ser>
        <c:ser>
          <c:idx val="3"/>
          <c:order val="3"/>
          <c:tx>
            <c:v>EV／NOPLAT</c:v>
          </c:tx>
          <c:invertIfNegative val="0"/>
          <c:cat>
            <c:numRef>
              <c:f>财务分析!$D$2:$J$2</c:f>
              <c:numCache>
                <c:formatCode>yyyy\-m\-d</c:formatCode>
                <c:ptCount val="7"/>
                <c:pt idx="0">
                  <c:v>42369</c:v>
                </c:pt>
                <c:pt idx="1">
                  <c:v>42735</c:v>
                </c:pt>
                <c:pt idx="2">
                  <c:v>43100</c:v>
                </c:pt>
                <c:pt idx="3">
                  <c:v>43465</c:v>
                </c:pt>
                <c:pt idx="4">
                  <c:v>43830</c:v>
                </c:pt>
                <c:pt idx="5">
                  <c:v>44196</c:v>
                </c:pt>
                <c:pt idx="6">
                  <c:v>44561</c:v>
                </c:pt>
              </c:numCache>
            </c:numRef>
          </c:cat>
          <c:val>
            <c:numRef>
              <c:f>财务分析!$D$97:$J$97</c:f>
              <c:numCache>
                <c:formatCode>#,##0.00_ ;[Red]\-#,##0.00\ </c:formatCode>
                <c:ptCount val="7"/>
                <c:pt idx="0">
                  <c:v>4.5390637771139122E-2</c:v>
                </c:pt>
                <c:pt idx="1">
                  <c:v>0.1636003883839002</c:v>
                </c:pt>
                <c:pt idx="2">
                  <c:v>-5.5081273084254687E-2</c:v>
                </c:pt>
                <c:pt idx="3">
                  <c:v>-2.7149988894356776E-2</c:v>
                </c:pt>
                <c:pt idx="4">
                  <c:v>0</c:v>
                </c:pt>
                <c:pt idx="5">
                  <c:v>0</c:v>
                </c:pt>
                <c:pt idx="6">
                  <c:v>0</c:v>
                </c:pt>
              </c:numCache>
            </c:numRef>
          </c:val>
          <c:extLst>
            <c:ext xmlns:c16="http://schemas.microsoft.com/office/drawing/2014/chart" uri="{C3380CC4-5D6E-409C-BE32-E72D297353CC}">
              <c16:uniqueId val="{00000003-FF31-43E3-B223-0BE84A39477F}"/>
            </c:ext>
          </c:extLst>
        </c:ser>
        <c:dLbls>
          <c:showLegendKey val="0"/>
          <c:showVal val="0"/>
          <c:showCatName val="0"/>
          <c:showSerName val="0"/>
          <c:showPercent val="0"/>
          <c:showBubbleSize val="0"/>
        </c:dLbls>
        <c:gapWidth val="150"/>
        <c:axId val="1792856319"/>
        <c:axId val="1792140399"/>
      </c:barChart>
      <c:lineChart>
        <c:grouping val="standard"/>
        <c:varyColors val="0"/>
        <c:ser>
          <c:idx val="0"/>
          <c:order val="0"/>
          <c:tx>
            <c:v>营业收入增长率</c:v>
          </c:tx>
          <c:cat>
            <c:numRef>
              <c:f>财务分析!$D$2:$J$2</c:f>
              <c:numCache>
                <c:formatCode>yyyy\-m\-d</c:formatCode>
                <c:ptCount val="7"/>
                <c:pt idx="0">
                  <c:v>42369</c:v>
                </c:pt>
                <c:pt idx="1">
                  <c:v>42735</c:v>
                </c:pt>
                <c:pt idx="2">
                  <c:v>43100</c:v>
                </c:pt>
                <c:pt idx="3">
                  <c:v>43465</c:v>
                </c:pt>
                <c:pt idx="4">
                  <c:v>43830</c:v>
                </c:pt>
                <c:pt idx="5">
                  <c:v>44196</c:v>
                </c:pt>
                <c:pt idx="6">
                  <c:v>44561</c:v>
                </c:pt>
              </c:numCache>
            </c:numRef>
          </c:cat>
          <c:val>
            <c:numRef>
              <c:f>财务分析!$E$21:$J$21</c:f>
              <c:numCache>
                <c:formatCode>0.00%</c:formatCode>
                <c:ptCount val="6"/>
                <c:pt idx="0">
                  <c:v>0.31606937306345989</c:v>
                </c:pt>
                <c:pt idx="1">
                  <c:v>0.1447359991198639</c:v>
                </c:pt>
                <c:pt idx="2">
                  <c:v>0.18841459824635973</c:v>
                </c:pt>
                <c:pt idx="3">
                  <c:v>0.18841459824635967</c:v>
                </c:pt>
                <c:pt idx="4">
                  <c:v>0.18841459824635956</c:v>
                </c:pt>
                <c:pt idx="5">
                  <c:v>0.18841459824635962</c:v>
                </c:pt>
              </c:numCache>
            </c:numRef>
          </c:val>
          <c:smooth val="0"/>
          <c:extLst>
            <c:ext xmlns:c16="http://schemas.microsoft.com/office/drawing/2014/chart" uri="{C3380CC4-5D6E-409C-BE32-E72D297353CC}">
              <c16:uniqueId val="{00000000-FF31-43E3-B223-0BE84A39477F}"/>
            </c:ext>
          </c:extLst>
        </c:ser>
        <c:ser>
          <c:idx val="1"/>
          <c:order val="1"/>
          <c:tx>
            <c:v>总资产增长率</c:v>
          </c:tx>
          <c:cat>
            <c:numRef>
              <c:f>财务分析!$D$2:$J$2</c:f>
              <c:numCache>
                <c:formatCode>yyyy\-m\-d</c:formatCode>
                <c:ptCount val="7"/>
                <c:pt idx="0">
                  <c:v>42369</c:v>
                </c:pt>
                <c:pt idx="1">
                  <c:v>42735</c:v>
                </c:pt>
                <c:pt idx="2">
                  <c:v>43100</c:v>
                </c:pt>
                <c:pt idx="3">
                  <c:v>43465</c:v>
                </c:pt>
                <c:pt idx="4">
                  <c:v>43830</c:v>
                </c:pt>
                <c:pt idx="5">
                  <c:v>44196</c:v>
                </c:pt>
                <c:pt idx="6">
                  <c:v>44561</c:v>
                </c:pt>
              </c:numCache>
            </c:numRef>
          </c:cat>
          <c:val>
            <c:numRef>
              <c:f>财务分析!$D$28:$J$28</c:f>
              <c:numCache>
                <c:formatCode>0.00%</c:formatCode>
                <c:ptCount val="7"/>
                <c:pt idx="0">
                  <c:v>0</c:v>
                </c:pt>
                <c:pt idx="1">
                  <c:v>0.24344832840517103</c:v>
                </c:pt>
                <c:pt idx="2">
                  <c:v>0.18428036956547486</c:v>
                </c:pt>
                <c:pt idx="3">
                  <c:v>8.6298259848162404E-2</c:v>
                </c:pt>
                <c:pt idx="4">
                  <c:v>0</c:v>
                </c:pt>
                <c:pt idx="5">
                  <c:v>0</c:v>
                </c:pt>
                <c:pt idx="6">
                  <c:v>0</c:v>
                </c:pt>
              </c:numCache>
            </c:numRef>
          </c:val>
          <c:smooth val="0"/>
          <c:extLst>
            <c:ext xmlns:c16="http://schemas.microsoft.com/office/drawing/2014/chart" uri="{C3380CC4-5D6E-409C-BE32-E72D297353CC}">
              <c16:uniqueId val="{00000001-FF31-43E3-B223-0BE84A39477F}"/>
            </c:ext>
          </c:extLst>
        </c:ser>
        <c:dLbls>
          <c:showLegendKey val="0"/>
          <c:showVal val="0"/>
          <c:showCatName val="0"/>
          <c:showSerName val="0"/>
          <c:showPercent val="0"/>
          <c:showBubbleSize val="0"/>
        </c:dLbls>
        <c:marker val="1"/>
        <c:smooth val="0"/>
        <c:axId val="267710960"/>
        <c:axId val="750064480"/>
      </c:lineChart>
      <c:catAx>
        <c:axId val="267710960"/>
        <c:scaling>
          <c:orientation val="minMax"/>
        </c:scaling>
        <c:delete val="1"/>
        <c:axPos val="b"/>
        <c:numFmt formatCode="yyyy\-m\-d" sourceLinked="1"/>
        <c:majorTickMark val="out"/>
        <c:minorTickMark val="none"/>
        <c:tickLblPos val="nextTo"/>
        <c:crossAx val="750064480"/>
        <c:crosses val="autoZero"/>
        <c:auto val="0"/>
        <c:lblAlgn val="ctr"/>
        <c:lblOffset val="100"/>
        <c:noMultiLvlLbl val="0"/>
      </c:catAx>
      <c:valAx>
        <c:axId val="750064480"/>
        <c:scaling>
          <c:orientation val="minMax"/>
        </c:scaling>
        <c:delete val="0"/>
        <c:axPos val="r"/>
        <c:numFmt formatCode="0.00%" sourceLinked="1"/>
        <c:majorTickMark val="in"/>
        <c:minorTickMark val="none"/>
        <c:tickLblPos val="nextTo"/>
        <c:spPr>
          <a:ln w="9525" cap="flat" cmpd="sng" algn="ctr">
            <a:solidFill>
              <a:schemeClr val="tx1">
                <a:tint val="75000"/>
                <a:shade val="95000"/>
                <a:satMod val="105000"/>
              </a:schemeClr>
            </a:solidFill>
            <a:prstDash val="solid"/>
            <a:round/>
          </a:ln>
        </c:spPr>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7710960"/>
        <c:crosses val="max"/>
        <c:crossBetween val="between"/>
      </c:valAx>
      <c:valAx>
        <c:axId val="1792140399"/>
        <c:scaling>
          <c:orientation val="minMax"/>
        </c:scaling>
        <c:delete val="0"/>
        <c:axPos val="l"/>
        <c:numFmt formatCode="0.00_ " sourceLinked="1"/>
        <c:majorTickMark val="out"/>
        <c:minorTickMark val="none"/>
        <c:tickLblPos val="nextTo"/>
        <c:crossAx val="1792856319"/>
        <c:crosses val="autoZero"/>
        <c:crossBetween val="between"/>
      </c:valAx>
      <c:dateAx>
        <c:axId val="1792856319"/>
        <c:scaling>
          <c:orientation val="minMax"/>
        </c:scaling>
        <c:delete val="1"/>
        <c:axPos val="b"/>
        <c:numFmt formatCode="yyyy\-m\-d" sourceLinked="1"/>
        <c:majorTickMark val="out"/>
        <c:minorTickMark val="none"/>
        <c:tickLblPos val="nextTo"/>
        <c:crossAx val="1792140399"/>
        <c:crosses val="autoZero"/>
        <c:auto val="1"/>
        <c:lblOffset val="100"/>
        <c:baseTimeUnit val="years"/>
        <c:majorUnit val="1"/>
        <c:minorUnit val="1"/>
      </c:dateAx>
    </c:plotArea>
    <c:legend>
      <c:legendPos val="r"/>
      <c:layout>
        <c:manualLayout>
          <c:xMode val="edge"/>
          <c:yMode val="edge"/>
          <c:x val="0"/>
          <c:y val="0"/>
          <c:w val="0.1898309418043527"/>
          <c:h val="0.18621783163656963"/>
        </c:manualLayout>
      </c:layout>
      <c:overlay val="0"/>
      <c:spPr>
        <a:ln>
          <a:solidFill>
            <a:schemeClr val="tx1">
              <a:tint val="75000"/>
              <a:shade val="95000"/>
              <a:satMod val="105000"/>
            </a:schemeClr>
          </a:solidFill>
        </a:ln>
      </c:spPr>
      <c:txPr>
        <a:bodyPr rot="0" spcFirstLastPara="0" vertOverflow="ellipsis" vert="horz" wrap="square" anchor="ctr" anchorCtr="1"/>
        <a:lstStyle/>
        <a:p>
          <a:pPr>
            <a:defRPr lang="zh-CN" sz="420" b="0" i="0" u="none" strike="noStrike" kern="1200" baseline="0">
              <a:solidFill>
                <a:srgbClr val="000000"/>
              </a:solidFill>
              <a:latin typeface="Calibri" panose="020F0502020204030204"/>
              <a:ea typeface="Calibri" panose="020F0502020204030204"/>
              <a:cs typeface="Calibri" panose="020F0502020204030204"/>
            </a:defRPr>
          </a:pPr>
          <a:endParaRPr lang="en-US"/>
        </a:p>
      </c:txPr>
    </c:legend>
    <c:plotVisOnly val="1"/>
    <c:dispBlanksAs val="gap"/>
    <c:showDLblsOverMax val="0"/>
  </c:chart>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121442959164997"/>
          <c:y val="0"/>
        </c:manualLayout>
      </c:layout>
      <c:overlay val="0"/>
      <c:spPr>
        <a:noFill/>
        <a:ln w="25400">
          <a:noFill/>
        </a:ln>
      </c:spPr>
      <c:txPr>
        <a:bodyPr rot="0" spcFirstLastPara="0" vertOverflow="ellipsis" vert="horz" wrap="square" anchor="ctr" anchorCtr="1"/>
        <a:lstStyle/>
        <a:p>
          <a:pPr>
            <a:defRPr lang="zh-CN" sz="1000" b="0" i="0" u="none" strike="noStrike" kern="1200" baseline="0">
              <a:solidFill>
                <a:srgbClr val="000000"/>
              </a:solidFill>
              <a:latin typeface="Arial" panose="020B0604020202020204"/>
              <a:ea typeface="Arial" panose="020B0604020202020204"/>
              <a:cs typeface="Arial" panose="020B0604020202020204"/>
            </a:defRPr>
          </a:pPr>
          <a:endParaRPr lang="en-US"/>
        </a:p>
      </c:txPr>
    </c:title>
    <c:autoTitleDeleted val="0"/>
    <c:plotArea>
      <c:layout>
        <c:manualLayout>
          <c:layoutTarget val="inner"/>
          <c:xMode val="edge"/>
          <c:yMode val="edge"/>
          <c:x val="0.209302325581395"/>
          <c:y val="0.17730496453900699"/>
          <c:w val="0.87906976744186105"/>
          <c:h val="0.52482269503546097"/>
        </c:manualLayout>
      </c:layout>
      <c:barChart>
        <c:barDir val="col"/>
        <c:grouping val="clustered"/>
        <c:varyColors val="0"/>
        <c:ser>
          <c:idx val="0"/>
          <c:order val="0"/>
          <c:tx>
            <c:strRef>
              <c:f>财务分析!$B$23</c:f>
              <c:strCache>
                <c:ptCount val="1"/>
                <c:pt idx="0">
                  <c:v>净利润增长率</c:v>
                </c:pt>
              </c:strCache>
            </c:strRef>
          </c:tx>
          <c:invertIfNegative val="0"/>
          <c:cat>
            <c:numRef>
              <c:f>图形分析!$P$24:$P$30</c:f>
              <c:numCache>
                <c:formatCode>General</c:formatCode>
                <c:ptCount val="7"/>
              </c:numCache>
            </c:numRef>
          </c:cat>
          <c:val>
            <c:numLit>
              <c:formatCode>General</c:formatCode>
              <c:ptCount val="1"/>
              <c:pt idx="0">
                <c:v>0</c:v>
              </c:pt>
            </c:numLit>
          </c:val>
          <c:extLst>
            <c:ext xmlns:c16="http://schemas.microsoft.com/office/drawing/2014/chart" uri="{C3380CC4-5D6E-409C-BE32-E72D297353CC}">
              <c16:uniqueId val="{00000000-8CEF-4FC0-BC91-73273C6EEC0D}"/>
            </c:ext>
          </c:extLst>
        </c:ser>
        <c:dLbls>
          <c:showLegendKey val="0"/>
          <c:showVal val="0"/>
          <c:showCatName val="0"/>
          <c:showSerName val="0"/>
          <c:showPercent val="0"/>
          <c:showBubbleSize val="0"/>
        </c:dLbls>
        <c:gapWidth val="150"/>
        <c:axId val="114296992"/>
        <c:axId val="749990224"/>
      </c:barChart>
      <c:dateAx>
        <c:axId val="114296992"/>
        <c:scaling>
          <c:orientation val="minMax"/>
          <c:max val="-1"/>
          <c:min val="-1"/>
        </c:scaling>
        <c:delete val="0"/>
        <c:axPos val="b"/>
        <c:numFmt formatCode="yyyy\-m\-d" sourceLinked="0"/>
        <c:majorTickMark val="out"/>
        <c:minorTickMark val="none"/>
        <c:tickLblPos val="nextTo"/>
        <c:txPr>
          <a:bodyPr rot="0" spcFirstLastPara="0" vertOverflow="ellipsis" vert="horz" wrap="square" anchor="ctr" anchorCtr="1" forceAA="0"/>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90224"/>
        <c:crossesAt val="-1"/>
        <c:auto val="0"/>
        <c:lblOffset val="100"/>
        <c:baseTimeUnit val="days"/>
      </c:dateAx>
      <c:valAx>
        <c:axId val="749990224"/>
        <c:scaling>
          <c:orientation val="minMax"/>
          <c:min val="-1"/>
        </c:scaling>
        <c:delete val="0"/>
        <c:axPos val="l"/>
        <c:majorGridlines>
          <c:spPr>
            <a:ln w="9525" cap="flat" cmpd="sng" algn="ctr">
              <a:gradFill>
                <a:gsLst>
                  <a:gs pos="74000">
                    <a:schemeClr val="accent1">
                      <a:tint val="66000"/>
                      <a:satMod val="160000"/>
                      <a:lumMod val="71000"/>
                      <a:lumOff val="29000"/>
                      <a:alpha val="38000"/>
                    </a:schemeClr>
                  </a:gs>
                  <a:gs pos="50000">
                    <a:schemeClr val="accent1">
                      <a:tint val="44500"/>
                      <a:satMod val="160000"/>
                    </a:schemeClr>
                  </a:gs>
                  <a:gs pos="100000">
                    <a:schemeClr val="accent1">
                      <a:tint val="23500"/>
                      <a:satMod val="160000"/>
                    </a:schemeClr>
                  </a:gs>
                </a:gsLst>
                <a:lin ang="5400000" scaled="0"/>
              </a:gradFill>
              <a:prstDash val="sysDash"/>
              <a:round/>
            </a:ln>
          </c:spPr>
        </c:majorGridlines>
        <c:numFmt formatCode="#,##0.00_ " sourceLinked="0"/>
        <c:majorTickMark val="in"/>
        <c:minorTickMark val="none"/>
        <c:tickLblPos val="low"/>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4296992"/>
        <c:crosses val="autoZero"/>
        <c:crossBetween val="between"/>
      </c:valAx>
      <c:spPr>
        <a:noFill/>
        <a:ln>
          <a:solidFill>
            <a:schemeClr val="tx1"/>
          </a:solidFill>
        </a:ln>
      </c:spPr>
    </c:plotArea>
    <c:plotVisOnly val="1"/>
    <c:dispBlanksAs val="gap"/>
    <c:showDLblsOverMax val="0"/>
  </c:chart>
  <c:spPr>
    <a:ln w="19050" cap="flat" cmpd="sng" algn="ctr">
      <a:no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0" vertOverflow="ellipsis" vert="horz" wrap="square" anchor="ctr" anchorCtr="1"/>
          <a:lstStyle/>
          <a:p>
            <a:pPr>
              <a:defRPr lang="zh-CN" sz="1000" b="1"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r>
              <a:rPr lang="zh-CN" altLang="en-US"/>
              <a:t>总资产增长率</a:t>
            </a:r>
          </a:p>
        </c:rich>
      </c:tx>
      <c:layout>
        <c:manualLayout>
          <c:xMode val="edge"/>
          <c:yMode val="edge"/>
          <c:x val="0.33259322314440398"/>
          <c:y val="8.3333828554449596E-2"/>
        </c:manualLayout>
      </c:layout>
      <c:overlay val="0"/>
      <c:spPr>
        <a:noFill/>
        <a:ln w="25400">
          <a:noFill/>
        </a:ln>
      </c:spPr>
    </c:title>
    <c:autoTitleDeleted val="0"/>
    <c:plotArea>
      <c:layout>
        <c:manualLayout>
          <c:layoutTarget val="inner"/>
          <c:xMode val="edge"/>
          <c:yMode val="edge"/>
          <c:x val="0.31358559346748299"/>
          <c:y val="0.29309023065372802"/>
          <c:w val="0.60088704189754005"/>
          <c:h val="0.45713227627368502"/>
        </c:manualLayout>
      </c:layout>
      <c:barChart>
        <c:barDir val="col"/>
        <c:grouping val="clustered"/>
        <c:varyColors val="0"/>
        <c:ser>
          <c:idx val="1"/>
          <c:order val="0"/>
          <c:tx>
            <c:v>总资产增长率</c:v>
          </c:tx>
          <c:spPr>
            <a:solidFill>
              <a:schemeClr val="accent1"/>
            </a:solidFill>
          </c:spPr>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c:f>
              <c:numCache>
                <c:formatCode>0.00%</c:formatCode>
                <c:ptCount val="7"/>
                <c:pt idx="0">
                  <c:v>0</c:v>
                </c:pt>
                <c:pt idx="1">
                  <c:v>0.31606937306345989</c:v>
                </c:pt>
                <c:pt idx="2">
                  <c:v>0.1447359991198639</c:v>
                </c:pt>
                <c:pt idx="3">
                  <c:v>0.18841459824635973</c:v>
                </c:pt>
                <c:pt idx="4">
                  <c:v>0.18841459824635967</c:v>
                </c:pt>
                <c:pt idx="5">
                  <c:v>0.18841459824635956</c:v>
                </c:pt>
                <c:pt idx="6">
                  <c:v>0.18841459824635962</c:v>
                </c:pt>
              </c:numCache>
            </c:numRef>
          </c:val>
          <c:extLst>
            <c:ext xmlns:c16="http://schemas.microsoft.com/office/drawing/2014/chart" uri="{C3380CC4-5D6E-409C-BE32-E72D297353CC}">
              <c16:uniqueId val="{00000000-40EF-4F57-A721-7BF0A6697E26}"/>
            </c:ext>
          </c:extLst>
        </c:ser>
        <c:dLbls>
          <c:showLegendKey val="0"/>
          <c:showVal val="0"/>
          <c:showCatName val="0"/>
          <c:showSerName val="0"/>
          <c:showPercent val="0"/>
          <c:showBubbleSize val="0"/>
        </c:dLbls>
        <c:gapWidth val="150"/>
        <c:axId val="267686096"/>
        <c:axId val="749990848"/>
      </c:barChart>
      <c:dateAx>
        <c:axId val="267686096"/>
        <c:scaling>
          <c:orientation val="minMax"/>
        </c:scaling>
        <c:delete val="0"/>
        <c:axPos val="b"/>
        <c:numFmt formatCode="General" sourceLinked="0"/>
        <c:majorTickMark val="out"/>
        <c:minorTickMark val="none"/>
        <c:tickLblPos val="low"/>
        <c:txPr>
          <a:bodyPr rot="0" spcFirstLastPara="0" vertOverflow="ellipsis" vert="horz" wrap="square" anchor="ctr" anchorCtr="1" forceAA="0"/>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90848"/>
        <c:crossesAt val="-1"/>
        <c:auto val="0"/>
        <c:lblOffset val="100"/>
        <c:baseTimeUnit val="days"/>
      </c:dateAx>
      <c:valAx>
        <c:axId val="749990848"/>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_);[Red]\(#,##0.0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7686096"/>
        <c:crosses val="autoZero"/>
        <c:crossBetween val="between"/>
        <c:majorUnit val="0.5"/>
      </c:valAx>
    </c:plotArea>
    <c:plotVisOnly val="1"/>
    <c:dispBlanksAs val="gap"/>
    <c:showDLblsOverMax val="0"/>
  </c:chart>
  <c:spPr>
    <a:ln w="15875" cap="flat" cmpd="sng" algn="ctr">
      <a:solidFill>
        <a:schemeClr val="tx2">
          <a:lumMod val="75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barChart>
        <c:barDir val="col"/>
        <c:grouping val="clustered"/>
        <c:varyColors val="0"/>
        <c:ser>
          <c:idx val="0"/>
          <c:order val="0"/>
          <c:tx>
            <c:v>净利润增长率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084-452A-AD87-8ECECEC44C09}"/>
            </c:ext>
          </c:extLst>
        </c:ser>
        <c:dLbls>
          <c:showLegendKey val="0"/>
          <c:showVal val="0"/>
          <c:showCatName val="0"/>
          <c:showSerName val="0"/>
          <c:showPercent val="0"/>
          <c:showBubbleSize val="0"/>
        </c:dLbls>
        <c:gapWidth val="150"/>
        <c:axId val="268377776"/>
        <c:axId val="749965888"/>
      </c:barChart>
      <c:catAx>
        <c:axId val="268377776"/>
        <c:scaling>
          <c:orientation val="minMax"/>
        </c:scaling>
        <c:delete val="0"/>
        <c:axPos val="b"/>
        <c:numFmt formatCode="General" sourceLinked="1"/>
        <c:majorTickMark val="none"/>
        <c:minorTickMark val="none"/>
        <c:tickLblPos val="nextTo"/>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65888"/>
        <c:crosses val="autoZero"/>
        <c:auto val="1"/>
        <c:lblAlgn val="ctr"/>
        <c:lblOffset val="100"/>
        <c:tickLblSkip val="2"/>
        <c:noMultiLvlLbl val="0"/>
      </c:catAx>
      <c:valAx>
        <c:axId val="749965888"/>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8377776"/>
        <c:crosses val="autoZero"/>
        <c:crossBetween val="between"/>
      </c:valAx>
    </c:plotArea>
    <c:plotVisOnly val="1"/>
    <c:dispBlanksAs val="gap"/>
    <c:showDLblsOverMax val="0"/>
  </c:chart>
  <c:spPr>
    <a:ln w="19050" cap="flat" cmpd="sng" algn="ctr">
      <a:solidFill>
        <a:schemeClr val="tx2">
          <a:lumMod val="75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barChart>
        <c:barDir val="col"/>
        <c:grouping val="clustered"/>
        <c:varyColors val="0"/>
        <c:ser>
          <c:idx val="0"/>
          <c:order val="0"/>
          <c:tx>
            <c:v>EBIT增长率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345B-4B18-A8A8-9A59897CB09F}"/>
            </c:ext>
          </c:extLst>
        </c:ser>
        <c:dLbls>
          <c:showLegendKey val="0"/>
          <c:showVal val="0"/>
          <c:showCatName val="0"/>
          <c:showSerName val="0"/>
          <c:showPercent val="0"/>
          <c:showBubbleSize val="0"/>
        </c:dLbls>
        <c:gapWidth val="150"/>
        <c:axId val="113905136"/>
        <c:axId val="750055744"/>
      </c:barChart>
      <c:catAx>
        <c:axId val="113905136"/>
        <c:scaling>
          <c:orientation val="minMax"/>
        </c:scaling>
        <c:delete val="0"/>
        <c:axPos val="b"/>
        <c:numFmt formatCode="General" sourceLinked="1"/>
        <c:majorTickMark val="out"/>
        <c:minorTickMark val="none"/>
        <c:tickLblPos val="low"/>
        <c:txPr>
          <a:bodyPr rot="-54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55744"/>
        <c:crosses val="autoZero"/>
        <c:auto val="1"/>
        <c:lblAlgn val="ctr"/>
        <c:lblOffset val="100"/>
        <c:tickLblSkip val="2"/>
        <c:noMultiLvlLbl val="0"/>
      </c:catAx>
      <c:valAx>
        <c:axId val="750055744"/>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3905136"/>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8723404255319102"/>
          <c:y val="0.1"/>
          <c:w val="0.63297872340425498"/>
          <c:h val="0.46428571428571402"/>
        </c:manualLayout>
      </c:layout>
      <c:barChart>
        <c:barDir val="col"/>
        <c:grouping val="clustered"/>
        <c:varyColors val="0"/>
        <c:ser>
          <c:idx val="0"/>
          <c:order val="0"/>
          <c:tx>
            <c:v>EBITDA增长率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[0]!MyFun6</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3E8-4DB6-A29B-760CD556A124}"/>
            </c:ext>
          </c:extLst>
        </c:ser>
        <c:dLbls>
          <c:showLegendKey val="0"/>
          <c:showVal val="0"/>
          <c:showCatName val="0"/>
          <c:showSerName val="0"/>
          <c:showPercent val="0"/>
          <c:showBubbleSize val="0"/>
        </c:dLbls>
        <c:gapWidth val="150"/>
        <c:axId val="113310656"/>
        <c:axId val="750053248"/>
      </c:barChart>
      <c:catAx>
        <c:axId val="113310656"/>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53248"/>
        <c:crosses val="autoZero"/>
        <c:auto val="1"/>
        <c:lblAlgn val="ctr"/>
        <c:lblOffset val="100"/>
        <c:tickLblSkip val="2"/>
        <c:noMultiLvlLbl val="0"/>
      </c:catAx>
      <c:valAx>
        <c:axId val="750053248"/>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3310656"/>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709636591868702"/>
          <c:y val="2.1163854518185199E-2"/>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30976137891300198"/>
          <c:y val="0.29349890010485002"/>
          <c:w val="0.62316545035529103"/>
          <c:h val="0.48219979030036397"/>
        </c:manualLayout>
      </c:layout>
      <c:barChart>
        <c:barDir val="col"/>
        <c:grouping val="clustered"/>
        <c:varyColors val="0"/>
        <c:ser>
          <c:idx val="0"/>
          <c:order val="0"/>
          <c:tx>
            <c:v>经营利润增长率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010-41EA-A4A6-60B880C1C720}"/>
            </c:ext>
          </c:extLst>
        </c:ser>
        <c:dLbls>
          <c:showLegendKey val="0"/>
          <c:showVal val="0"/>
          <c:showCatName val="0"/>
          <c:showSerName val="0"/>
          <c:showPercent val="0"/>
          <c:showBubbleSize val="0"/>
        </c:dLbls>
        <c:gapWidth val="150"/>
        <c:axId val="267696160"/>
        <c:axId val="749985856"/>
      </c:barChart>
      <c:catAx>
        <c:axId val="267696160"/>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85856"/>
        <c:crosses val="autoZero"/>
        <c:auto val="1"/>
        <c:lblAlgn val="ctr"/>
        <c:lblOffset val="100"/>
        <c:tickLblSkip val="2"/>
        <c:noMultiLvlLbl val="0"/>
      </c:catAx>
      <c:valAx>
        <c:axId val="749985856"/>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7696160"/>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3727561692979299"/>
          <c:y val="0.04"/>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8660261504009299"/>
          <c:y val="0.25775202099737499"/>
          <c:w val="0.66550967457009602"/>
          <c:h val="0.36247926228472799"/>
        </c:manualLayout>
      </c:layout>
      <c:barChart>
        <c:barDir val="col"/>
        <c:grouping val="clustered"/>
        <c:varyColors val="0"/>
        <c:ser>
          <c:idx val="0"/>
          <c:order val="0"/>
          <c:tx>
            <c:v>税后经营利润／净利润</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[0]!MyFun20</c:f>
              <c:numCache>
                <c:formatCode>0.00%</c:formatCode>
                <c:ptCount val="7"/>
                <c:pt idx="0">
                  <c:v>0</c:v>
                </c:pt>
                <c:pt idx="1">
                  <c:v>0</c:v>
                </c:pt>
                <c:pt idx="2">
                  <c:v>0</c:v>
                </c:pt>
                <c:pt idx="3">
                  <c:v>0</c:v>
                </c:pt>
                <c:pt idx="4">
                  <c:v>0.24578135482618696</c:v>
                </c:pt>
                <c:pt idx="5">
                  <c:v>0</c:v>
                </c:pt>
                <c:pt idx="6">
                  <c:v>0</c:v>
                </c:pt>
              </c:numCache>
            </c:numRef>
          </c:val>
          <c:extLst>
            <c:ext xmlns:c16="http://schemas.microsoft.com/office/drawing/2014/chart" uri="{C3380CC4-5D6E-409C-BE32-E72D297353CC}">
              <c16:uniqueId val="{00000000-7A63-4554-8D62-1FDE7E46FB1A}"/>
            </c:ext>
          </c:extLst>
        </c:ser>
        <c:dLbls>
          <c:showLegendKey val="0"/>
          <c:showVal val="0"/>
          <c:showCatName val="0"/>
          <c:showSerName val="0"/>
          <c:showPercent val="0"/>
          <c:showBubbleSize val="0"/>
        </c:dLbls>
        <c:gapWidth val="150"/>
        <c:axId val="114473648"/>
        <c:axId val="750050752"/>
      </c:barChart>
      <c:catAx>
        <c:axId val="114473648"/>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50752"/>
        <c:crosses val="autoZero"/>
        <c:auto val="1"/>
        <c:lblAlgn val="ctr"/>
        <c:lblOffset val="100"/>
        <c:tickLblSkip val="2"/>
        <c:noMultiLvlLbl val="0"/>
      </c:catAx>
      <c:valAx>
        <c:axId val="750050752"/>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4473648"/>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4127442403033"/>
          <c:y val="0.29164187250330298"/>
          <c:w val="0.68681456484606096"/>
          <c:h val="0.34967059350139401"/>
        </c:manualLayout>
      </c:layout>
      <c:barChart>
        <c:barDir val="col"/>
        <c:grouping val="clustered"/>
        <c:varyColors val="0"/>
        <c:ser>
          <c:idx val="0"/>
          <c:order val="0"/>
          <c:tx>
            <c:v>销售收入增长率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c:f>
              <c:numCache>
                <c:formatCode>0.00%</c:formatCode>
                <c:ptCount val="7"/>
                <c:pt idx="0">
                  <c:v>0</c:v>
                </c:pt>
                <c:pt idx="1">
                  <c:v>0.31606937306345989</c:v>
                </c:pt>
                <c:pt idx="2">
                  <c:v>0.1447359991198639</c:v>
                </c:pt>
                <c:pt idx="3">
                  <c:v>0.18841459824635973</c:v>
                </c:pt>
                <c:pt idx="4">
                  <c:v>0.18841459824635967</c:v>
                </c:pt>
                <c:pt idx="5">
                  <c:v>0.18841459824635956</c:v>
                </c:pt>
                <c:pt idx="6">
                  <c:v>0.18841459824635962</c:v>
                </c:pt>
              </c:numCache>
            </c:numRef>
          </c:val>
          <c:extLst>
            <c:ext xmlns:c16="http://schemas.microsoft.com/office/drawing/2014/chart" uri="{C3380CC4-5D6E-409C-BE32-E72D297353CC}">
              <c16:uniqueId val="{00000000-0ED1-49E2-AB10-B83129DD0119}"/>
            </c:ext>
          </c:extLst>
        </c:ser>
        <c:dLbls>
          <c:showLegendKey val="0"/>
          <c:showVal val="0"/>
          <c:showCatName val="0"/>
          <c:showSerName val="0"/>
          <c:showPercent val="0"/>
          <c:showBubbleSize val="0"/>
        </c:dLbls>
        <c:gapWidth val="150"/>
        <c:axId val="269435296"/>
        <c:axId val="750058864"/>
      </c:barChart>
      <c:catAx>
        <c:axId val="269435296"/>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58864"/>
        <c:crosses val="autoZero"/>
        <c:auto val="1"/>
        <c:lblAlgn val="ctr"/>
        <c:lblOffset val="100"/>
        <c:tickLblSkip val="2"/>
        <c:noMultiLvlLbl val="0"/>
      </c:catAx>
      <c:valAx>
        <c:axId val="750058864"/>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9435296"/>
        <c:crosses val="autoZero"/>
        <c:crossBetween val="between"/>
      </c:valAx>
    </c:plotArea>
    <c:plotVisOnly val="1"/>
    <c:dispBlanksAs val="gap"/>
    <c:showDLblsOverMax val="0"/>
  </c:chart>
  <c:spPr>
    <a:ln w="15875" cap="flat" cmpd="sng" algn="ctr">
      <a:solidFill>
        <a:schemeClr val="tx2">
          <a:lumMod val="75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8272560211271902"/>
          <c:y val="0.234509492679463"/>
          <c:w val="0.63849042826370095"/>
          <c:h val="0.37019403078593899"/>
        </c:manualLayout>
      </c:layout>
      <c:barChart>
        <c:barDir val="col"/>
        <c:grouping val="clustered"/>
        <c:varyColors val="0"/>
        <c:ser>
          <c:idx val="0"/>
          <c:order val="0"/>
          <c:tx>
            <c:v>销售收入净利率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[0]!MyFun12</c:f>
              <c:numCache>
                <c:formatCode>0.00%</c:formatCode>
                <c:ptCount val="7"/>
                <c:pt idx="0">
                  <c:v>0</c:v>
                </c:pt>
                <c:pt idx="1">
                  <c:v>0</c:v>
                </c:pt>
                <c:pt idx="2">
                  <c:v>0</c:v>
                </c:pt>
                <c:pt idx="3">
                  <c:v>0</c:v>
                </c:pt>
                <c:pt idx="4">
                  <c:v>0.75653414416513864</c:v>
                </c:pt>
                <c:pt idx="5">
                  <c:v>0</c:v>
                </c:pt>
                <c:pt idx="6">
                  <c:v>0</c:v>
                </c:pt>
              </c:numCache>
            </c:numRef>
          </c:val>
          <c:extLst>
            <c:ext xmlns:c16="http://schemas.microsoft.com/office/drawing/2014/chart" uri="{C3380CC4-5D6E-409C-BE32-E72D297353CC}">
              <c16:uniqueId val="{00000000-4978-480F-9DA2-01B530D993C4}"/>
            </c:ext>
          </c:extLst>
        </c:ser>
        <c:dLbls>
          <c:showLegendKey val="0"/>
          <c:showVal val="0"/>
          <c:showCatName val="0"/>
          <c:showSerName val="0"/>
          <c:showPercent val="0"/>
          <c:showBubbleSize val="0"/>
        </c:dLbls>
        <c:gapWidth val="150"/>
        <c:axId val="114458848"/>
        <c:axId val="750025792"/>
      </c:barChart>
      <c:catAx>
        <c:axId val="114458848"/>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25792"/>
        <c:crosses val="autoZero"/>
        <c:auto val="1"/>
        <c:lblAlgn val="ctr"/>
        <c:lblOffset val="100"/>
        <c:tickLblSkip val="2"/>
        <c:noMultiLvlLbl val="0"/>
      </c:catAx>
      <c:valAx>
        <c:axId val="750025792"/>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4458848"/>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99691950731864"/>
          <c:y val="0.28305503587508501"/>
          <c:w val="0.61253375459728998"/>
          <c:h val="0.42998046915153898"/>
        </c:manualLayout>
      </c:layout>
      <c:barChart>
        <c:barDir val="col"/>
        <c:grouping val="clustered"/>
        <c:varyColors val="0"/>
        <c:ser>
          <c:idx val="0"/>
          <c:order val="0"/>
          <c:tx>
            <c:v>期间费用／营业收入</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[0]!MyFun13</c:f>
              <c:numCache>
                <c:formatCode>0.00%</c:formatCode>
                <c:ptCount val="7"/>
                <c:pt idx="0">
                  <c:v>0</c:v>
                </c:pt>
                <c:pt idx="1">
                  <c:v>0</c:v>
                </c:pt>
                <c:pt idx="2">
                  <c:v>0</c:v>
                </c:pt>
                <c:pt idx="3">
                  <c:v>0</c:v>
                </c:pt>
                <c:pt idx="4">
                  <c:v>0.12631830973758498</c:v>
                </c:pt>
                <c:pt idx="5">
                  <c:v>0</c:v>
                </c:pt>
                <c:pt idx="6">
                  <c:v>0</c:v>
                </c:pt>
              </c:numCache>
            </c:numRef>
          </c:val>
          <c:extLst>
            <c:ext xmlns:c16="http://schemas.microsoft.com/office/drawing/2014/chart" uri="{C3380CC4-5D6E-409C-BE32-E72D297353CC}">
              <c16:uniqueId val="{00000000-8444-470B-8A52-662AFCEA52EC}"/>
            </c:ext>
          </c:extLst>
        </c:ser>
        <c:dLbls>
          <c:showLegendKey val="0"/>
          <c:showVal val="0"/>
          <c:showCatName val="0"/>
          <c:showSerName val="0"/>
          <c:showPercent val="0"/>
          <c:showBubbleSize val="0"/>
        </c:dLbls>
        <c:gapWidth val="150"/>
        <c:axId val="269432928"/>
        <c:axId val="750023296"/>
      </c:barChart>
      <c:catAx>
        <c:axId val="269432928"/>
        <c:scaling>
          <c:orientation val="minMax"/>
        </c:scaling>
        <c:delete val="0"/>
        <c:axPos val="b"/>
        <c:numFmt formatCode="General" sourceLinked="1"/>
        <c:majorTickMark val="in"/>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23296"/>
        <c:crosses val="autoZero"/>
        <c:auto val="1"/>
        <c:lblAlgn val="ctr"/>
        <c:lblOffset val="100"/>
        <c:tickLblSkip val="2"/>
        <c:noMultiLvlLbl val="0"/>
      </c:catAx>
      <c:valAx>
        <c:axId val="750023296"/>
        <c:scaling>
          <c:orientation val="minMax"/>
        </c:scaling>
        <c:delete val="0"/>
        <c:axPos val="l"/>
        <c:majorGridlines>
          <c:spPr>
            <a:ln w="9525" cap="flat" cmpd="sng" algn="ctr">
              <a:solidFill>
                <a:schemeClr val="tx2">
                  <a:lumMod val="20000"/>
                  <a:lumOff val="80000"/>
                </a:schemeClr>
              </a:solidFill>
              <a:prstDash val="solid"/>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9432928"/>
        <c:crosses val="autoZero"/>
        <c:crossBetween val="midCat"/>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barChart>
        <c:barDir val="col"/>
        <c:grouping val="clustered"/>
        <c:varyColors val="0"/>
        <c:ser>
          <c:idx val="0"/>
          <c:order val="0"/>
          <c:tx>
            <c:v>EBIT／销售收入</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[0]!MyFun14</c:f>
              <c:numCache>
                <c:formatCode>0.00%</c:formatCode>
                <c:ptCount val="7"/>
                <c:pt idx="0">
                  <c:v>0</c:v>
                </c:pt>
                <c:pt idx="1">
                  <c:v>0</c:v>
                </c:pt>
                <c:pt idx="2">
                  <c:v>0</c:v>
                </c:pt>
                <c:pt idx="3">
                  <c:v>0</c:v>
                </c:pt>
                <c:pt idx="4">
                  <c:v>0.73499012316550727</c:v>
                </c:pt>
                <c:pt idx="5">
                  <c:v>0</c:v>
                </c:pt>
                <c:pt idx="6">
                  <c:v>0</c:v>
                </c:pt>
              </c:numCache>
            </c:numRef>
          </c:val>
          <c:extLst>
            <c:ext xmlns:c16="http://schemas.microsoft.com/office/drawing/2014/chart" uri="{C3380CC4-5D6E-409C-BE32-E72D297353CC}">
              <c16:uniqueId val="{00000000-8C1E-4FB6-954C-F5760BEF374A}"/>
            </c:ext>
          </c:extLst>
        </c:ser>
        <c:dLbls>
          <c:showLegendKey val="0"/>
          <c:showVal val="0"/>
          <c:showCatName val="0"/>
          <c:showSerName val="0"/>
          <c:showPercent val="0"/>
          <c:showBubbleSize val="0"/>
        </c:dLbls>
        <c:gapWidth val="150"/>
        <c:axId val="269386752"/>
        <c:axId val="750020800"/>
      </c:barChart>
      <c:catAx>
        <c:axId val="269386752"/>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20800"/>
        <c:crosses val="autoZero"/>
        <c:auto val="1"/>
        <c:lblAlgn val="ctr"/>
        <c:lblOffset val="100"/>
        <c:tickLblSkip val="2"/>
        <c:noMultiLvlLbl val="0"/>
      </c:catAx>
      <c:valAx>
        <c:axId val="750020800"/>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9386752"/>
        <c:crosses val="autoZero"/>
        <c:crossBetween val="midCat"/>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605740771765203"/>
          <c:y val="0.04"/>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barChart>
        <c:barDir val="col"/>
        <c:grouping val="clustered"/>
        <c:varyColors val="0"/>
        <c:ser>
          <c:idx val="0"/>
          <c:order val="0"/>
          <c:tx>
            <c:v>EBITDA／销售收入</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E690-48B0-B4DC-2870207589AF}"/>
            </c:ext>
          </c:extLst>
        </c:ser>
        <c:dLbls>
          <c:showLegendKey val="0"/>
          <c:showVal val="0"/>
          <c:showCatName val="0"/>
          <c:showSerName val="0"/>
          <c:showPercent val="0"/>
          <c:showBubbleSize val="0"/>
        </c:dLbls>
        <c:gapWidth val="150"/>
        <c:axId val="267684320"/>
        <c:axId val="749987104"/>
      </c:barChart>
      <c:catAx>
        <c:axId val="267684320"/>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87104"/>
        <c:crosses val="autoZero"/>
        <c:auto val="1"/>
        <c:lblAlgn val="ctr"/>
        <c:lblOffset val="100"/>
        <c:tickLblSkip val="2"/>
        <c:noMultiLvlLbl val="0"/>
      </c:catAx>
      <c:valAx>
        <c:axId val="749987104"/>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7684320"/>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634277098341401"/>
          <c:y val="6.0000749906261697E-2"/>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8404264684305802"/>
          <c:y val="0.235133188138717"/>
          <c:w val="0.63647381033892503"/>
          <c:h val="0.31267884067682999"/>
        </c:manualLayout>
      </c:layout>
      <c:barChart>
        <c:barDir val="col"/>
        <c:grouping val="clustered"/>
        <c:varyColors val="0"/>
        <c:ser>
          <c:idx val="0"/>
          <c:order val="0"/>
          <c:tx>
            <c:v>投入资本／总资产</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[0]!MyFun16</c:f>
              <c:numCache>
                <c:formatCode>0.00%</c:formatCode>
                <c:ptCount val="7"/>
                <c:pt idx="0">
                  <c:v>0</c:v>
                </c:pt>
                <c:pt idx="1">
                  <c:v>0</c:v>
                </c:pt>
                <c:pt idx="2">
                  <c:v>0</c:v>
                </c:pt>
                <c:pt idx="3">
                  <c:v>0</c:v>
                </c:pt>
                <c:pt idx="4">
                  <c:v>0.2046158630064141</c:v>
                </c:pt>
                <c:pt idx="5">
                  <c:v>0</c:v>
                </c:pt>
                <c:pt idx="6">
                  <c:v>0</c:v>
                </c:pt>
              </c:numCache>
            </c:numRef>
          </c:val>
          <c:extLst>
            <c:ext xmlns:c16="http://schemas.microsoft.com/office/drawing/2014/chart" uri="{C3380CC4-5D6E-409C-BE32-E72D297353CC}">
              <c16:uniqueId val="{00000000-CA35-49D3-9BDF-B369CD40F6E6}"/>
            </c:ext>
          </c:extLst>
        </c:ser>
        <c:dLbls>
          <c:showLegendKey val="0"/>
          <c:showVal val="0"/>
          <c:showCatName val="0"/>
          <c:showSerName val="0"/>
          <c:showPercent val="0"/>
          <c:showBubbleSize val="0"/>
        </c:dLbls>
        <c:gapWidth val="150"/>
        <c:axId val="116421920"/>
        <c:axId val="750016432"/>
      </c:barChart>
      <c:catAx>
        <c:axId val="116421920"/>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16432"/>
        <c:crosses val="autoZero"/>
        <c:auto val="1"/>
        <c:lblAlgn val="ctr"/>
        <c:lblOffset val="100"/>
        <c:tickLblSkip val="2"/>
        <c:noMultiLvlLbl val="0"/>
      </c:catAx>
      <c:valAx>
        <c:axId val="750016432"/>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6421920"/>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36363916466963397"/>
          <c:y val="0.32590803624848602"/>
          <c:w val="0.54985865897197606"/>
          <c:h val="0.31704048525885198"/>
        </c:manualLayout>
      </c:layout>
      <c:barChart>
        <c:barDir val="col"/>
        <c:grouping val="clustered"/>
        <c:varyColors val="0"/>
        <c:ser>
          <c:idx val="0"/>
          <c:order val="0"/>
          <c:tx>
            <c:v>现金净流量</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[0]!现金净流量</c:f>
              <c:numCache>
                <c:formatCode>#,##0.00_ ;[Red]\-#,##0.00\ </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44C-490B-9A93-83C102BDA9DA}"/>
            </c:ext>
          </c:extLst>
        </c:ser>
        <c:dLbls>
          <c:showLegendKey val="0"/>
          <c:showVal val="0"/>
          <c:showCatName val="0"/>
          <c:showSerName val="0"/>
          <c:showPercent val="0"/>
          <c:showBubbleSize val="0"/>
        </c:dLbls>
        <c:gapWidth val="150"/>
        <c:axId val="115567072"/>
        <c:axId val="750013936"/>
      </c:barChart>
      <c:catAx>
        <c:axId val="115567072"/>
        <c:scaling>
          <c:orientation val="minMax"/>
        </c:scaling>
        <c:delete val="0"/>
        <c:axPos val="b"/>
        <c:numFmt formatCode="General" sourceLinked="1"/>
        <c:majorTickMark val="out"/>
        <c:minorTickMark val="none"/>
        <c:tickLblPos val="low"/>
        <c:txPr>
          <a:bodyPr rot="-54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13936"/>
        <c:crosses val="autoZero"/>
        <c:auto val="1"/>
        <c:lblAlgn val="ctr"/>
        <c:lblOffset val="100"/>
        <c:tickLblSkip val="2"/>
        <c:noMultiLvlLbl val="0"/>
      </c:catAx>
      <c:valAx>
        <c:axId val="750013936"/>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_ ;[Red]\-#,##0.00\ "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5567072"/>
        <c:crosses val="autoZero"/>
        <c:crossBetween val="between"/>
      </c:valAx>
    </c:plotArea>
    <c:plotVisOnly val="1"/>
    <c:dispBlanksAs val="gap"/>
    <c:showDLblsOverMax val="0"/>
  </c:chart>
  <c:spPr>
    <a:ln w="15875" cap="flat" cmpd="sng" algn="ctr">
      <a:solidFill>
        <a:schemeClr val="tx2">
          <a:lumMod val="75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105278506853303"/>
          <c:y val="6.4386412130138404E-2"/>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38095238095238"/>
          <c:y val="0.23741007194244601"/>
          <c:w val="0.64550264550264502"/>
          <c:h val="0.65467625899280601"/>
        </c:manualLayout>
      </c:layout>
      <c:barChart>
        <c:barDir val="col"/>
        <c:grouping val="clustered"/>
        <c:varyColors val="0"/>
        <c:ser>
          <c:idx val="0"/>
          <c:order val="0"/>
          <c:tx>
            <c:v>筹资性现金流</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[0]!筹资性现金流</c:f>
              <c:numCache>
                <c:formatCode>#,##0.00_ ;[Red]\-#,##0.00\ </c:formatCode>
                <c:ptCount val="7"/>
                <c:pt idx="0">
                  <c:v>0.27747096419999961</c:v>
                </c:pt>
                <c:pt idx="1">
                  <c:v>3.4898628159999991</c:v>
                </c:pt>
                <c:pt idx="2">
                  <c:v>2.4569657741000013</c:v>
                </c:pt>
                <c:pt idx="3">
                  <c:v>-1.7643064668999999</c:v>
                </c:pt>
                <c:pt idx="4">
                  <c:v>0</c:v>
                </c:pt>
                <c:pt idx="5">
                  <c:v>0</c:v>
                </c:pt>
                <c:pt idx="6">
                  <c:v>0</c:v>
                </c:pt>
              </c:numCache>
            </c:numRef>
          </c:val>
          <c:extLst>
            <c:ext xmlns:c16="http://schemas.microsoft.com/office/drawing/2014/chart" uri="{C3380CC4-5D6E-409C-BE32-E72D297353CC}">
              <c16:uniqueId val="{00000000-3BA7-48CE-A829-2B6358D965E7}"/>
            </c:ext>
          </c:extLst>
        </c:ser>
        <c:dLbls>
          <c:showLegendKey val="0"/>
          <c:showVal val="0"/>
          <c:showCatName val="0"/>
          <c:showSerName val="0"/>
          <c:showPercent val="0"/>
          <c:showBubbleSize val="0"/>
        </c:dLbls>
        <c:gapWidth val="150"/>
        <c:axId val="115561152"/>
        <c:axId val="750011440"/>
      </c:barChart>
      <c:catAx>
        <c:axId val="115561152"/>
        <c:scaling>
          <c:orientation val="minMax"/>
        </c:scaling>
        <c:delete val="0"/>
        <c:axPos val="b"/>
        <c:numFmt formatCode="General" sourceLinked="1"/>
        <c:majorTickMark val="out"/>
        <c:minorTickMark val="none"/>
        <c:tickLblPos val="nextTo"/>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11440"/>
        <c:crosses val="autoZero"/>
        <c:auto val="1"/>
        <c:lblAlgn val="ctr"/>
        <c:lblOffset val="100"/>
        <c:tickLblSkip val="2"/>
        <c:noMultiLvlLbl val="0"/>
      </c:catAx>
      <c:valAx>
        <c:axId val="750011440"/>
        <c:scaling>
          <c:orientation val="minMax"/>
        </c:scaling>
        <c:delete val="0"/>
        <c:axPos val="l"/>
        <c:numFmt formatCode="#,##0.00_ ;[Red]\-#,##0.00\ "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5561152"/>
        <c:crosses val="autoZero"/>
        <c:crossBetween val="between"/>
        <c:dispUnits>
          <c:builtInUnit val="millions"/>
        </c:dispUnits>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63456790123457"/>
          <c:y val="6.2992125984251995E-2"/>
        </c:manualLayout>
      </c:layout>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35997375328084003"/>
          <c:y val="0.28417857343619302"/>
          <c:w val="0.61370053703541405"/>
          <c:h val="0.40884756922274201"/>
        </c:manualLayout>
      </c:layout>
      <c:barChart>
        <c:barDir val="col"/>
        <c:grouping val="clustered"/>
        <c:varyColors val="0"/>
        <c:ser>
          <c:idx val="0"/>
          <c:order val="0"/>
          <c:tx>
            <c:v>投资性现金流</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[0]!投资性现金流</c:f>
              <c:numCache>
                <c:formatCode>#,##0.00_ ;[Red]\-#,##0.00\ </c:formatCode>
                <c:ptCount val="7"/>
                <c:pt idx="0">
                  <c:v>0</c:v>
                </c:pt>
                <c:pt idx="1">
                  <c:v>0</c:v>
                </c:pt>
                <c:pt idx="2">
                  <c:v>0</c:v>
                </c:pt>
                <c:pt idx="3">
                  <c:v>0</c:v>
                </c:pt>
                <c:pt idx="4">
                  <c:v>-105.67993182974058</c:v>
                </c:pt>
                <c:pt idx="5">
                  <c:v>8.095152932281648</c:v>
                </c:pt>
                <c:pt idx="6">
                  <c:v>5.1947297436779447</c:v>
                </c:pt>
              </c:numCache>
            </c:numRef>
          </c:val>
          <c:extLst>
            <c:ext xmlns:c16="http://schemas.microsoft.com/office/drawing/2014/chart" uri="{C3380CC4-5D6E-409C-BE32-E72D297353CC}">
              <c16:uniqueId val="{00000000-F3D5-4078-A24F-4A3B607AB43D}"/>
            </c:ext>
          </c:extLst>
        </c:ser>
        <c:dLbls>
          <c:showLegendKey val="0"/>
          <c:showVal val="0"/>
          <c:showCatName val="0"/>
          <c:showSerName val="0"/>
          <c:showPercent val="0"/>
          <c:showBubbleSize val="0"/>
        </c:dLbls>
        <c:gapWidth val="150"/>
        <c:axId val="39784416"/>
        <c:axId val="750009568"/>
      </c:barChart>
      <c:catAx>
        <c:axId val="39784416"/>
        <c:scaling>
          <c:orientation val="minMax"/>
        </c:scaling>
        <c:delete val="0"/>
        <c:axPos val="b"/>
        <c:numFmt formatCode="General" sourceLinked="1"/>
        <c:majorTickMark val="out"/>
        <c:minorTickMark val="none"/>
        <c:tickLblPos val="low"/>
        <c:txPr>
          <a:bodyPr rot="-54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09568"/>
        <c:crosses val="autoZero"/>
        <c:auto val="1"/>
        <c:lblAlgn val="ctr"/>
        <c:lblOffset val="100"/>
        <c:tickLblSkip val="2"/>
        <c:noMultiLvlLbl val="0"/>
      </c:catAx>
      <c:valAx>
        <c:axId val="750009568"/>
        <c:scaling>
          <c:orientation val="minMax"/>
        </c:scaling>
        <c:delete val="0"/>
        <c:axPos val="l"/>
        <c:majorGridlines/>
        <c:numFmt formatCode="#,##0.00_ ;[Red]\-#,##0.00\ "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39784416"/>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34644962994557799"/>
          <c:y val="0.304739179797617"/>
          <c:w val="0.56397508352882697"/>
          <c:h val="0.37613070733571502"/>
        </c:manualLayout>
      </c:layout>
      <c:barChart>
        <c:barDir val="col"/>
        <c:grouping val="clustered"/>
        <c:varyColors val="0"/>
        <c:ser>
          <c:idx val="0"/>
          <c:order val="0"/>
          <c:tx>
            <c:v>经营性现金流</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[0]!经营性现金流</c:f>
              <c:numCache>
                <c:formatCode>#,##0.00_ ;[Red]\-#,##0.00\ </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2CB-42D7-A0AD-C6969DE7DBB7}"/>
            </c:ext>
          </c:extLst>
        </c:ser>
        <c:dLbls>
          <c:showLegendKey val="0"/>
          <c:showVal val="0"/>
          <c:showCatName val="0"/>
          <c:showSerName val="0"/>
          <c:showPercent val="0"/>
          <c:showBubbleSize val="0"/>
        </c:dLbls>
        <c:gapWidth val="150"/>
        <c:axId val="39776128"/>
        <c:axId val="750002080"/>
      </c:barChart>
      <c:catAx>
        <c:axId val="39776128"/>
        <c:scaling>
          <c:orientation val="minMax"/>
        </c:scaling>
        <c:delete val="0"/>
        <c:axPos val="b"/>
        <c:numFmt formatCode="General" sourceLinked="1"/>
        <c:majorTickMark val="out"/>
        <c:minorTickMark val="none"/>
        <c:tickLblPos val="low"/>
        <c:txPr>
          <a:bodyPr rot="-54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02080"/>
        <c:crosses val="autoZero"/>
        <c:auto val="1"/>
        <c:lblAlgn val="ctr"/>
        <c:lblOffset val="100"/>
        <c:tickLblSkip val="2"/>
        <c:noMultiLvlLbl val="0"/>
      </c:catAx>
      <c:valAx>
        <c:axId val="750002080"/>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_ ;[Red]\-#,##0.00\ "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39776128"/>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31021532261073997"/>
          <c:y val="0.26265091863517098"/>
          <c:w val="0.62367586963022004"/>
          <c:h val="0.50352510770026204"/>
        </c:manualLayout>
      </c:layout>
      <c:barChart>
        <c:barDir val="col"/>
        <c:grouping val="clustered"/>
        <c:varyColors val="0"/>
        <c:ser>
          <c:idx val="0"/>
          <c:order val="0"/>
          <c:tx>
            <c:v>经营营运资本增长率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[0]!MyFun10</c:f>
              <c:numCache>
                <c:formatCode>0.00%</c:formatCode>
                <c:ptCount val="7"/>
                <c:pt idx="0">
                  <c:v>0</c:v>
                </c:pt>
                <c:pt idx="1">
                  <c:v>0.38421144894491721</c:v>
                </c:pt>
                <c:pt idx="2">
                  <c:v>0.3156160382337288</c:v>
                </c:pt>
                <c:pt idx="3">
                  <c:v>0.15958549414148612</c:v>
                </c:pt>
                <c:pt idx="4">
                  <c:v>0</c:v>
                </c:pt>
                <c:pt idx="5">
                  <c:v>0</c:v>
                </c:pt>
                <c:pt idx="6">
                  <c:v>0</c:v>
                </c:pt>
              </c:numCache>
            </c:numRef>
          </c:val>
          <c:extLst>
            <c:ext xmlns:c16="http://schemas.microsoft.com/office/drawing/2014/chart" uri="{C3380CC4-5D6E-409C-BE32-E72D297353CC}">
              <c16:uniqueId val="{00000000-D4EF-4F04-B93B-D6FCCF655770}"/>
            </c:ext>
          </c:extLst>
        </c:ser>
        <c:dLbls>
          <c:showLegendKey val="0"/>
          <c:showVal val="0"/>
          <c:showCatName val="0"/>
          <c:showSerName val="0"/>
          <c:showPercent val="0"/>
          <c:showBubbleSize val="0"/>
        </c:dLbls>
        <c:gapWidth val="150"/>
        <c:axId val="39790928"/>
        <c:axId val="750005200"/>
      </c:barChart>
      <c:catAx>
        <c:axId val="39790928"/>
        <c:scaling>
          <c:orientation val="minMax"/>
        </c:scaling>
        <c:delete val="0"/>
        <c:axPos val="b"/>
        <c:numFmt formatCode="General" sourceLinked="1"/>
        <c:majorTickMark val="none"/>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05200"/>
        <c:crosses val="autoZero"/>
        <c:auto val="1"/>
        <c:lblAlgn val="ctr"/>
        <c:lblOffset val="100"/>
        <c:tickLblSkip val="2"/>
        <c:noMultiLvlLbl val="0"/>
      </c:catAx>
      <c:valAx>
        <c:axId val="750005200"/>
        <c:scaling>
          <c:orientation val="minMax"/>
        </c:scaling>
        <c:delete val="0"/>
        <c:axPos val="l"/>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39790928"/>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27714520864299103"/>
          <c:y val="0.27768661223539298"/>
          <c:w val="0.64598523468497804"/>
          <c:h val="0.41936791704466198"/>
        </c:manualLayout>
      </c:layout>
      <c:barChart>
        <c:barDir val="col"/>
        <c:grouping val="clustered"/>
        <c:varyColors val="0"/>
        <c:ser>
          <c:idx val="0"/>
          <c:order val="0"/>
          <c:tx>
            <c:v>资产负债率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[0]!MyFun28</c:f>
              <c:numCache>
                <c:formatCode>0.00%</c:formatCode>
                <c:ptCount val="7"/>
                <c:pt idx="0">
                  <c:v>0.22760939220773593</c:v>
                </c:pt>
                <c:pt idx="1">
                  <c:v>0.31261091641372901</c:v>
                </c:pt>
                <c:pt idx="2">
                  <c:v>0.11790328499340945</c:v>
                </c:pt>
                <c:pt idx="3">
                  <c:v>0.12644723917957848</c:v>
                </c:pt>
                <c:pt idx="4">
                  <c:v>0</c:v>
                </c:pt>
                <c:pt idx="5">
                  <c:v>0</c:v>
                </c:pt>
                <c:pt idx="6">
                  <c:v>0</c:v>
                </c:pt>
              </c:numCache>
            </c:numRef>
          </c:val>
          <c:extLst>
            <c:ext xmlns:c16="http://schemas.microsoft.com/office/drawing/2014/chart" uri="{C3380CC4-5D6E-409C-BE32-E72D297353CC}">
              <c16:uniqueId val="{00000000-D17F-4998-848B-6D27F36B42DA}"/>
            </c:ext>
          </c:extLst>
        </c:ser>
        <c:dLbls>
          <c:showLegendKey val="0"/>
          <c:showVal val="0"/>
          <c:showCatName val="0"/>
          <c:showSerName val="0"/>
          <c:showPercent val="0"/>
          <c:showBubbleSize val="0"/>
        </c:dLbls>
        <c:gapWidth val="150"/>
        <c:axId val="269404512"/>
        <c:axId val="749967136"/>
      </c:barChart>
      <c:catAx>
        <c:axId val="269404512"/>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67136"/>
        <c:crosses val="autoZero"/>
        <c:auto val="1"/>
        <c:lblAlgn val="ctr"/>
        <c:lblOffset val="100"/>
        <c:tickLblSkip val="2"/>
        <c:noMultiLvlLbl val="0"/>
      </c:catAx>
      <c:valAx>
        <c:axId val="749967136"/>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 sourceLinked="0"/>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9404512"/>
        <c:crosses val="autoZero"/>
        <c:crossBetween val="between"/>
      </c:valAx>
    </c:plotArea>
    <c:plotVisOnly val="1"/>
    <c:dispBlanksAs val="gap"/>
    <c:showDLblsOverMax val="0"/>
  </c:chart>
  <c:spPr>
    <a:ln w="12700"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manualLayout>
          <c:layoutTarget val="inner"/>
          <c:xMode val="edge"/>
          <c:yMode val="edge"/>
          <c:x val="0.171171171171171"/>
          <c:y val="0.20245398773006101"/>
          <c:w val="0.72972972972973005"/>
          <c:h val="0.441717791411043"/>
        </c:manualLayout>
      </c:layout>
      <c:barChart>
        <c:barDir val="col"/>
        <c:grouping val="clustered"/>
        <c:varyColors val="0"/>
        <c:ser>
          <c:idx val="0"/>
          <c:order val="0"/>
          <c:tx>
            <c:v>总资产周转率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[0]!MyFun26</c:f>
              <c:numCache>
                <c:formatCode>0.00_ </c:formatCode>
                <c:ptCount val="7"/>
                <c:pt idx="0" formatCode="0.00%">
                  <c:v>0</c:v>
                </c:pt>
                <c:pt idx="1">
                  <c:v>0.49635906095080362</c:v>
                </c:pt>
                <c:pt idx="2">
                  <c:v>0.46933316080582005</c:v>
                </c:pt>
                <c:pt idx="3">
                  <c:v>0.49309054468559177</c:v>
                </c:pt>
                <c:pt idx="4">
                  <c:v>0</c:v>
                </c:pt>
                <c:pt idx="5">
                  <c:v>0</c:v>
                </c:pt>
                <c:pt idx="6">
                  <c:v>0</c:v>
                </c:pt>
              </c:numCache>
            </c:numRef>
          </c:val>
          <c:extLst>
            <c:ext xmlns:c16="http://schemas.microsoft.com/office/drawing/2014/chart" uri="{C3380CC4-5D6E-409C-BE32-E72D297353CC}">
              <c16:uniqueId val="{00000000-43E1-4118-8761-CC99EE35A43B}"/>
            </c:ext>
          </c:extLst>
        </c:ser>
        <c:dLbls>
          <c:showLegendKey val="0"/>
          <c:showVal val="0"/>
          <c:showCatName val="0"/>
          <c:showSerName val="0"/>
          <c:showPercent val="0"/>
          <c:showBubbleSize val="0"/>
        </c:dLbls>
        <c:gapWidth val="150"/>
        <c:axId val="115559968"/>
        <c:axId val="749992720"/>
      </c:barChart>
      <c:catAx>
        <c:axId val="115559968"/>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49992720"/>
        <c:crosses val="autoZero"/>
        <c:auto val="1"/>
        <c:lblAlgn val="ctr"/>
        <c:lblOffset val="100"/>
        <c:tickLblSkip val="2"/>
        <c:noMultiLvlLbl val="0"/>
      </c:catAx>
      <c:valAx>
        <c:axId val="749992720"/>
        <c:scaling>
          <c:orientation val="minMax"/>
        </c:scaling>
        <c:delete val="0"/>
        <c:axPos val="l"/>
        <c:majorGridlines/>
        <c:numFmt formatCode="0.00%"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115559968"/>
        <c:crosses val="autoZero"/>
        <c:crossBetween val="between"/>
      </c:valAx>
    </c:plotArea>
    <c:plotVisOnly val="1"/>
    <c:dispBlanksAs val="gap"/>
    <c:showDLblsOverMax val="0"/>
  </c:chart>
  <c:spPr>
    <a:ln w="15875" cap="flat" cmpd="sng" algn="ctr">
      <a:solidFill>
        <a:schemeClr val="tx2">
          <a:lumMod val="75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endParaRPr lang="en-US"/>
        </a:p>
      </c:txPr>
    </c:title>
    <c:autoTitleDeleted val="0"/>
    <c:plotArea>
      <c:layout/>
      <c:barChart>
        <c:barDir val="col"/>
        <c:grouping val="clustered"/>
        <c:varyColors val="0"/>
        <c:ser>
          <c:idx val="0"/>
          <c:order val="0"/>
          <c:tx>
            <c:v>固定资产周转率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[0]!MyFun25</c:f>
              <c:numCache>
                <c:formatCode>0.00_ </c:formatCode>
                <c:ptCount val="7"/>
                <c:pt idx="0" formatCode="0.00%">
                  <c:v>0</c:v>
                </c:pt>
                <c:pt idx="1">
                  <c:v>0.91530957151920467</c:v>
                </c:pt>
                <c:pt idx="2">
                  <c:v>0.92216581088794536</c:v>
                </c:pt>
                <c:pt idx="3">
                  <c:v>1.0036223163612534</c:v>
                </c:pt>
                <c:pt idx="4">
                  <c:v>0</c:v>
                </c:pt>
                <c:pt idx="5">
                  <c:v>0</c:v>
                </c:pt>
                <c:pt idx="6">
                  <c:v>0</c:v>
                </c:pt>
              </c:numCache>
            </c:numRef>
          </c:val>
          <c:extLst>
            <c:ext xmlns:c16="http://schemas.microsoft.com/office/drawing/2014/chart" uri="{C3380CC4-5D6E-409C-BE32-E72D297353CC}">
              <c16:uniqueId val="{00000000-6B7C-43D0-8813-56035904D3FA}"/>
            </c:ext>
          </c:extLst>
        </c:ser>
        <c:dLbls>
          <c:showLegendKey val="0"/>
          <c:showVal val="0"/>
          <c:showCatName val="0"/>
          <c:showSerName val="0"/>
          <c:showPercent val="0"/>
          <c:showBubbleSize val="0"/>
        </c:dLbls>
        <c:gapWidth val="150"/>
        <c:axId val="268101808"/>
        <c:axId val="750069472"/>
      </c:barChart>
      <c:catAx>
        <c:axId val="268101808"/>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69472"/>
        <c:crosses val="autoZero"/>
        <c:auto val="1"/>
        <c:lblAlgn val="ctr"/>
        <c:lblOffset val="100"/>
        <c:tickLblSkip val="2"/>
        <c:noMultiLvlLbl val="0"/>
      </c:catAx>
      <c:valAx>
        <c:axId val="750069472"/>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8101808"/>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00" b="1"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r>
              <a:rPr lang="zh-CN" altLang="en-US"/>
              <a:t>存货周转率</a:t>
            </a:r>
          </a:p>
        </c:rich>
      </c:tx>
      <c:overlay val="0"/>
      <c:spPr>
        <a:noFill/>
        <a:ln w="25400">
          <a:noFill/>
        </a:ln>
      </c:spPr>
    </c:title>
    <c:autoTitleDeleted val="0"/>
    <c:plotArea>
      <c:layout>
        <c:manualLayout>
          <c:layoutTarget val="inner"/>
          <c:xMode val="edge"/>
          <c:yMode val="edge"/>
          <c:x val="0.171875"/>
          <c:y val="0.194244604316547"/>
          <c:w val="0.67708333333333404"/>
          <c:h val="0.410071942446043"/>
        </c:manualLayout>
      </c:layout>
      <c:barChart>
        <c:barDir val="col"/>
        <c:grouping val="clustered"/>
        <c:varyColors val="0"/>
        <c:ser>
          <c:idx val="0"/>
          <c:order val="0"/>
          <c:tx>
            <c:v>存货周转率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[0]!MyFun23</c:f>
              <c:numCache>
                <c:formatCode>0.00_ </c:formatCode>
                <c:ptCount val="7"/>
                <c:pt idx="0" formatCode="0.00%">
                  <c:v>0</c:v>
                </c:pt>
                <c:pt idx="1">
                  <c:v>4.6255719556233634</c:v>
                </c:pt>
                <c:pt idx="2">
                  <c:v>4.0773953854038201</c:v>
                </c:pt>
                <c:pt idx="3">
                  <c:v>3.6806138483118422</c:v>
                </c:pt>
                <c:pt idx="4">
                  <c:v>3.6806138483118418</c:v>
                </c:pt>
                <c:pt idx="5">
                  <c:v>3.6806138483118422</c:v>
                </c:pt>
                <c:pt idx="6">
                  <c:v>3.6806138483118422</c:v>
                </c:pt>
              </c:numCache>
            </c:numRef>
          </c:val>
          <c:extLst>
            <c:ext xmlns:c16="http://schemas.microsoft.com/office/drawing/2014/chart" uri="{C3380CC4-5D6E-409C-BE32-E72D297353CC}">
              <c16:uniqueId val="{00000000-6BB0-4276-8089-DF3DE74B0086}"/>
            </c:ext>
          </c:extLst>
        </c:ser>
        <c:dLbls>
          <c:showLegendKey val="0"/>
          <c:showVal val="0"/>
          <c:showCatName val="0"/>
          <c:showSerName val="0"/>
          <c:showPercent val="0"/>
          <c:showBubbleSize val="0"/>
        </c:dLbls>
        <c:gapWidth val="150"/>
        <c:axId val="268103584"/>
        <c:axId val="750071968"/>
      </c:barChart>
      <c:catAx>
        <c:axId val="268103584"/>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71968"/>
        <c:crosses val="autoZero"/>
        <c:auto val="1"/>
        <c:lblAlgn val="ctr"/>
        <c:lblOffset val="100"/>
        <c:tickLblSkip val="2"/>
        <c:noMultiLvlLbl val="0"/>
      </c:catAx>
      <c:valAx>
        <c:axId val="750071968"/>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8103584"/>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00" b="1"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r>
              <a:rPr lang="zh-CN" altLang="en-US"/>
              <a:t>应收账款周转率</a:t>
            </a:r>
          </a:p>
        </c:rich>
      </c:tx>
      <c:layout>
        <c:manualLayout>
          <c:xMode val="edge"/>
          <c:yMode val="edge"/>
          <c:x val="0.17261554262239001"/>
          <c:y val="2.85715364716101E-2"/>
        </c:manualLayout>
      </c:layout>
      <c:overlay val="0"/>
      <c:spPr>
        <a:noFill/>
        <a:ln w="25400">
          <a:noFill/>
        </a:ln>
      </c:spPr>
    </c:title>
    <c:autoTitleDeleted val="0"/>
    <c:plotArea>
      <c:layout>
        <c:manualLayout>
          <c:layoutTarget val="inner"/>
          <c:xMode val="edge"/>
          <c:yMode val="edge"/>
          <c:x val="0.26222072240969901"/>
          <c:y val="0.19411905511811001"/>
          <c:w val="0.66725294169689497"/>
          <c:h val="0.57669922838592602"/>
        </c:manualLayout>
      </c:layout>
      <c:barChart>
        <c:barDir val="col"/>
        <c:grouping val="clustered"/>
        <c:varyColors val="0"/>
        <c:ser>
          <c:idx val="0"/>
          <c:order val="0"/>
          <c:tx>
            <c:v>应收账款周转率</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[0]!MyFun24</c:f>
              <c:numCache>
                <c:formatCode>0.00_ </c:formatCode>
                <c:ptCount val="7"/>
                <c:pt idx="0" formatCode="0.00%">
                  <c:v>0</c:v>
                </c:pt>
                <c:pt idx="1">
                  <c:v>2.4417296984407129</c:v>
                </c:pt>
                <c:pt idx="2">
                  <c:v>2.2906485228126283</c:v>
                </c:pt>
                <c:pt idx="3">
                  <c:v>2.5058659199465669</c:v>
                </c:pt>
                <c:pt idx="4">
                  <c:v>2.5058659199465669</c:v>
                </c:pt>
                <c:pt idx="5">
                  <c:v>2.5058659199465669</c:v>
                </c:pt>
                <c:pt idx="6">
                  <c:v>2.5058659199465665</c:v>
                </c:pt>
              </c:numCache>
            </c:numRef>
          </c:val>
          <c:extLst>
            <c:ext xmlns:c16="http://schemas.microsoft.com/office/drawing/2014/chart" uri="{C3380CC4-5D6E-409C-BE32-E72D297353CC}">
              <c16:uniqueId val="{00000000-2930-41E3-9806-32C33988AE1E}"/>
            </c:ext>
          </c:extLst>
        </c:ser>
        <c:dLbls>
          <c:showLegendKey val="0"/>
          <c:showVal val="0"/>
          <c:showCatName val="0"/>
          <c:showSerName val="0"/>
          <c:showPercent val="0"/>
          <c:showBubbleSize val="0"/>
        </c:dLbls>
        <c:gapWidth val="150"/>
        <c:axId val="268080496"/>
        <c:axId val="750073840"/>
      </c:barChart>
      <c:catAx>
        <c:axId val="268080496"/>
        <c:scaling>
          <c:orientation val="minMax"/>
        </c:scaling>
        <c:delete val="0"/>
        <c:axPos val="b"/>
        <c:numFmt formatCode="General" sourceLinked="1"/>
        <c:majorTickMark val="out"/>
        <c:minorTickMark val="none"/>
        <c:tickLblPos val="low"/>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73840"/>
        <c:crosses val="autoZero"/>
        <c:auto val="1"/>
        <c:lblAlgn val="ctr"/>
        <c:lblOffset val="100"/>
        <c:tickLblSkip val="2"/>
        <c:noMultiLvlLbl val="0"/>
      </c:catAx>
      <c:valAx>
        <c:axId val="750073840"/>
        <c:scaling>
          <c:orientation val="minMax"/>
        </c:scaling>
        <c:delete val="0"/>
        <c:axPos val="l"/>
        <c:majorGridlines>
          <c:spPr>
            <a:ln w="9525" cap="flat" cmpd="sng" algn="ctr">
              <a:solidFill>
                <a:schemeClr val="tx2">
                  <a:lumMod val="20000"/>
                  <a:lumOff val="80000"/>
                </a:schemeClr>
              </a:solidFill>
              <a:prstDash val="sysDash"/>
              <a:round/>
            </a:ln>
          </c:spPr>
        </c:majorGridlines>
        <c:numFmt formatCode="0.00%"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8080496"/>
        <c:crosses val="autoZero"/>
        <c:crossBetween val="between"/>
      </c:valAx>
    </c:plotArea>
    <c:plotVisOnly val="1"/>
    <c:dispBlanksAs val="gap"/>
    <c:showDLblsOverMax val="0"/>
  </c:chart>
  <c:spPr>
    <a:ln w="9525" cap="flat" cmpd="sng" algn="ctr">
      <a:solidFill>
        <a:schemeClr val="tx2">
          <a:lumMod val="60000"/>
          <a:lumOff val="40000"/>
        </a:schemeClr>
      </a:solidFill>
      <a:prstDash val="solid"/>
      <a:round/>
    </a:ln>
  </c:spPr>
  <c:txPr>
    <a:bodyPr/>
    <a:lstStyle/>
    <a:p>
      <a:pPr>
        <a:defRPr lang="zh-CN" sz="1000" b="0"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000" b="1" i="0" u="none" strike="noStrike" kern="1200" baseline="0">
                <a:solidFill>
                  <a:srgbClr val="000000"/>
                </a:solidFill>
                <a:latin typeface="Calibri" panose="020F0502020204030204"/>
                <a:ea typeface="Calibri" panose="020F0502020204030204"/>
                <a:cs typeface="Calibri" panose="020F0502020204030204"/>
              </a:defRPr>
            </a:pPr>
            <a:r>
              <a:rPr lang="zh-CN" altLang="en-US" sz="1000" b="1" i="0" u="none" strike="noStrike" baseline="0">
                <a:solidFill>
                  <a:srgbClr val="000000"/>
                </a:solidFill>
                <a:latin typeface="Calibri" panose="020F0502020204030204"/>
                <a:cs typeface="Calibri" panose="020F0502020204030204"/>
              </a:rPr>
              <a:t>营业成本/营业收入</a:t>
            </a:r>
          </a:p>
        </c:rich>
      </c:tx>
      <c:overlay val="0"/>
      <c:spPr>
        <a:noFill/>
        <a:ln w="25400">
          <a:noFill/>
        </a:ln>
      </c:spPr>
    </c:title>
    <c:autoTitleDeleted val="0"/>
    <c:plotArea>
      <c:layout>
        <c:manualLayout>
          <c:layoutTarget val="inner"/>
          <c:xMode val="edge"/>
          <c:yMode val="edge"/>
          <c:x val="0.32832162108768698"/>
          <c:y val="0.34630714326176898"/>
          <c:w val="0.60004289786357401"/>
          <c:h val="0.45564077871560998"/>
        </c:manualLayout>
      </c:layout>
      <c:barChart>
        <c:barDir val="col"/>
        <c:grouping val="clustered"/>
        <c:varyColors val="0"/>
        <c:ser>
          <c:idx val="0"/>
          <c:order val="0"/>
          <c:tx>
            <c:v>期间费用／营业收入</c:v>
          </c:tx>
          <c:invertIfNegative val="0"/>
          <c:cat>
            <c:strRef>
              <c:f>[0]!GetYearRange</c:f>
              <c:strCache>
                <c:ptCount val="7"/>
                <c:pt idx="0">
                  <c:v>2015A</c:v>
                </c:pt>
                <c:pt idx="1">
                  <c:v>2016A</c:v>
                </c:pt>
                <c:pt idx="2">
                  <c:v>2017A</c:v>
                </c:pt>
                <c:pt idx="3">
                  <c:v>2018A</c:v>
                </c:pt>
                <c:pt idx="4">
                  <c:v>2019E</c:v>
                </c:pt>
                <c:pt idx="5">
                  <c:v>2020E</c:v>
                </c:pt>
                <c:pt idx="6">
                  <c:v>2021E</c:v>
                </c:pt>
              </c:strCache>
            </c:strRef>
          </c:cat>
          <c:val>
            <c:numRef>
              <c:f>[0]!营业成本_营业收入</c:f>
            </c:numRef>
          </c:val>
          <c:extLst>
            <c:ext xmlns:c16="http://schemas.microsoft.com/office/drawing/2014/chart" uri="{C3380CC4-5D6E-409C-BE32-E72D297353CC}">
              <c16:uniqueId val="{00000000-EDC5-448A-A2AF-E536A1969A0F}"/>
            </c:ext>
          </c:extLst>
        </c:ser>
        <c:ser>
          <c:idx val="1"/>
          <c:order val="1"/>
          <c:tx>
            <c:v>营业成本/营业收入</c:v>
          </c:tx>
          <c:spPr>
            <a:solidFill>
              <a:schemeClr val="tx2">
                <a:lumMod val="60000"/>
                <a:lumOff val="40000"/>
              </a:schemeClr>
            </a:solidFill>
          </c:spPr>
          <c:invertIfNegative val="0"/>
          <c:cat>
            <c:strRef>
              <c:f>[0]!GetYearRange</c:f>
              <c:strCache>
                <c:ptCount val="7"/>
                <c:pt idx="0">
                  <c:v>2015A</c:v>
                </c:pt>
                <c:pt idx="1">
                  <c:v>2016A</c:v>
                </c:pt>
                <c:pt idx="2">
                  <c:v>2017A</c:v>
                </c:pt>
                <c:pt idx="3">
                  <c:v>2018A</c:v>
                </c:pt>
                <c:pt idx="4">
                  <c:v>2019E</c:v>
                </c:pt>
                <c:pt idx="5">
                  <c:v>2020E</c:v>
                </c:pt>
                <c:pt idx="6">
                  <c:v>2021E</c:v>
                </c:pt>
              </c:strCache>
            </c:strRef>
          </c:cat>
          <c:val>
            <c:numRef>
              <c:f>[0]!MyFunMLV</c:f>
              <c:numCache>
                <c:formatCode>0.00%</c:formatCode>
                <c:ptCount val="7"/>
                <c:pt idx="0">
                  <c:v>0.63500334860467256</c:v>
                </c:pt>
                <c:pt idx="1">
                  <c:v>0.62993981410086086</c:v>
                </c:pt>
                <c:pt idx="2">
                  <c:v>0.66522429374757075</c:v>
                </c:pt>
                <c:pt idx="3">
                  <c:v>0.65358437024722305</c:v>
                </c:pt>
                <c:pt idx="4">
                  <c:v>0.65358437024722305</c:v>
                </c:pt>
                <c:pt idx="5">
                  <c:v>0.65358437024722305</c:v>
                </c:pt>
                <c:pt idx="6">
                  <c:v>0.65358437024722305</c:v>
                </c:pt>
              </c:numCache>
            </c:numRef>
          </c:val>
          <c:extLst>
            <c:ext xmlns:c16="http://schemas.microsoft.com/office/drawing/2014/chart" uri="{C3380CC4-5D6E-409C-BE32-E72D297353CC}">
              <c16:uniqueId val="{00000001-EDC5-448A-A2AF-E536A1969A0F}"/>
            </c:ext>
          </c:extLst>
        </c:ser>
        <c:dLbls>
          <c:showLegendKey val="0"/>
          <c:showVal val="0"/>
          <c:showCatName val="0"/>
          <c:showSerName val="0"/>
          <c:showPercent val="0"/>
          <c:showBubbleSize val="0"/>
        </c:dLbls>
        <c:gapWidth val="150"/>
        <c:axId val="268095296"/>
        <c:axId val="750075712"/>
      </c:barChart>
      <c:catAx>
        <c:axId val="268095296"/>
        <c:scaling>
          <c:orientation val="minMax"/>
        </c:scaling>
        <c:delete val="0"/>
        <c:axPos val="b"/>
        <c:numFmt formatCode="General" sourceLinked="1"/>
        <c:majorTickMark val="none"/>
        <c:minorTickMark val="none"/>
        <c:tickLblPos val="nextTo"/>
        <c:txPr>
          <a:bodyPr rot="-270000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750075712"/>
        <c:crosses val="autoZero"/>
        <c:auto val="1"/>
        <c:lblAlgn val="ctr"/>
        <c:lblOffset val="100"/>
        <c:tickLblSkip val="2"/>
        <c:noMultiLvlLbl val="0"/>
      </c:catAx>
      <c:valAx>
        <c:axId val="750075712"/>
        <c:scaling>
          <c:orientation val="minMax"/>
        </c:scaling>
        <c:delete val="0"/>
        <c:axPos val="l"/>
        <c:majorGridlines/>
        <c:numFmt formatCode="0.00%" sourceLinked="1"/>
        <c:majorTickMark val="none"/>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Calibri" panose="020F0502020204030204"/>
                <a:ea typeface="Calibri" panose="020F0502020204030204"/>
                <a:cs typeface="Calibri" panose="020F0502020204030204"/>
              </a:defRPr>
            </a:pPr>
            <a:endParaRPr lang="en-US"/>
          </a:p>
        </c:txPr>
        <c:crossAx val="268095296"/>
        <c:crosses val="autoZero"/>
        <c:crossBetween val="midCat"/>
      </c:valAx>
    </c:plotArea>
    <c:plotVisOnly val="1"/>
    <c:dispBlanksAs val="gap"/>
    <c:showDLblsOverMax val="0"/>
  </c:chart>
  <c:txPr>
    <a:bodyPr/>
    <a:lstStyle/>
    <a:p>
      <a:pPr>
        <a:defRPr lang="zh-CN" sz="1000" b="1" i="0" u="none" strike="noStrike" baseline="0">
          <a:solidFill>
            <a:srgbClr val="000000"/>
          </a:solidFill>
          <a:latin typeface="Calibri" panose="020F0502020204030204"/>
          <a:ea typeface="Calibri" panose="020F0502020204030204"/>
          <a:cs typeface="Calibri" panose="020F0502020204030204"/>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Drop" dropStyle="combo" dx="22" fmlaLink="$C$13" fmlaRange="$K$7:$K$12" noThreeD="1" sel="6" val="0"/>
</file>

<file path=xl/ctrlProps/ctrlProp3.xml><?xml version="1.0" encoding="utf-8"?>
<formControlPr xmlns="http://schemas.microsoft.com/office/spreadsheetml/2009/9/main" objectType="Drop" dropStyle="combo" dx="22" fmlaLink="$C$12" noThreeD="1" sel="1" val="0">
  <itemLst>
    <item val="合并报表"/>
    <item val="合并报表（调整）"/>
  </itemLst>
</formControlPr>
</file>

<file path=xl/ctrlProps/ctrlProp4.xml><?xml version="1.0" encoding="utf-8"?>
<formControlPr xmlns="http://schemas.microsoft.com/office/spreadsheetml/2009/9/main" objectType="Drop" dropLines="20" dropStyle="combo" dx="22" noThreeD="1" sel="3"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5.xml><?xml version="1.0" encoding="utf-8"?>
<formControlPr xmlns="http://schemas.microsoft.com/office/spreadsheetml/2009/9/main" objectType="Drop" dropLines="20" dropStyle="combo" dx="22" noThreeD="1" sel="4"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6.xml><?xml version="1.0" encoding="utf-8"?>
<formControlPr xmlns="http://schemas.microsoft.com/office/spreadsheetml/2009/9/main" objectType="Drop" dropLines="20" dropStyle="combo" dx="22" noThreeD="1" sel="5"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 val="金额=三年均值"/>
  </itemLst>
</formControlPr>
</file>

<file path=xl/ctrlProps/ctrlProp10.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11.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12.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13.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14.xml><?xml version="1.0" encoding="utf-8"?>
<formControlPr xmlns="http://schemas.microsoft.com/office/spreadsheetml/2009/9/main" objectType="Drop" dropStyle="combo" dx="22" noThreeD="1" sel="3" val="0">
  <itemLst>
    <item val="自定义金额"/>
    <item val="自定义比率"/>
    <item val="金额=最新年报"/>
    <item val="比率=最新年报"/>
    <item val="比率=三年均值"/>
    <item val="金额=0"/>
    <item val="金额=三年均值"/>
  </itemLst>
</formControlPr>
</file>

<file path=xl/ctrlProps/ctrlProp15.xml><?xml version="1.0" encoding="utf-8"?>
<formControlPr xmlns="http://schemas.microsoft.com/office/spreadsheetml/2009/9/main" objectType="Drop" dropStyle="combo" dx="22" noThreeD="1" sel="3" val="0">
  <itemLst>
    <item val="自定义金额"/>
    <item val="金额=最新年报"/>
    <item val="金额=三年平均"/>
    <item val="金额=0"/>
  </itemLst>
</formControlPr>
</file>

<file path=xl/ctrlProps/ctrlProp16.xml><?xml version="1.0" encoding="utf-8"?>
<formControlPr xmlns="http://schemas.microsoft.com/office/spreadsheetml/2009/9/main" objectType="Drop" dropStyle="combo" dx="22" noThreeD="1" sel="3" val="0">
  <itemLst>
    <item val="自定义金额"/>
    <item val="金额=最新年报"/>
    <item val="金额=三年平均"/>
    <item val="金额=0"/>
  </itemLst>
</formControlPr>
</file>

<file path=xl/ctrlProps/ctrlProp17.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18.xml><?xml version="1.0" encoding="utf-8"?>
<formControlPr xmlns="http://schemas.microsoft.com/office/spreadsheetml/2009/9/main" objectType="Drop" dropStyle="combo" dx="22" noThreeD="1" sel="2" val="0">
  <itemLst>
    <item val="自定义金额"/>
    <item val="金额=0"/>
  </itemLst>
</formControlPr>
</file>

<file path=xl/ctrlProps/ctrlProp19.xml><?xml version="1.0" encoding="utf-8"?>
<formControlPr xmlns="http://schemas.microsoft.com/office/spreadsheetml/2009/9/main" objectType="Drop" dropStyle="combo" dx="22" noThreeD="1" sel="3" val="0">
  <itemLst>
    <item val="自定义均值"/>
    <item val="金额=最新年报"/>
    <item val="金额=三年均值"/>
    <item val="金额=0"/>
  </itemLst>
</formControlPr>
</file>

<file path=xl/ctrlProps/ctrlProp20.xml><?xml version="1.0" encoding="utf-8"?>
<formControlPr xmlns="http://schemas.microsoft.com/office/spreadsheetml/2009/9/main" objectType="Drop" dropStyle="combo" dx="22" noThreeD="1" sel="3" val="0">
  <itemLst>
    <item val="自定义金额"/>
    <item val="金额=最新年报"/>
    <item val="金额=三年平均"/>
    <item val="金额=0"/>
  </itemLst>
</formControlPr>
</file>

<file path=xl/ctrlProps/ctrlProp21.xml><?xml version="1.0" encoding="utf-8"?>
<formControlPr xmlns="http://schemas.microsoft.com/office/spreadsheetml/2009/9/main" objectType="Drop" dropStyle="combo" dx="22" noThreeD="1" sel="2" val="0">
  <itemLst>
    <item val="自定义金额"/>
    <item val="金额=最新年报"/>
    <item val="金额=三年平均"/>
    <item val="金额=0"/>
  </itemLst>
</formControlPr>
</file>

<file path=xl/ctrlProps/ctrlProp22.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0"/>
  </itemLst>
</formControlPr>
</file>

<file path=xl/ctrlProps/ctrlProp23.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0"/>
  </itemLst>
</formControlPr>
</file>

<file path=xl/ctrlProps/ctrlProp24.xml><?xml version="1.0" encoding="utf-8"?>
<formControlPr xmlns="http://schemas.microsoft.com/office/spreadsheetml/2009/9/main" objectType="Drop" dropStyle="combo" dx="22" noThreeD="1" sel="2" val="0">
  <itemLst>
    <item val="自定义金额"/>
    <item val="金额=最新年报"/>
    <item val="金额=三年均值"/>
    <item val="金额=0"/>
  </itemLst>
</formControlPr>
</file>

<file path=xl/ctrlProps/ctrlProp25.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26.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27.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Lst>
</formControlPr>
</file>

<file path=xl/ctrlProps/ctrlProp28.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Lst>
</formControlPr>
</file>

<file path=xl/ctrlProps/ctrlProp29.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0.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1.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2.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3.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4.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35.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36.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37.xml><?xml version="1.0" encoding="utf-8"?>
<formControlPr xmlns="http://schemas.microsoft.com/office/spreadsheetml/2009/9/main" objectType="Drop" dropStyle="combo" dx="22" noThreeD="1" sel="2" val="0">
  <itemLst>
    <item val="自定义金额"/>
    <item val="金额=最新年报"/>
  </itemLst>
</formControlPr>
</file>

<file path=xl/ctrlProps/ctrlProp38.xml><?xml version="1.0" encoding="utf-8"?>
<formControlPr xmlns="http://schemas.microsoft.com/office/spreadsheetml/2009/9/main" objectType="Drop" dropStyle="combo" dx="22" noThreeD="1" sel="2" val="0">
  <itemLst>
    <item val="自定义金额"/>
    <item val="金额=最新年报"/>
  </itemLst>
</formControlPr>
</file>

<file path=xl/ctrlProps/ctrlProp39.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40.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41.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42.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43.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44.xml><?xml version="1.0" encoding="utf-8"?>
<formControlPr xmlns="http://schemas.microsoft.com/office/spreadsheetml/2009/9/main" objectType="Drop" dropStyle="combo" dx="22" noThreeD="1" sel="2" val="0">
  <itemLst>
    <item val="自定义金额"/>
    <item val="金额=0"/>
  </itemLst>
</formControlPr>
</file>

<file path=xl/ctrlProps/ctrlProp45.xml><?xml version="1.0" encoding="utf-8"?>
<formControlPr xmlns="http://schemas.microsoft.com/office/spreadsheetml/2009/9/main" objectType="Drop" dropStyle="combo" dx="22" noThreeD="1" sel="0" val="0"/>
</file>

<file path=xl/ctrlProps/ctrlProp46.xml><?xml version="1.0" encoding="utf-8"?>
<formControlPr xmlns="http://schemas.microsoft.com/office/spreadsheetml/2009/9/main" objectType="Drop" dropLines="20" dropStyle="combo" dx="22" noThreeD="1" sel="6"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47.xml><?xml version="1.0" encoding="utf-8"?>
<formControlPr xmlns="http://schemas.microsoft.com/office/spreadsheetml/2009/9/main" objectType="Drop" dropLines="20" dropStyle="combo" dx="22" noThreeD="1" sel="7"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48.xml><?xml version="1.0" encoding="utf-8"?>
<formControlPr xmlns="http://schemas.microsoft.com/office/spreadsheetml/2009/9/main" objectType="Drop" dropLines="20" dropStyle="combo" dx="22" noThreeD="1" sel="8"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49.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 val="金额=三年均值"/>
  </itemLst>
</formControlPr>
</file>

<file path=xl/ctrlProps/ctrlProp50.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51.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52.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53.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54.xml><?xml version="1.0" encoding="utf-8"?>
<formControlPr xmlns="http://schemas.microsoft.com/office/spreadsheetml/2009/9/main" objectType="Drop" dropStyle="combo" dx="22" noThreeD="1" sel="3" val="0">
  <itemLst>
    <item val="自定义金额"/>
    <item val="自定义比率"/>
    <item val="金额=最新年报"/>
    <item val="比率=最新年报"/>
    <item val="比率=三年均值"/>
    <item val="金额=0"/>
    <item val="金额=三年均值"/>
  </itemLst>
</formControlPr>
</file>

<file path=xl/ctrlProps/ctrlProp55.xml><?xml version="1.0" encoding="utf-8"?>
<formControlPr xmlns="http://schemas.microsoft.com/office/spreadsheetml/2009/9/main" objectType="Drop" dropStyle="combo" dx="22" noThreeD="1" sel="3" val="0">
  <itemLst>
    <item val="自定义金额"/>
    <item val="金额=最新年报"/>
    <item val="金额=三年平均"/>
    <item val="金额=0"/>
  </itemLst>
</formControlPr>
</file>

<file path=xl/ctrlProps/ctrlProp56.xml><?xml version="1.0" encoding="utf-8"?>
<formControlPr xmlns="http://schemas.microsoft.com/office/spreadsheetml/2009/9/main" objectType="Drop" dropStyle="combo" dx="22" noThreeD="1" sel="3" val="0">
  <itemLst>
    <item val="自定义金额"/>
    <item val="金额=最新年报"/>
    <item val="金额=三年均值"/>
    <item val="金额=0"/>
  </itemLst>
</formControlPr>
</file>

<file path=xl/ctrlProps/ctrlProp57.xml><?xml version="1.0" encoding="utf-8"?>
<formControlPr xmlns="http://schemas.microsoft.com/office/spreadsheetml/2009/9/main" objectType="Drop" dropStyle="combo" dx="22" noThreeD="1" sel="4" val="0">
  <itemLst>
    <item val="自定义金额"/>
    <item val="自定义比率"/>
    <item val="比率=最新年报"/>
    <item val="比率=三年均值"/>
  </itemLst>
</formControlPr>
</file>

<file path=xl/ctrlProps/ctrlProp58.xml><?xml version="1.0" encoding="utf-8"?>
<formControlPr xmlns="http://schemas.microsoft.com/office/spreadsheetml/2009/9/main" objectType="Drop" dropStyle="combo" dx="22" noThreeD="1" sel="2" val="0">
  <itemLst>
    <item val="自定义金额"/>
    <item val="金额=0"/>
  </itemLst>
</formControlPr>
</file>

<file path=xl/ctrlProps/ctrlProp59.xml><?xml version="1.0" encoding="utf-8"?>
<formControlPr xmlns="http://schemas.microsoft.com/office/spreadsheetml/2009/9/main" objectType="Drop" dropStyle="combo" dx="22" noThreeD="1" sel="3" val="0">
  <itemLst>
    <item val="自定义金额"/>
    <item val="金额=最新年报"/>
    <item val="金额=三年均值"/>
    <item val="金额=0"/>
  </itemLst>
</formControlPr>
</file>

<file path=xl/ctrlProps/ctrlProp60.xml><?xml version="1.0" encoding="utf-8"?>
<formControlPr xmlns="http://schemas.microsoft.com/office/spreadsheetml/2009/9/main" objectType="Drop" dropStyle="combo" dx="22" noThreeD="1" sel="3" val="0">
  <itemLst>
    <item val="自定义金额"/>
    <item val="金额=最新年报"/>
    <item val="金额=三年均值"/>
    <item val="金额=0"/>
  </itemLst>
</formControlPr>
</file>

<file path=xl/ctrlProps/ctrlProp61.xml><?xml version="1.0" encoding="utf-8"?>
<formControlPr xmlns="http://schemas.microsoft.com/office/spreadsheetml/2009/9/main" objectType="Drop" dropStyle="combo" dx="22" noThreeD="1" sel="2" val="0">
  <itemLst>
    <item val="自定义金额"/>
    <item val="金额=最新年报"/>
    <item val="金额=三年平均"/>
    <item val="金额=0"/>
  </itemLst>
</formControlPr>
</file>

<file path=xl/ctrlProps/ctrlProp62.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0"/>
  </itemLst>
</formControlPr>
</file>

<file path=xl/ctrlProps/ctrlProp63.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0"/>
  </itemLst>
</formControlPr>
</file>

<file path=xl/ctrlProps/ctrlProp64.xml><?xml version="1.0" encoding="utf-8"?>
<formControlPr xmlns="http://schemas.microsoft.com/office/spreadsheetml/2009/9/main" objectType="Drop" dropLines="20" dropStyle="combo" dx="22" noThreeD="1" sel="9"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65.xml><?xml version="1.0" encoding="utf-8"?>
<formControlPr xmlns="http://schemas.microsoft.com/office/spreadsheetml/2009/9/main" objectType="Drop" dropStyle="combo" dx="22" noThreeD="1" sel="2" val="0">
  <itemLst>
    <item val="自定义金额"/>
    <item val="金额=最新年报"/>
    <item val="金额=三年均值"/>
    <item val="金额=0"/>
  </itemLst>
</formControlPr>
</file>

<file path=xl/ctrlProps/ctrlProp66.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67.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68.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Lst>
</formControlPr>
</file>

<file path=xl/ctrlProps/ctrlProp69.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0.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1.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2.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3.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4.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75.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76.xml><?xml version="1.0" encoding="utf-8"?>
<formControlPr xmlns="http://schemas.microsoft.com/office/spreadsheetml/2009/9/main" objectType="Drop" dropStyle="combo" dx="22" noThreeD="1" sel="3" val="0">
  <itemLst>
    <item val="自定义金额"/>
    <item val="自定义比率"/>
    <item val="比率=最新年报"/>
    <item val="比率=三年均值"/>
  </itemLst>
</formControlPr>
</file>

<file path=xl/ctrlProps/ctrlProp77.xml><?xml version="1.0" encoding="utf-8"?>
<formControlPr xmlns="http://schemas.microsoft.com/office/spreadsheetml/2009/9/main" objectType="Drop" dropStyle="combo" dx="22" noThreeD="1" sel="2" val="0">
  <itemLst>
    <item val="自定义金额"/>
    <item val="金额=最新年报"/>
  </itemLst>
</formControlPr>
</file>

<file path=xl/ctrlProps/ctrlProp78.xml><?xml version="1.0" encoding="utf-8"?>
<formControlPr xmlns="http://schemas.microsoft.com/office/spreadsheetml/2009/9/main" objectType="Drop" dropStyle="combo" dx="22" noThreeD="1" sel="2" val="0">
  <itemLst>
    <item val="自定义金额"/>
    <item val="金额=最新年报"/>
  </itemLst>
</formControlPr>
</file>

<file path=xl/ctrlProps/ctrlProp79.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80.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81.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82.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83.xml><?xml version="1.0" encoding="utf-8"?>
<formControlPr xmlns="http://schemas.microsoft.com/office/spreadsheetml/2009/9/main" objectType="Drop" dropStyle="combo" dx="22" noThreeD="1" sel="2" val="0">
  <itemLst>
    <item val="自定义金额"/>
    <item val="金额=最新年报"/>
    <item val="金额=0"/>
  </itemLst>
</formControlPr>
</file>

<file path=xl/ctrlProps/ctrlProp84.xml><?xml version="1.0" encoding="utf-8"?>
<formControlPr xmlns="http://schemas.microsoft.com/office/spreadsheetml/2009/9/main" objectType="Drop" dropStyle="combo" dx="22" noThreeD="1" sel="2" val="0">
  <itemLst>
    <item val="自定义金额"/>
    <item val="金额=0"/>
  </itemLst>
</formControlPr>
</file>

<file path=xl/ctrlProps/ctrlProp85.xml><?xml version="1.0" encoding="utf-8"?>
<formControlPr xmlns="http://schemas.microsoft.com/office/spreadsheetml/2009/9/main" objectType="Drop" dropStyle="combo" dx="22" noThreeD="1" sel="3" val="0">
  <itemLst>
    <item val="自定义金额"/>
    <item val="自定义比率"/>
    <item val="比率=最新年报"/>
    <item val="比率=三年均值"/>
    <item val="金额=最新年报"/>
  </itemLst>
</formControlPr>
</file>

<file path=xl/ctrlProps/ctrlProp86.xml><?xml version="1.0" encoding="utf-8"?>
<formControlPr xmlns="http://schemas.microsoft.com/office/spreadsheetml/2009/9/main" objectType="Drop" dropLines="20" dropStyle="combo" dx="22" noThreeD="1" sel="10"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87.xml><?xml version="1.0" encoding="utf-8"?>
<formControlPr xmlns="http://schemas.microsoft.com/office/spreadsheetml/2009/9/main" objectType="Drop" dropLines="20" dropStyle="combo" dx="22" noThreeD="1" sel="11"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88.xml><?xml version="1.0" encoding="utf-8"?>
<formControlPr xmlns="http://schemas.microsoft.com/office/spreadsheetml/2009/9/main" objectType="Drop" dropLines="20" dropStyle="combo" dx="22" noThreeD="1" sel="14"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89.xml><?xml version="1.0" encoding="utf-8"?>
<formControlPr xmlns="http://schemas.microsoft.com/office/spreadsheetml/2009/9/main" objectType="Drop" dropLines="20" dropStyle="combo" dx="22" noThreeD="1" sel="15"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90.xml><?xml version="1.0" encoding="utf-8"?>
<formControlPr xmlns="http://schemas.microsoft.com/office/spreadsheetml/2009/9/main" objectType="Drop" dropLines="20" dropStyle="combo" dx="22" noThreeD="1" sel="16"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91.xml><?xml version="1.0" encoding="utf-8"?>
<formControlPr xmlns="http://schemas.microsoft.com/office/spreadsheetml/2009/9/main" objectType="Drop" dropStyle="combo" dx="22" fmlaLink="$B$1" fmlaRange="Sheet1!$A$150:$A$156" noThreeD="1" sel="2" val="0"/>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Drop" dropLines="20" dropStyle="combo" dx="22" noThreeD="1" sel="17"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ctrlProps/ctrlProp94.xml><?xml version="1.0" encoding="utf-8"?>
<formControlPr xmlns="http://schemas.microsoft.com/office/spreadsheetml/2009/9/main" objectType="Drop" dropLines="20" dropStyle="combo" dx="22" noThreeD="1" sel="18" val="0">
  <itemLst>
    <item val="目录"/>
    <item val="说明"/>
    <item val="历史年度（原始）"/>
    <item val="历史年度（简化）"/>
    <item val="假设"/>
    <item val="投资"/>
    <item val="筹资"/>
    <item val="预测利润表"/>
    <item val="预测资产负债表"/>
    <item val="预测现金流量表"/>
    <item val="财务分析"/>
    <item val="图形分析"/>
    <item val="情景分析"/>
    <item val="绝对估值"/>
    <item val="绝对估值敏感性分析"/>
    <item val="可比公司估值"/>
    <item val="相对估值"/>
    <item val="历史数据（单季）"/>
    <item val="杜邦分析"/>
    <item val="输出报告"/>
  </itemLst>
</formControlPr>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21" Type="http://schemas.openxmlformats.org/officeDocument/2006/relationships/chart" Target="../charts/chart23.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20" Type="http://schemas.openxmlformats.org/officeDocument/2006/relationships/chart" Target="../charts/chart22.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chart" Target="../charts/chart26.xml"/><Relationship Id="rId5" Type="http://schemas.openxmlformats.org/officeDocument/2006/relationships/chart" Target="../charts/chart7.xml"/><Relationship Id="rId15" Type="http://schemas.openxmlformats.org/officeDocument/2006/relationships/chart" Target="../charts/chart17.xml"/><Relationship Id="rId23" Type="http://schemas.openxmlformats.org/officeDocument/2006/relationships/chart" Target="../charts/chart25.xml"/><Relationship Id="rId10" Type="http://schemas.openxmlformats.org/officeDocument/2006/relationships/chart" Target="../charts/chart12.xml"/><Relationship Id="rId19" Type="http://schemas.openxmlformats.org/officeDocument/2006/relationships/chart" Target="../charts/chart21.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 Id="rId22" Type="http://schemas.openxmlformats.org/officeDocument/2006/relationships/chart" Target="../charts/chart24.xml"/></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2</xdr:col>
      <xdr:colOff>266700</xdr:colOff>
      <xdr:row>1</xdr:row>
      <xdr:rowOff>9525</xdr:rowOff>
    </xdr:from>
    <xdr:to>
      <xdr:col>4</xdr:col>
      <xdr:colOff>1352550</xdr:colOff>
      <xdr:row>4</xdr:row>
      <xdr:rowOff>19050</xdr:rowOff>
    </xdr:to>
    <xdr:sp macro="" textlink="">
      <xdr:nvSpPr>
        <xdr:cNvPr id="7" name="圆角矩形 6">
          <a:extLst>
            <a:ext uri="{FF2B5EF4-FFF2-40B4-BE49-F238E27FC236}">
              <a16:creationId xmlns:a16="http://schemas.microsoft.com/office/drawing/2014/main" id="{00000000-0008-0000-0000-000007000000}"/>
            </a:ext>
          </a:extLst>
        </xdr:cNvPr>
        <xdr:cNvSpPr/>
      </xdr:nvSpPr>
      <xdr:spPr>
        <a:xfrm>
          <a:off x="1581150" y="200025"/>
          <a:ext cx="4114800" cy="581025"/>
        </a:xfrm>
        <a:prstGeom prst="roundRect">
          <a:avLst/>
        </a:prstGeom>
        <a:solidFill>
          <a:schemeClr val="tx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defRPr/>
          </a:pPr>
          <a:r>
            <a:rPr lang="zh-CN" altLang="en-US" sz="1800" b="1">
              <a:solidFill>
                <a:schemeClr val="bg1"/>
              </a:solidFill>
            </a:rPr>
            <a:t>上市公司财务</a:t>
          </a:r>
          <a:r>
            <a:rPr lang="zh-CN" altLang="zh-CN" sz="1800" b="1">
              <a:solidFill>
                <a:schemeClr val="bg1"/>
              </a:solidFill>
              <a:latin typeface="+mn-lt"/>
              <a:ea typeface="+mn-ea"/>
              <a:cs typeface="+mn-cs"/>
            </a:rPr>
            <a:t>预测</a:t>
          </a:r>
          <a:r>
            <a:rPr lang="zh-CN" altLang="en-US" sz="1800" b="1">
              <a:solidFill>
                <a:schemeClr val="bg1"/>
              </a:solidFill>
            </a:rPr>
            <a:t>与估值</a:t>
          </a:r>
        </a:p>
      </xdr:txBody>
    </xdr:sp>
    <xdr:clientData/>
  </xdr:twoCellAnchor>
  <xdr:twoCellAnchor editAs="oneCell">
    <xdr:from>
      <xdr:col>0</xdr:col>
      <xdr:colOff>9525</xdr:colOff>
      <xdr:row>1</xdr:row>
      <xdr:rowOff>76200</xdr:rowOff>
    </xdr:from>
    <xdr:to>
      <xdr:col>2</xdr:col>
      <xdr:colOff>47625</xdr:colOff>
      <xdr:row>4</xdr:row>
      <xdr:rowOff>9525</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9525" y="266700"/>
          <a:ext cx="1352550" cy="504825"/>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351026</xdr:colOff>
          <xdr:row>15</xdr:row>
          <xdr:rowOff>60671</xdr:rowOff>
        </xdr:from>
        <xdr:to>
          <xdr:col>5</xdr:col>
          <xdr:colOff>0</xdr:colOff>
          <xdr:row>16</xdr:row>
          <xdr:rowOff>173346</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000-000005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黑体"/>
                  <a:ea typeface="黑体"/>
                </a:rPr>
                <a:t>开始运行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1135416</xdr:colOff>
          <xdr:row>12</xdr:row>
          <xdr:rowOff>8667</xdr:rowOff>
        </xdr:from>
        <xdr:to>
          <xdr:col>3</xdr:col>
          <xdr:colOff>0</xdr:colOff>
          <xdr:row>13</xdr:row>
          <xdr:rowOff>0</xdr:rowOff>
        </xdr:to>
        <xdr:sp macro="" textlink="">
          <xdr:nvSpPr>
            <xdr:cNvPr id="48156" name="Drop Down 28" hidden="1">
              <a:extLst>
                <a:ext uri="{63B3BB69-23CF-44E3-9099-C40C66FF867C}">
                  <a14:compatExt spid="_x0000_s48156"/>
                </a:ext>
                <a:ext uri="{FF2B5EF4-FFF2-40B4-BE49-F238E27FC236}">
                  <a16:creationId xmlns:a16="http://schemas.microsoft.com/office/drawing/2014/main" id="{00000000-0008-0000-0000-00001C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1135416</xdr:colOff>
          <xdr:row>11</xdr:row>
          <xdr:rowOff>21668</xdr:rowOff>
        </xdr:from>
        <xdr:to>
          <xdr:col>2</xdr:col>
          <xdr:colOff>1265426</xdr:colOff>
          <xdr:row>12</xdr:row>
          <xdr:rowOff>8667</xdr:rowOff>
        </xdr:to>
        <xdr:sp macro="" textlink="">
          <xdr:nvSpPr>
            <xdr:cNvPr id="48158" name="Drop Down 30" hidden="1">
              <a:extLst>
                <a:ext uri="{63B3BB69-23CF-44E3-9099-C40C66FF867C}">
                  <a14:compatExt spid="_x0000_s48158"/>
                </a:ext>
                <a:ext uri="{FF2B5EF4-FFF2-40B4-BE49-F238E27FC236}">
                  <a16:creationId xmlns:a16="http://schemas.microsoft.com/office/drawing/2014/main" id="{00000000-0008-0000-0000-00001E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9</xdr:row>
      <xdr:rowOff>123825</xdr:rowOff>
    </xdr:from>
    <xdr:to>
      <xdr:col>12</xdr:col>
      <xdr:colOff>209550</xdr:colOff>
      <xdr:row>12</xdr:row>
      <xdr:rowOff>76200</xdr:rowOff>
    </xdr:to>
    <xdr:sp macro="" textlink="">
      <xdr:nvSpPr>
        <xdr:cNvPr id="4" name="desk1">
          <a:extLst>
            <a:ext uri="{FF2B5EF4-FFF2-40B4-BE49-F238E27FC236}">
              <a16:creationId xmlns:a16="http://schemas.microsoft.com/office/drawing/2014/main" id="{00000000-0008-0000-0200-000004000000}"/>
            </a:ext>
          </a:extLst>
        </xdr:cNvPr>
        <xdr:cNvSpPr>
          <a:spLocks noEditPoints="1" noChangeArrowheads="1"/>
        </xdr:cNvSpPr>
      </xdr:nvSpPr>
      <xdr:spPr>
        <a:xfrm>
          <a:off x="5534025" y="1943100"/>
          <a:ext cx="3810000" cy="523875"/>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defRPr sz="1000"/>
          </a:pPr>
          <a:r>
            <a:rPr lang="zh-CN" altLang="en-US" sz="1000" b="0" i="0" strike="noStrike">
              <a:solidFill>
                <a:srgbClr val="000000"/>
              </a:solidFill>
              <a:latin typeface="宋体" panose="02010600030101010101" pitchFamily="7" charset="-122"/>
              <a:ea typeface="宋体" panose="02010600030101010101" pitchFamily="7" charset="-122"/>
            </a:rPr>
            <a:t>观察</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历史报表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，分析目标公司近几年的经营状况和财务状况</a:t>
          </a:r>
        </a:p>
      </xdr:txBody>
    </xdr:sp>
    <xdr:clientData/>
  </xdr:twoCellAnchor>
  <xdr:twoCellAnchor>
    <xdr:from>
      <xdr:col>6</xdr:col>
      <xdr:colOff>0</xdr:colOff>
      <xdr:row>14</xdr:row>
      <xdr:rowOff>9526</xdr:rowOff>
    </xdr:from>
    <xdr:to>
      <xdr:col>12</xdr:col>
      <xdr:colOff>219075</xdr:colOff>
      <xdr:row>21</xdr:row>
      <xdr:rowOff>161926</xdr:rowOff>
    </xdr:to>
    <xdr:sp macro="" textlink="">
      <xdr:nvSpPr>
        <xdr:cNvPr id="5" name="desk1">
          <a:extLst>
            <a:ext uri="{FF2B5EF4-FFF2-40B4-BE49-F238E27FC236}">
              <a16:creationId xmlns:a16="http://schemas.microsoft.com/office/drawing/2014/main" id="{00000000-0008-0000-0200-000005000000}"/>
            </a:ext>
          </a:extLst>
        </xdr:cNvPr>
        <xdr:cNvSpPr>
          <a:spLocks noEditPoints="1" noChangeArrowheads="1"/>
        </xdr:cNvSpPr>
      </xdr:nvSpPr>
      <xdr:spPr>
        <a:xfrm>
          <a:off x="5534025" y="2790825"/>
          <a:ext cx="3819525" cy="1504950"/>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1100"/>
            </a:lnSpc>
            <a:defRPr sz="1000"/>
          </a:pPr>
          <a:r>
            <a:rPr lang="zh-CN" altLang="en-US" sz="1000" b="0" i="0" strike="noStrike">
              <a:solidFill>
                <a:srgbClr val="000000"/>
              </a:solidFill>
              <a:latin typeface="宋体" panose="02010600030101010101" pitchFamily="7" charset="-122"/>
              <a:ea typeface="宋体" panose="02010600030101010101" pitchFamily="7" charset="-122"/>
            </a:rPr>
            <a:t>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投资</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页输入预测期各项关键资产的投资额和工期；</a:t>
          </a:r>
          <a:r>
            <a:rPr lang="en-US" altLang="zh-CN" sz="1000" b="0" i="0" strike="noStrike">
              <a:solidFill>
                <a:srgbClr val="00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预测可参考现有资产使用率、未来营收规模</a:t>
          </a:r>
          <a:r>
            <a:rPr lang="en-US" altLang="zh-CN" sz="1000" b="0" i="0" strike="noStrike">
              <a:solidFill>
                <a:srgbClr val="000000"/>
              </a:solidFill>
              <a:latin typeface="宋体" panose="02010600030101010101" pitchFamily="7" charset="-122"/>
              <a:ea typeface="宋体" panose="02010600030101010101" pitchFamily="7" charset="-122"/>
            </a:rPr>
            <a:t>)</a:t>
          </a:r>
        </a:p>
        <a:p>
          <a:pPr algn="l" rtl="1">
            <a:lnSpc>
              <a:spcPts val="1100"/>
            </a:lnSpc>
            <a:defRPr sz="1000"/>
          </a:pPr>
          <a:r>
            <a:rPr lang="zh-CN" altLang="en-US" sz="1000" b="0" i="0" strike="noStrike">
              <a:solidFill>
                <a:srgbClr val="000000"/>
              </a:solidFill>
              <a:latin typeface="宋体" panose="02010600030101010101" pitchFamily="7" charset="-122"/>
              <a:ea typeface="宋体" panose="02010600030101010101" pitchFamily="7" charset="-122"/>
            </a:rPr>
            <a:t>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筹资</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页输入预测期债务筹资额和股权筹资额；</a:t>
          </a:r>
          <a:r>
            <a:rPr lang="en-US" altLang="zh-CN" sz="1000" b="0" i="0" strike="noStrike">
              <a:solidFill>
                <a:srgbClr val="00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预测可参考预计投资额、筹资能力、资金缺口</a:t>
          </a:r>
          <a:r>
            <a:rPr lang="en-US" altLang="zh-CN" sz="1000" b="0" i="0" strike="noStrike">
              <a:solidFill>
                <a:srgbClr val="000000"/>
              </a:solidFill>
              <a:latin typeface="宋体" panose="02010600030101010101" pitchFamily="7" charset="-122"/>
              <a:ea typeface="宋体" panose="02010600030101010101" pitchFamily="7" charset="-122"/>
            </a:rPr>
            <a:t>)</a:t>
          </a:r>
        </a:p>
        <a:p>
          <a:pPr algn="l" rtl="1">
            <a:lnSpc>
              <a:spcPts val="1100"/>
            </a:lnSpc>
            <a:defRPr sz="1000"/>
          </a:pPr>
          <a:endParaRPr lang="en-US" altLang="zh-CN" sz="1000" b="0" i="0" strike="noStrike">
            <a:solidFill>
              <a:srgbClr val="000000"/>
            </a:solidFill>
            <a:latin typeface="宋体" panose="02010600030101010101" pitchFamily="7" charset="-122"/>
            <a:ea typeface="宋体" panose="02010600030101010101" pitchFamily="7" charset="-122"/>
          </a:endParaRPr>
        </a:p>
        <a:p>
          <a:pPr algn="l" rtl="1">
            <a:lnSpc>
              <a:spcPts val="1100"/>
            </a:lnSpc>
            <a:defRPr sz="1000"/>
          </a:pPr>
          <a:r>
            <a:rPr lang="zh-CN" altLang="en-US" sz="1000" b="0" i="0" strike="noStrike">
              <a:solidFill>
                <a:srgbClr val="000000"/>
              </a:solidFill>
              <a:latin typeface="宋体" panose="02010600030101010101" pitchFamily="7" charset="-122"/>
              <a:ea typeface="宋体" panose="02010600030101010101" pitchFamily="7" charset="-122"/>
            </a:rPr>
            <a:t>说明：需要研究员做预测的数据，都是以橙色背景标识，其他区域是程序自动计算生成，不可修改。</a:t>
          </a:r>
        </a:p>
      </xdr:txBody>
    </xdr:sp>
    <xdr:clientData/>
  </xdr:twoCellAnchor>
  <xdr:twoCellAnchor>
    <xdr:from>
      <xdr:col>6</xdr:col>
      <xdr:colOff>9525</xdr:colOff>
      <xdr:row>24</xdr:row>
      <xdr:rowOff>142876</xdr:rowOff>
    </xdr:from>
    <xdr:to>
      <xdr:col>12</xdr:col>
      <xdr:colOff>247650</xdr:colOff>
      <xdr:row>30</xdr:row>
      <xdr:rowOff>76200</xdr:rowOff>
    </xdr:to>
    <xdr:sp macro="" textlink="">
      <xdr:nvSpPr>
        <xdr:cNvPr id="6" name="desk1">
          <a:extLst>
            <a:ext uri="{FF2B5EF4-FFF2-40B4-BE49-F238E27FC236}">
              <a16:creationId xmlns:a16="http://schemas.microsoft.com/office/drawing/2014/main" id="{00000000-0008-0000-0200-000006000000}"/>
            </a:ext>
          </a:extLst>
        </xdr:cNvPr>
        <xdr:cNvSpPr>
          <a:spLocks noEditPoints="1" noChangeArrowheads="1"/>
        </xdr:cNvSpPr>
      </xdr:nvSpPr>
      <xdr:spPr>
        <a:xfrm>
          <a:off x="5543550" y="4857750"/>
          <a:ext cx="3838575" cy="1095375"/>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1200"/>
            </a:lnSpc>
            <a:defRPr sz="1000"/>
          </a:pPr>
          <a:r>
            <a:rPr lang="zh-CN" altLang="en-US" sz="1000" b="0" i="0" strike="noStrike">
              <a:solidFill>
                <a:srgbClr val="000000"/>
              </a:solidFill>
              <a:latin typeface="宋体" panose="02010600030101010101" pitchFamily="7" charset="-122"/>
              <a:ea typeface="宋体" panose="02010600030101010101" pitchFamily="7" charset="-122"/>
            </a:rPr>
            <a:t>程序自动完成</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预测利润表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预测资产负债表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预测现金流量表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。投资、筹资相关科目直接从上述预测页导入，其他科目由系统默认的预测方法自动生成。研究员可以根据目标公司的财务状况调整预测方法，全部预测方法汇总在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假设</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a:t>
          </a:r>
        </a:p>
      </xdr:txBody>
    </xdr:sp>
    <xdr:clientData/>
  </xdr:twoCellAnchor>
  <xdr:twoCellAnchor>
    <xdr:from>
      <xdr:col>9</xdr:col>
      <xdr:colOff>371475</xdr:colOff>
      <xdr:row>8</xdr:row>
      <xdr:rowOff>114300</xdr:rowOff>
    </xdr:from>
    <xdr:to>
      <xdr:col>11</xdr:col>
      <xdr:colOff>0</xdr:colOff>
      <xdr:row>9</xdr:row>
      <xdr:rowOff>104776</xdr:rowOff>
    </xdr:to>
    <xdr:sp macro="" textlink="">
      <xdr:nvSpPr>
        <xdr:cNvPr id="7" name="Rectangle 67">
          <a:extLst>
            <a:ext uri="{FF2B5EF4-FFF2-40B4-BE49-F238E27FC236}">
              <a16:creationId xmlns:a16="http://schemas.microsoft.com/office/drawing/2014/main" id="{00000000-0008-0000-0200-000007000000}"/>
            </a:ext>
          </a:extLst>
        </xdr:cNvPr>
        <xdr:cNvSpPr>
          <a:spLocks noChangeArrowheads="1"/>
        </xdr:cNvSpPr>
      </xdr:nvSpPr>
      <xdr:spPr>
        <a:xfrm>
          <a:off x="7705725" y="1733550"/>
          <a:ext cx="828675" cy="190500"/>
        </a:xfrm>
        <a:prstGeom prst="rect">
          <a:avLst/>
        </a:prstGeom>
        <a:solidFill>
          <a:srgbClr val="FFC000"/>
        </a:solidFill>
        <a:ln w="9525">
          <a:solidFill>
            <a:srgbClr val="FFFFFF"/>
          </a:solidFill>
          <a:miter lim="800000"/>
        </a:ln>
      </xdr:spPr>
      <xdr:txBody>
        <a:bodyPr vertOverflow="clip" wrap="square" lIns="27432" tIns="18288" rIns="0" bIns="0" anchor="t" upright="1"/>
        <a:lstStyle/>
        <a:p>
          <a:pPr algn="l" rtl="1">
            <a:defRPr sz="1000"/>
          </a:pPr>
          <a:r>
            <a:rPr lang="zh-CN" altLang="en-US" sz="900" b="0" i="0" strike="noStrike">
              <a:solidFill>
                <a:srgbClr val="000000"/>
              </a:solidFill>
              <a:latin typeface="宋体" panose="02010600030101010101" pitchFamily="7" charset="-122"/>
              <a:ea typeface="宋体" panose="02010600030101010101" pitchFamily="7" charset="-122"/>
            </a:rPr>
            <a:t>提取历史数据</a:t>
          </a:r>
        </a:p>
      </xdr:txBody>
    </xdr:sp>
    <xdr:clientData/>
  </xdr:twoCellAnchor>
  <xdr:twoCellAnchor>
    <xdr:from>
      <xdr:col>9</xdr:col>
      <xdr:colOff>0</xdr:colOff>
      <xdr:row>22</xdr:row>
      <xdr:rowOff>152400</xdr:rowOff>
    </xdr:from>
    <xdr:to>
      <xdr:col>9</xdr:col>
      <xdr:colOff>238125</xdr:colOff>
      <xdr:row>24</xdr:row>
      <xdr:rowOff>28575</xdr:rowOff>
    </xdr:to>
    <xdr:sp macro="" textlink="">
      <xdr:nvSpPr>
        <xdr:cNvPr id="49560" name="AutoShape 68">
          <a:extLst>
            <a:ext uri="{FF2B5EF4-FFF2-40B4-BE49-F238E27FC236}">
              <a16:creationId xmlns:a16="http://schemas.microsoft.com/office/drawing/2014/main" id="{00000000-0008-0000-0200-000098C10000}"/>
            </a:ext>
          </a:extLst>
        </xdr:cNvPr>
        <xdr:cNvSpPr>
          <a:spLocks noChangeArrowheads="1"/>
        </xdr:cNvSpPr>
      </xdr:nvSpPr>
      <xdr:spPr>
        <a:xfrm rot="5400000">
          <a:off x="7324725" y="4495800"/>
          <a:ext cx="257175" cy="238125"/>
        </a:xfrm>
        <a:prstGeom prst="notchedRightArrow">
          <a:avLst>
            <a:gd name="adj1" fmla="val 50000"/>
            <a:gd name="adj2" fmla="val 27000"/>
          </a:avLst>
        </a:prstGeom>
        <a:solidFill>
          <a:srgbClr val="D7E4BD"/>
        </a:solidFill>
        <a:ln w="9525">
          <a:solidFill>
            <a:srgbClr val="000000"/>
          </a:solidFill>
          <a:miter lim="800000"/>
        </a:ln>
      </xdr:spPr>
    </xdr:sp>
    <xdr:clientData/>
  </xdr:twoCellAnchor>
  <xdr:twoCellAnchor>
    <xdr:from>
      <xdr:col>8</xdr:col>
      <xdr:colOff>600075</xdr:colOff>
      <xdr:row>8</xdr:row>
      <xdr:rowOff>47625</xdr:rowOff>
    </xdr:from>
    <xdr:to>
      <xdr:col>9</xdr:col>
      <xdr:colOff>228600</xdr:colOff>
      <xdr:row>9</xdr:row>
      <xdr:rowOff>85725</xdr:rowOff>
    </xdr:to>
    <xdr:sp macro="" textlink="">
      <xdr:nvSpPr>
        <xdr:cNvPr id="49561" name="AutoShape 70">
          <a:extLst>
            <a:ext uri="{FF2B5EF4-FFF2-40B4-BE49-F238E27FC236}">
              <a16:creationId xmlns:a16="http://schemas.microsoft.com/office/drawing/2014/main" id="{00000000-0008-0000-0200-000099C10000}"/>
            </a:ext>
          </a:extLst>
        </xdr:cNvPr>
        <xdr:cNvSpPr>
          <a:spLocks noChangeArrowheads="1"/>
        </xdr:cNvSpPr>
      </xdr:nvSpPr>
      <xdr:spPr>
        <a:xfrm rot="5400000">
          <a:off x="7329170" y="1671320"/>
          <a:ext cx="238125" cy="228600"/>
        </a:xfrm>
        <a:prstGeom prst="notchedRightArrow">
          <a:avLst>
            <a:gd name="adj1" fmla="val 50000"/>
            <a:gd name="adj2" fmla="val 26042"/>
          </a:avLst>
        </a:prstGeom>
        <a:solidFill>
          <a:srgbClr val="D7E4BD"/>
        </a:solidFill>
        <a:ln w="9525">
          <a:solidFill>
            <a:srgbClr val="000000"/>
          </a:solidFill>
          <a:miter lim="800000"/>
        </a:ln>
      </xdr:spPr>
    </xdr:sp>
    <xdr:clientData/>
  </xdr:twoCellAnchor>
  <xdr:twoCellAnchor>
    <xdr:from>
      <xdr:col>6</xdr:col>
      <xdr:colOff>0</xdr:colOff>
      <xdr:row>31</xdr:row>
      <xdr:rowOff>180976</xdr:rowOff>
    </xdr:from>
    <xdr:to>
      <xdr:col>12</xdr:col>
      <xdr:colOff>228600</xdr:colOff>
      <xdr:row>35</xdr:row>
      <xdr:rowOff>123826</xdr:rowOff>
    </xdr:to>
    <xdr:sp macro="" textlink="">
      <xdr:nvSpPr>
        <xdr:cNvPr id="10" name="desk1">
          <a:extLst>
            <a:ext uri="{FF2B5EF4-FFF2-40B4-BE49-F238E27FC236}">
              <a16:creationId xmlns:a16="http://schemas.microsoft.com/office/drawing/2014/main" id="{00000000-0008-0000-0200-00000A000000}"/>
            </a:ext>
          </a:extLst>
        </xdr:cNvPr>
        <xdr:cNvSpPr>
          <a:spLocks noEditPoints="1" noChangeArrowheads="1"/>
        </xdr:cNvSpPr>
      </xdr:nvSpPr>
      <xdr:spPr>
        <a:xfrm>
          <a:off x="5534025" y="6248400"/>
          <a:ext cx="3829050" cy="723900"/>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defRPr sz="1000"/>
          </a:pPr>
          <a:r>
            <a:rPr lang="zh-CN" altLang="en-US" sz="1000" b="0" i="0" strike="noStrike">
              <a:solidFill>
                <a:srgbClr val="000000"/>
              </a:solidFill>
              <a:latin typeface="宋体" panose="02010600030101010101" pitchFamily="7" charset="-122"/>
              <a:ea typeface="宋体" panose="02010600030101010101" pitchFamily="7" charset="-122"/>
            </a:rPr>
            <a:t>观察</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财务分析</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和</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预测合理性检验</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相关财务指标是否合理，判断可能的原因，重新设置预设项，修正预测结果</a:t>
          </a:r>
        </a:p>
      </xdr:txBody>
    </xdr:sp>
    <xdr:clientData/>
  </xdr:twoCellAnchor>
  <xdr:twoCellAnchor>
    <xdr:from>
      <xdr:col>9</xdr:col>
      <xdr:colOff>0</xdr:colOff>
      <xdr:row>30</xdr:row>
      <xdr:rowOff>104775</xdr:rowOff>
    </xdr:from>
    <xdr:to>
      <xdr:col>9</xdr:col>
      <xdr:colOff>276225</xdr:colOff>
      <xdr:row>31</xdr:row>
      <xdr:rowOff>161925</xdr:rowOff>
    </xdr:to>
    <xdr:sp macro="" textlink="">
      <xdr:nvSpPr>
        <xdr:cNvPr id="49563" name="AutoShape 74">
          <a:extLst>
            <a:ext uri="{FF2B5EF4-FFF2-40B4-BE49-F238E27FC236}">
              <a16:creationId xmlns:a16="http://schemas.microsoft.com/office/drawing/2014/main" id="{00000000-0008-0000-0200-00009BC10000}"/>
            </a:ext>
          </a:extLst>
        </xdr:cNvPr>
        <xdr:cNvSpPr>
          <a:spLocks noChangeArrowheads="1"/>
        </xdr:cNvSpPr>
      </xdr:nvSpPr>
      <xdr:spPr>
        <a:xfrm rot="5400000">
          <a:off x="7348220" y="5967095"/>
          <a:ext cx="247650" cy="2762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7</xdr:col>
      <xdr:colOff>438150</xdr:colOff>
      <xdr:row>4</xdr:row>
      <xdr:rowOff>85725</xdr:rowOff>
    </xdr:from>
    <xdr:to>
      <xdr:col>10</xdr:col>
      <xdr:colOff>352425</xdr:colOff>
      <xdr:row>7</xdr:row>
      <xdr:rowOff>85725</xdr:rowOff>
    </xdr:to>
    <xdr:sp macro="" textlink="">
      <xdr:nvSpPr>
        <xdr:cNvPr id="12" name="File">
          <a:extLst>
            <a:ext uri="{FF2B5EF4-FFF2-40B4-BE49-F238E27FC236}">
              <a16:creationId xmlns:a16="http://schemas.microsoft.com/office/drawing/2014/main" id="{00000000-0008-0000-0200-00000C000000}"/>
            </a:ext>
          </a:extLst>
        </xdr:cNvPr>
        <xdr:cNvSpPr>
          <a:spLocks noEditPoints="1" noChangeArrowheads="1"/>
        </xdr:cNvSpPr>
      </xdr:nvSpPr>
      <xdr:spPr>
        <a:xfrm>
          <a:off x="6572250" y="847725"/>
          <a:ext cx="1714500" cy="6572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chemeClr val="accent3">
            <a:lumMod val="40000"/>
            <a:lumOff val="60000"/>
          </a:schemeClr>
        </a:solidFill>
        <a:ln w="952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ctr" rtl="1">
            <a:lnSpc>
              <a:spcPts val="800"/>
            </a:lnSpc>
            <a:defRPr sz="1000"/>
          </a:pPr>
          <a:r>
            <a:rPr lang="zh-CN" altLang="en-US" sz="900" b="0" i="0" strike="noStrike">
              <a:solidFill>
                <a:sysClr val="windowText" lastClr="000000"/>
              </a:solidFill>
              <a:latin typeface="宋体" panose="02010600030101010101" pitchFamily="7" charset="-122"/>
              <a:ea typeface="宋体" panose="02010600030101010101" pitchFamily="7" charset="-122"/>
            </a:rPr>
            <a:t>在</a:t>
          </a:r>
          <a:r>
            <a:rPr lang="en-US" altLang="zh-CN" sz="900" b="0" i="0" strike="noStrike">
              <a:solidFill>
                <a:srgbClr val="FF0000"/>
              </a:solidFill>
              <a:latin typeface="宋体" panose="02010600030101010101" pitchFamily="7" charset="-122"/>
              <a:ea typeface="宋体" panose="02010600030101010101" pitchFamily="7" charset="-122"/>
            </a:rPr>
            <a:t>【</a:t>
          </a:r>
          <a:r>
            <a:rPr lang="zh-CN" altLang="en-US" sz="900" b="0" i="0" strike="noStrike">
              <a:solidFill>
                <a:srgbClr val="FF0000"/>
              </a:solidFill>
              <a:latin typeface="宋体" panose="02010600030101010101" pitchFamily="7" charset="-122"/>
              <a:ea typeface="宋体" panose="02010600030101010101" pitchFamily="7" charset="-122"/>
            </a:rPr>
            <a:t>首页</a:t>
          </a:r>
          <a:r>
            <a:rPr lang="en-US" altLang="zh-CN" sz="900" b="0" i="0" strike="noStrike">
              <a:solidFill>
                <a:srgbClr val="FF0000"/>
              </a:solidFill>
              <a:latin typeface="宋体" panose="02010600030101010101" pitchFamily="7" charset="-122"/>
              <a:ea typeface="宋体" panose="02010600030101010101" pitchFamily="7" charset="-122"/>
            </a:rPr>
            <a:t>】</a:t>
          </a:r>
          <a:r>
            <a:rPr lang="zh-CN" altLang="en-US" sz="900" b="0" i="0" strike="noStrike">
              <a:solidFill>
                <a:sysClr val="windowText" lastClr="000000"/>
              </a:solidFill>
              <a:latin typeface="宋体" panose="02010600030101010101" pitchFamily="7" charset="-122"/>
              <a:ea typeface="宋体" panose="02010600030101010101" pitchFamily="7" charset="-122"/>
            </a:rPr>
            <a:t>输入参数</a:t>
          </a:r>
        </a:p>
        <a:p>
          <a:pPr algn="ctr" rtl="1">
            <a:lnSpc>
              <a:spcPts val="700"/>
            </a:lnSpc>
            <a:defRPr sz="1000"/>
          </a:pPr>
          <a:r>
            <a:rPr lang="zh-CN" altLang="en-US" sz="900" b="0" i="0" strike="noStrike">
              <a:solidFill>
                <a:sysClr val="windowText" lastClr="000000"/>
              </a:solidFill>
              <a:latin typeface="宋体" panose="02010600030101010101" pitchFamily="7" charset="-122"/>
              <a:ea typeface="宋体" panose="02010600030101010101" pitchFamily="7" charset="-122"/>
            </a:rPr>
            <a:t>单击“开始运行”</a:t>
          </a:r>
        </a:p>
      </xdr:txBody>
    </xdr:sp>
    <xdr:clientData/>
  </xdr:twoCellAnchor>
  <xdr:twoCellAnchor>
    <xdr:from>
      <xdr:col>9</xdr:col>
      <xdr:colOff>228600</xdr:colOff>
      <xdr:row>12</xdr:row>
      <xdr:rowOff>152400</xdr:rowOff>
    </xdr:from>
    <xdr:to>
      <xdr:col>12</xdr:col>
      <xdr:colOff>438150</xdr:colOff>
      <xdr:row>12</xdr:row>
      <xdr:rowOff>161925</xdr:rowOff>
    </xdr:to>
    <xdr:sp macro="" textlink="">
      <xdr:nvSpPr>
        <xdr:cNvPr id="49565" name="Line 80">
          <a:extLst>
            <a:ext uri="{FF2B5EF4-FFF2-40B4-BE49-F238E27FC236}">
              <a16:creationId xmlns:a16="http://schemas.microsoft.com/office/drawing/2014/main" id="{00000000-0008-0000-0200-00009DC10000}"/>
            </a:ext>
          </a:extLst>
        </xdr:cNvPr>
        <xdr:cNvSpPr>
          <a:spLocks noChangeShapeType="1"/>
        </xdr:cNvSpPr>
      </xdr:nvSpPr>
      <xdr:spPr>
        <a:xfrm flipH="1" flipV="1">
          <a:off x="7562850" y="2543175"/>
          <a:ext cx="2009775" cy="9525"/>
        </a:xfrm>
        <a:prstGeom prst="line">
          <a:avLst/>
        </a:prstGeom>
        <a:noFill/>
        <a:ln w="15875">
          <a:solidFill>
            <a:srgbClr val="000000"/>
          </a:solidFill>
          <a:rou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438150</xdr:colOff>
      <xdr:row>12</xdr:row>
      <xdr:rowOff>161925</xdr:rowOff>
    </xdr:from>
    <xdr:to>
      <xdr:col>12</xdr:col>
      <xdr:colOff>438150</xdr:colOff>
      <xdr:row>33</xdr:row>
      <xdr:rowOff>47625</xdr:rowOff>
    </xdr:to>
    <xdr:cxnSp macro="">
      <xdr:nvCxnSpPr>
        <xdr:cNvPr id="49566" name="AutoShape 81">
          <a:extLst>
            <a:ext uri="{FF2B5EF4-FFF2-40B4-BE49-F238E27FC236}">
              <a16:creationId xmlns:a16="http://schemas.microsoft.com/office/drawing/2014/main" id="{00000000-0008-0000-0200-00009EC10000}"/>
            </a:ext>
          </a:extLst>
        </xdr:cNvPr>
        <xdr:cNvCxnSpPr>
          <a:cxnSpLocks noChangeShapeType="1"/>
          <a:stCxn id="49565" idx="0"/>
          <a:endCxn id="49567" idx="1"/>
        </xdr:cNvCxnSpPr>
      </xdr:nvCxnSpPr>
      <xdr:spPr>
        <a:xfrm>
          <a:off x="9572625" y="2552700"/>
          <a:ext cx="0" cy="3943350"/>
        </a:xfrm>
        <a:prstGeom prst="straightConnector1">
          <a:avLst/>
        </a:prstGeom>
        <a:noFill/>
        <a:ln w="15875">
          <a:solidFill>
            <a:srgbClr val="000000"/>
          </a:solidFill>
          <a:round/>
        </a:ln>
        <a:extLst>
          <a:ext uri="{909E8E84-426E-40DD-AFC4-6F175D3DCCD1}">
            <a14:hiddenFill xmlns:a14="http://schemas.microsoft.com/office/drawing/2010/main">
              <a:noFill/>
            </a14:hiddenFill>
          </a:ext>
        </a:extLst>
      </xdr:spPr>
    </xdr:cxnSp>
    <xdr:clientData/>
  </xdr:twoCellAnchor>
  <xdr:twoCellAnchor>
    <xdr:from>
      <xdr:col>12</xdr:col>
      <xdr:colOff>257175</xdr:colOff>
      <xdr:row>33</xdr:row>
      <xdr:rowOff>47625</xdr:rowOff>
    </xdr:from>
    <xdr:to>
      <xdr:col>12</xdr:col>
      <xdr:colOff>438150</xdr:colOff>
      <xdr:row>33</xdr:row>
      <xdr:rowOff>47625</xdr:rowOff>
    </xdr:to>
    <xdr:sp macro="" textlink="">
      <xdr:nvSpPr>
        <xdr:cNvPr id="49567" name="Line 82">
          <a:extLst>
            <a:ext uri="{FF2B5EF4-FFF2-40B4-BE49-F238E27FC236}">
              <a16:creationId xmlns:a16="http://schemas.microsoft.com/office/drawing/2014/main" id="{00000000-0008-0000-0200-00009FC10000}"/>
            </a:ext>
          </a:extLst>
        </xdr:cNvPr>
        <xdr:cNvSpPr>
          <a:spLocks noChangeShapeType="1"/>
        </xdr:cNvSpPr>
      </xdr:nvSpPr>
      <xdr:spPr>
        <a:xfrm>
          <a:off x="9391650" y="6496050"/>
          <a:ext cx="180975" cy="0"/>
        </a:xfrm>
        <a:prstGeom prst="line">
          <a:avLst/>
        </a:prstGeom>
        <a:noFill/>
        <a:ln w="15875">
          <a:solidFill>
            <a:srgbClr val="000000"/>
          </a:solidFill>
          <a:round/>
        </a:ln>
        <a:extLst>
          <a:ext uri="{909E8E84-426E-40DD-AFC4-6F175D3DCCD1}">
            <a14:hiddenFill xmlns:a14="http://schemas.microsoft.com/office/drawing/2010/main">
              <a:noFill/>
            </a14:hiddenFill>
          </a:ext>
        </a:extLst>
      </xdr:spPr>
    </xdr:sp>
    <xdr:clientData/>
  </xdr:twoCellAnchor>
  <xdr:twoCellAnchor>
    <xdr:from>
      <xdr:col>12</xdr:col>
      <xdr:colOff>581025</xdr:colOff>
      <xdr:row>13</xdr:row>
      <xdr:rowOff>104775</xdr:rowOff>
    </xdr:from>
    <xdr:to>
      <xdr:col>12</xdr:col>
      <xdr:colOff>600075</xdr:colOff>
      <xdr:row>37</xdr:row>
      <xdr:rowOff>133350</xdr:rowOff>
    </xdr:to>
    <xdr:cxnSp macro="">
      <xdr:nvCxnSpPr>
        <xdr:cNvPr id="49568" name="AutoShape 88">
          <a:extLst>
            <a:ext uri="{FF2B5EF4-FFF2-40B4-BE49-F238E27FC236}">
              <a16:creationId xmlns:a16="http://schemas.microsoft.com/office/drawing/2014/main" id="{00000000-0008-0000-0200-0000A0C10000}"/>
            </a:ext>
          </a:extLst>
        </xdr:cNvPr>
        <xdr:cNvCxnSpPr>
          <a:cxnSpLocks noChangeShapeType="1"/>
        </xdr:cNvCxnSpPr>
      </xdr:nvCxnSpPr>
      <xdr:spPr>
        <a:xfrm rot="5400000" flipH="1">
          <a:off x="7386320" y="5014595"/>
          <a:ext cx="4676775" cy="19050"/>
        </a:xfrm>
        <a:prstGeom prst="straightConnector1">
          <a:avLst/>
        </a:prstGeom>
        <a:noFill/>
        <a:ln w="15875">
          <a:solidFill>
            <a:srgbClr val="000000"/>
          </a:solidFill>
          <a:round/>
        </a:ln>
        <a:extLst>
          <a:ext uri="{909E8E84-426E-40DD-AFC4-6F175D3DCCD1}">
            <a14:hiddenFill xmlns:a14="http://schemas.microsoft.com/office/drawing/2010/main">
              <a:noFill/>
            </a14:hiddenFill>
          </a:ext>
        </a:extLst>
      </xdr:spPr>
    </xdr:cxnSp>
    <xdr:clientData/>
  </xdr:twoCellAnchor>
  <xdr:twoCellAnchor>
    <xdr:from>
      <xdr:col>12</xdr:col>
      <xdr:colOff>571500</xdr:colOff>
      <xdr:row>13</xdr:row>
      <xdr:rowOff>104775</xdr:rowOff>
    </xdr:from>
    <xdr:to>
      <xdr:col>13</xdr:col>
      <xdr:colOff>95250</xdr:colOff>
      <xdr:row>13</xdr:row>
      <xdr:rowOff>104775</xdr:rowOff>
    </xdr:to>
    <xdr:sp macro="" textlink="">
      <xdr:nvSpPr>
        <xdr:cNvPr id="49569" name="Line 94">
          <a:extLst>
            <a:ext uri="{FF2B5EF4-FFF2-40B4-BE49-F238E27FC236}">
              <a16:creationId xmlns:a16="http://schemas.microsoft.com/office/drawing/2014/main" id="{00000000-0008-0000-0200-0000A1C10000}"/>
            </a:ext>
          </a:extLst>
        </xdr:cNvPr>
        <xdr:cNvSpPr>
          <a:spLocks noChangeShapeType="1"/>
        </xdr:cNvSpPr>
      </xdr:nvSpPr>
      <xdr:spPr>
        <a:xfrm>
          <a:off x="9705975" y="2686050"/>
          <a:ext cx="123825" cy="0"/>
        </a:xfrm>
        <a:prstGeom prst="line">
          <a:avLst/>
        </a:prstGeom>
        <a:noFill/>
        <a:ln w="15875">
          <a:solidFill>
            <a:srgbClr val="000000"/>
          </a:solidFill>
          <a:rou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590550</xdr:colOff>
      <xdr:row>22</xdr:row>
      <xdr:rowOff>95251</xdr:rowOff>
    </xdr:from>
    <xdr:to>
      <xdr:col>11</xdr:col>
      <xdr:colOff>457200</xdr:colOff>
      <xdr:row>24</xdr:row>
      <xdr:rowOff>47626</xdr:rowOff>
    </xdr:to>
    <xdr:sp macro="" textlink="">
      <xdr:nvSpPr>
        <xdr:cNvPr id="18" name="圆角矩形标注 17">
          <a:extLst>
            <a:ext uri="{FF2B5EF4-FFF2-40B4-BE49-F238E27FC236}">
              <a16:creationId xmlns:a16="http://schemas.microsoft.com/office/drawing/2014/main" id="{00000000-0008-0000-0200-000012000000}"/>
            </a:ext>
          </a:extLst>
        </xdr:cNvPr>
        <xdr:cNvSpPr/>
      </xdr:nvSpPr>
      <xdr:spPr>
        <a:xfrm>
          <a:off x="7924800" y="4429125"/>
          <a:ext cx="1066800" cy="333375"/>
        </a:xfrm>
        <a:prstGeom prst="wedgeRoundRectCallout">
          <a:avLst/>
        </a:prstGeom>
        <a:solidFill>
          <a:srgbClr val="FFC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solidFill>
                <a:sysClr val="windowText" lastClr="000000"/>
              </a:solidFill>
            </a:rPr>
            <a:t>预测三大报表</a:t>
          </a:r>
        </a:p>
      </xdr:txBody>
    </xdr:sp>
    <xdr:clientData/>
  </xdr:twoCellAnchor>
  <xdr:twoCellAnchor>
    <xdr:from>
      <xdr:col>8</xdr:col>
      <xdr:colOff>57150</xdr:colOff>
      <xdr:row>37</xdr:row>
      <xdr:rowOff>28575</xdr:rowOff>
    </xdr:from>
    <xdr:to>
      <xdr:col>10</xdr:col>
      <xdr:colOff>76200</xdr:colOff>
      <xdr:row>38</xdr:row>
      <xdr:rowOff>104775</xdr:rowOff>
    </xdr:to>
    <xdr:sp macro="" textlink="">
      <xdr:nvSpPr>
        <xdr:cNvPr id="20" name="流程图: 可选过程 19">
          <a:extLst>
            <a:ext uri="{FF2B5EF4-FFF2-40B4-BE49-F238E27FC236}">
              <a16:creationId xmlns:a16="http://schemas.microsoft.com/office/drawing/2014/main" id="{00000000-0008-0000-0200-000014000000}"/>
            </a:ext>
          </a:extLst>
        </xdr:cNvPr>
        <xdr:cNvSpPr/>
      </xdr:nvSpPr>
      <xdr:spPr>
        <a:xfrm>
          <a:off x="6791325" y="7258050"/>
          <a:ext cx="1219200" cy="266700"/>
        </a:xfrm>
        <a:prstGeom prst="flowChartAlternateProcess">
          <a:avLst/>
        </a:prstGeom>
        <a:solidFill>
          <a:schemeClr val="accent3">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000">
              <a:solidFill>
                <a:sysClr val="windowText" lastClr="000000"/>
              </a:solidFill>
            </a:rPr>
            <a:t>预测过程结束</a:t>
          </a:r>
        </a:p>
      </xdr:txBody>
    </xdr:sp>
    <xdr:clientData/>
  </xdr:twoCellAnchor>
  <xdr:twoCellAnchor>
    <xdr:from>
      <xdr:col>10</xdr:col>
      <xdr:colOff>76200</xdr:colOff>
      <xdr:row>37</xdr:row>
      <xdr:rowOff>152400</xdr:rowOff>
    </xdr:from>
    <xdr:to>
      <xdr:col>13</xdr:col>
      <xdr:colOff>0</xdr:colOff>
      <xdr:row>37</xdr:row>
      <xdr:rowOff>152400</xdr:rowOff>
    </xdr:to>
    <xdr:cxnSp macro="">
      <xdr:nvCxnSpPr>
        <xdr:cNvPr id="21" name="直接连接符 20">
          <a:extLst>
            <a:ext uri="{FF2B5EF4-FFF2-40B4-BE49-F238E27FC236}">
              <a16:creationId xmlns:a16="http://schemas.microsoft.com/office/drawing/2014/main" id="{00000000-0008-0000-0200-000015000000}"/>
            </a:ext>
          </a:extLst>
        </xdr:cNvPr>
        <xdr:cNvCxnSpPr>
          <a:stCxn id="20" idx="3"/>
        </xdr:cNvCxnSpPr>
      </xdr:nvCxnSpPr>
      <xdr:spPr>
        <a:xfrm flipV="1">
          <a:off x="8010525" y="7381875"/>
          <a:ext cx="172402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352425</xdr:colOff>
      <xdr:row>36</xdr:row>
      <xdr:rowOff>95250</xdr:rowOff>
    </xdr:from>
    <xdr:to>
      <xdr:col>17</xdr:col>
      <xdr:colOff>104775</xdr:colOff>
      <xdr:row>38</xdr:row>
      <xdr:rowOff>161925</xdr:rowOff>
    </xdr:to>
    <xdr:sp macro="" textlink="">
      <xdr:nvSpPr>
        <xdr:cNvPr id="22" name="AutoShape 60">
          <a:extLst>
            <a:ext uri="{FF2B5EF4-FFF2-40B4-BE49-F238E27FC236}">
              <a16:creationId xmlns:a16="http://schemas.microsoft.com/office/drawing/2014/main" id="{00000000-0008-0000-0200-000016000000}"/>
            </a:ext>
          </a:extLst>
        </xdr:cNvPr>
        <xdr:cNvSpPr>
          <a:spLocks noChangeArrowheads="1"/>
        </xdr:cNvSpPr>
      </xdr:nvSpPr>
      <xdr:spPr>
        <a:xfrm>
          <a:off x="11287125" y="7134225"/>
          <a:ext cx="952500" cy="447675"/>
        </a:xfrm>
        <a:prstGeom prst="bevel">
          <a:avLst>
            <a:gd name="adj" fmla="val 12500"/>
          </a:avLst>
        </a:prstGeom>
        <a:solidFill>
          <a:schemeClr val="accent3">
            <a:lumMod val="40000"/>
            <a:lumOff val="60000"/>
          </a:schemeClr>
        </a:solidFill>
        <a:ln w="12700">
          <a:solidFill>
            <a:schemeClr val="tx1"/>
          </a:solidFill>
          <a:miter lim="800000"/>
        </a:ln>
      </xdr:spPr>
      <xdr:txBody>
        <a:bodyPr vertOverflow="clip" wrap="square" lIns="36576" tIns="27432" rIns="36576" bIns="0" anchor="ctr" upright="1"/>
        <a:lstStyle/>
        <a:p>
          <a:pPr algn="ctr" rtl="1">
            <a:defRPr sz="1000"/>
          </a:pPr>
          <a:r>
            <a:rPr lang="zh-CN" altLang="en-US" sz="1000" b="1" i="0" strike="noStrike">
              <a:solidFill>
                <a:sysClr val="windowText" lastClr="000000"/>
              </a:solidFill>
              <a:latin typeface="宋体" panose="02010600030101010101" pitchFamily="7" charset="-122"/>
              <a:ea typeface="宋体" panose="02010600030101010101" pitchFamily="7" charset="-122"/>
            </a:rPr>
            <a:t>输出报告</a:t>
          </a:r>
          <a:endParaRPr lang="en-US" altLang="zh-CN" sz="1000" b="1" i="0" strike="noStrike">
            <a:solidFill>
              <a:sysClr val="windowText" lastClr="000000"/>
            </a:solidFill>
            <a:latin typeface="宋体" panose="02010600030101010101" pitchFamily="7" charset="-122"/>
            <a:ea typeface="宋体" panose="02010600030101010101" pitchFamily="7" charset="-122"/>
          </a:endParaRPr>
        </a:p>
      </xdr:txBody>
    </xdr:sp>
    <xdr:clientData/>
  </xdr:twoCellAnchor>
  <xdr:twoCellAnchor>
    <xdr:from>
      <xdr:col>13</xdr:col>
      <xdr:colOff>123825</xdr:colOff>
      <xdr:row>11</xdr:row>
      <xdr:rowOff>171450</xdr:rowOff>
    </xdr:from>
    <xdr:to>
      <xdr:col>19</xdr:col>
      <xdr:colOff>200025</xdr:colOff>
      <xdr:row>16</xdr:row>
      <xdr:rowOff>95249</xdr:rowOff>
    </xdr:to>
    <xdr:sp macro="" textlink="">
      <xdr:nvSpPr>
        <xdr:cNvPr id="23" name="desk1">
          <a:extLst>
            <a:ext uri="{FF2B5EF4-FFF2-40B4-BE49-F238E27FC236}">
              <a16:creationId xmlns:a16="http://schemas.microsoft.com/office/drawing/2014/main" id="{00000000-0008-0000-0200-000017000000}"/>
            </a:ext>
          </a:extLst>
        </xdr:cNvPr>
        <xdr:cNvSpPr>
          <a:spLocks noEditPoints="1" noChangeArrowheads="1"/>
        </xdr:cNvSpPr>
      </xdr:nvSpPr>
      <xdr:spPr>
        <a:xfrm>
          <a:off x="9858375" y="2371725"/>
          <a:ext cx="3676650" cy="894715"/>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900"/>
            </a:lnSpc>
            <a:defRPr sz="1000"/>
          </a:pPr>
          <a:r>
            <a:rPr lang="zh-CN" altLang="en-US" sz="1000" b="0" i="0" strike="noStrike">
              <a:solidFill>
                <a:srgbClr val="000000"/>
              </a:solidFill>
              <a:latin typeface="宋体" panose="02010600030101010101" pitchFamily="7" charset="-122"/>
              <a:ea typeface="宋体" panose="02010600030101010101" pitchFamily="7" charset="-122"/>
            </a:rPr>
            <a:t>进入</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绝对估值</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页，首先设置关键估值假设</a:t>
          </a:r>
          <a:r>
            <a:rPr lang="en-US" altLang="zh-CN" sz="1000" b="0" i="0" strike="noStrike">
              <a:solidFill>
                <a:srgbClr val="000000"/>
              </a:solidFill>
              <a:latin typeface="Arial" panose="020B0604020202020204"/>
              <a:cs typeface="Arial" panose="020B0604020202020204"/>
            </a:rPr>
            <a:t>(</a:t>
          </a:r>
          <a:r>
            <a:rPr lang="zh-CN" altLang="en-US" sz="1000" b="0" i="0" strike="noStrike">
              <a:solidFill>
                <a:srgbClr val="000000"/>
              </a:solidFill>
              <a:latin typeface="宋体" panose="02010600030101010101" pitchFamily="7" charset="-122"/>
              <a:ea typeface="宋体" panose="02010600030101010101" pitchFamily="7" charset="-122"/>
            </a:rPr>
            <a:t>以橙色背景标识</a:t>
          </a:r>
          <a:r>
            <a:rPr lang="en-US" altLang="zh-CN" sz="1000" b="0" i="0" strike="noStrike">
              <a:solidFill>
                <a:srgbClr val="000000"/>
              </a:solidFill>
              <a:latin typeface="Arial" panose="020B0604020202020204"/>
              <a:cs typeface="Arial" panose="020B0604020202020204"/>
            </a:rPr>
            <a:t>)</a:t>
          </a:r>
          <a:r>
            <a:rPr lang="zh-CN" altLang="en-US" sz="1000" b="0" i="0" strike="noStrike">
              <a:solidFill>
                <a:srgbClr val="000000"/>
              </a:solidFill>
              <a:latin typeface="宋体" panose="02010600030101010101" pitchFamily="7" charset="-122"/>
              <a:ea typeface="宋体" panose="02010600030101010101" pitchFamily="7" charset="-122"/>
            </a:rPr>
            <a:t>，单击</a:t>
          </a:r>
          <a:r>
            <a:rPr lang="zh-CN" altLang="en-US" sz="1000" b="0" i="0" strike="noStrike">
              <a:solidFill>
                <a:srgbClr val="000000"/>
              </a:solidFill>
              <a:latin typeface="Arial" panose="020B0604020202020204"/>
              <a:cs typeface="Arial" panose="020B0604020202020204"/>
            </a:rPr>
            <a:t>“开始</a:t>
          </a:r>
          <a:r>
            <a:rPr lang="zh-CN" altLang="en-US" sz="1000" b="0" i="0" strike="noStrike">
              <a:solidFill>
                <a:srgbClr val="000000"/>
              </a:solidFill>
              <a:latin typeface="宋体" panose="02010600030101010101" pitchFamily="7" charset="-122"/>
              <a:ea typeface="宋体" panose="02010600030101010101" pitchFamily="7" charset="-122"/>
            </a:rPr>
            <a:t>计算</a:t>
          </a:r>
          <a:r>
            <a:rPr lang="zh-CN" altLang="en-US" sz="1000" b="0" i="0" strike="noStrike">
              <a:solidFill>
                <a:srgbClr val="000000"/>
              </a:solidFill>
              <a:latin typeface="Arial" panose="020B0604020202020204"/>
              <a:cs typeface="Arial" panose="020B0604020202020204"/>
            </a:rPr>
            <a:t>”</a:t>
          </a:r>
          <a:r>
            <a:rPr lang="zh-CN" altLang="en-US" sz="1000" b="0" i="0" strike="noStrike">
              <a:solidFill>
                <a:srgbClr val="000000"/>
              </a:solidFill>
              <a:latin typeface="宋体" panose="02010600030101010101" pitchFamily="7" charset="-122"/>
              <a:ea typeface="宋体" panose="02010600030101010101" pitchFamily="7" charset="-122"/>
            </a:rPr>
            <a:t>按钮，程序将自动完成估值计算。系统提供的估值方法有：</a:t>
          </a:r>
          <a:r>
            <a:rPr lang="en-US" altLang="zh-CN" sz="1000" b="0" i="0" strike="noStrike">
              <a:solidFill>
                <a:srgbClr val="000000"/>
              </a:solidFill>
              <a:latin typeface="Arial" panose="020B0604020202020204"/>
              <a:cs typeface="Arial" panose="020B0604020202020204"/>
            </a:rPr>
            <a:t>FCFF</a:t>
          </a:r>
          <a:r>
            <a:rPr lang="zh-CN" altLang="en-US" sz="1000" b="0" i="0" strike="noStrike">
              <a:solidFill>
                <a:srgbClr val="000000"/>
              </a:solidFill>
              <a:latin typeface="宋体" panose="02010600030101010101" pitchFamily="7" charset="-122"/>
              <a:ea typeface="宋体" panose="02010600030101010101" pitchFamily="7" charset="-122"/>
            </a:rPr>
            <a:t>、</a:t>
          </a:r>
          <a:r>
            <a:rPr lang="en-US" altLang="zh-CN" sz="1000" b="0" i="0" strike="noStrike">
              <a:solidFill>
                <a:srgbClr val="000000"/>
              </a:solidFill>
              <a:latin typeface="Arial" panose="020B0604020202020204"/>
              <a:cs typeface="Arial" panose="020B0604020202020204"/>
            </a:rPr>
            <a:t>FCFE</a:t>
          </a:r>
          <a:r>
            <a:rPr lang="zh-CN" altLang="en-US" sz="1000" b="0" i="0" strike="noStrike">
              <a:solidFill>
                <a:srgbClr val="000000"/>
              </a:solidFill>
              <a:latin typeface="宋体" panose="02010600030101010101" pitchFamily="7" charset="-122"/>
              <a:ea typeface="宋体" panose="02010600030101010101" pitchFamily="7" charset="-122"/>
            </a:rPr>
            <a:t>、</a:t>
          </a:r>
          <a:r>
            <a:rPr lang="en-US" altLang="zh-CN" sz="1000" b="0" i="0" strike="noStrike">
              <a:solidFill>
                <a:srgbClr val="000000"/>
              </a:solidFill>
              <a:latin typeface="Arial" panose="020B0604020202020204"/>
              <a:cs typeface="Arial" panose="020B0604020202020204"/>
            </a:rPr>
            <a:t>DDM</a:t>
          </a:r>
          <a:r>
            <a:rPr lang="zh-CN" altLang="en-US" sz="1000" b="0" i="0" strike="noStrike">
              <a:solidFill>
                <a:srgbClr val="000000"/>
              </a:solidFill>
              <a:latin typeface="宋体" panose="02010600030101010101" pitchFamily="7" charset="-122"/>
              <a:ea typeface="宋体" panose="02010600030101010101" pitchFamily="7" charset="-122"/>
              <a:cs typeface="+mn-cs"/>
            </a:rPr>
            <a:t>、</a:t>
          </a:r>
          <a:r>
            <a:rPr lang="en-US" altLang="zh-CN" sz="1000" b="0" i="0" strike="noStrike">
              <a:solidFill>
                <a:srgbClr val="000000"/>
              </a:solidFill>
              <a:latin typeface="Arial" panose="020B0604020202020204" pitchFamily="7" charset="0"/>
              <a:ea typeface="宋体" panose="02010600030101010101" pitchFamily="7" charset="-122"/>
              <a:cs typeface="Arial" panose="020B0604020202020204" pitchFamily="7" charset="0"/>
            </a:rPr>
            <a:t>EVA</a:t>
          </a:r>
          <a:r>
            <a:rPr lang="zh-CN" altLang="en-US" sz="1000" b="0" i="0" strike="noStrike">
              <a:solidFill>
                <a:srgbClr val="000000"/>
              </a:solidFill>
              <a:latin typeface="Arial" panose="020B0604020202020204" pitchFamily="7" charset="0"/>
              <a:ea typeface="宋体" panose="02010600030101010101" pitchFamily="7" charset="-122"/>
              <a:cs typeface="Arial" panose="020B0604020202020204" pitchFamily="7" charset="0"/>
            </a:rPr>
            <a:t>、</a:t>
          </a:r>
          <a:r>
            <a:rPr lang="en-US" altLang="zh-CN" sz="1000" b="0" i="0" strike="noStrike">
              <a:solidFill>
                <a:srgbClr val="000000"/>
              </a:solidFill>
              <a:latin typeface="Arial" panose="020B0604020202020204" pitchFamily="7" charset="0"/>
              <a:ea typeface="宋体" panose="02010600030101010101" pitchFamily="7" charset="-122"/>
              <a:cs typeface="Arial" panose="020B0604020202020204" pitchFamily="7" charset="0"/>
            </a:rPr>
            <a:t>AE</a:t>
          </a:r>
          <a:r>
            <a:rPr lang="zh-CN" altLang="en-US" sz="1000" b="0" i="0" strike="noStrike">
              <a:solidFill>
                <a:srgbClr val="000000"/>
              </a:solidFill>
              <a:latin typeface="宋体" panose="02010600030101010101" pitchFamily="7" charset="-122"/>
              <a:ea typeface="宋体" panose="02010600030101010101" pitchFamily="7" charset="-122"/>
            </a:rPr>
            <a:t>。</a:t>
          </a:r>
          <a:endParaRPr lang="zh-CN" altLang="en-US" sz="1000" b="0" i="0" strike="noStrike">
            <a:solidFill>
              <a:srgbClr val="000000"/>
            </a:solidFill>
            <a:latin typeface="Arial" panose="020B0604020202020204"/>
            <a:cs typeface="Arial" panose="020B0604020202020204"/>
          </a:endParaRPr>
        </a:p>
        <a:p>
          <a:pPr algn="l" rtl="1">
            <a:lnSpc>
              <a:spcPts val="900"/>
            </a:lnSpc>
            <a:defRPr sz="1000"/>
          </a:pPr>
          <a:endParaRPr lang="zh-CN" altLang="en-US" sz="1000" b="0" i="0" strike="noStrike">
            <a:solidFill>
              <a:srgbClr val="000000"/>
            </a:solidFill>
            <a:latin typeface="Arial" panose="020B0604020202020204"/>
            <a:cs typeface="Arial" panose="020B0604020202020204"/>
          </a:endParaRPr>
        </a:p>
      </xdr:txBody>
    </xdr:sp>
    <xdr:clientData/>
  </xdr:twoCellAnchor>
  <xdr:twoCellAnchor>
    <xdr:from>
      <xdr:col>13</xdr:col>
      <xdr:colOff>95250</xdr:colOff>
      <xdr:row>28</xdr:row>
      <xdr:rowOff>66675</xdr:rowOff>
    </xdr:from>
    <xdr:to>
      <xdr:col>19</xdr:col>
      <xdr:colOff>171450</xdr:colOff>
      <xdr:row>31</xdr:row>
      <xdr:rowOff>152400</xdr:rowOff>
    </xdr:to>
    <xdr:sp macro="" textlink="">
      <xdr:nvSpPr>
        <xdr:cNvPr id="24" name="desk1">
          <a:extLst>
            <a:ext uri="{FF2B5EF4-FFF2-40B4-BE49-F238E27FC236}">
              <a16:creationId xmlns:a16="http://schemas.microsoft.com/office/drawing/2014/main" id="{00000000-0008-0000-0200-000018000000}"/>
            </a:ext>
          </a:extLst>
        </xdr:cNvPr>
        <xdr:cNvSpPr>
          <a:spLocks noEditPoints="1" noChangeArrowheads="1"/>
        </xdr:cNvSpPr>
      </xdr:nvSpPr>
      <xdr:spPr>
        <a:xfrm>
          <a:off x="9829800" y="5543550"/>
          <a:ext cx="3676650" cy="676275"/>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1000"/>
            </a:lnSpc>
            <a:defRPr sz="1000"/>
          </a:pPr>
          <a:r>
            <a:rPr lang="zh-CN" altLang="en-US" sz="1000" b="0" i="0" strike="noStrike">
              <a:solidFill>
                <a:srgbClr val="000000"/>
              </a:solidFill>
              <a:latin typeface="宋体" panose="02010600030101010101" pitchFamily="7" charset="-122"/>
              <a:ea typeface="宋体" panose="02010600030101010101" pitchFamily="7" charset="-122"/>
            </a:rPr>
            <a:t>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相对估值</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页，系统自动生成</a:t>
          </a:r>
          <a:r>
            <a:rPr lang="en-US" altLang="zh-CN" sz="1000" b="0" i="0" strike="noStrike">
              <a:solidFill>
                <a:srgbClr val="000000"/>
              </a:solidFill>
              <a:latin typeface="Arial" panose="020B0604020202020204"/>
              <a:cs typeface="Arial" panose="020B0604020202020204"/>
            </a:rPr>
            <a:t>PE</a:t>
          </a:r>
          <a:r>
            <a:rPr lang="zh-CN" altLang="en-US" sz="1000" b="0" i="0" strike="noStrike">
              <a:solidFill>
                <a:srgbClr val="000000"/>
              </a:solidFill>
              <a:latin typeface="宋体" panose="02010600030101010101" pitchFamily="7" charset="-122"/>
              <a:ea typeface="宋体" panose="02010600030101010101" pitchFamily="7" charset="-122"/>
            </a:rPr>
            <a:t>估值法、</a:t>
          </a:r>
          <a:r>
            <a:rPr lang="en-US" altLang="zh-CN" sz="1000" b="0" i="0" strike="noStrike">
              <a:solidFill>
                <a:srgbClr val="000000"/>
              </a:solidFill>
              <a:latin typeface="Arial" panose="020B0604020202020204"/>
              <a:cs typeface="Arial" panose="020B0604020202020204"/>
            </a:rPr>
            <a:t>PS</a:t>
          </a:r>
          <a:r>
            <a:rPr lang="zh-CN" altLang="en-US" sz="1000" b="0" i="0" strike="noStrike">
              <a:solidFill>
                <a:srgbClr val="000000"/>
              </a:solidFill>
              <a:latin typeface="宋体" panose="02010600030101010101" pitchFamily="7" charset="-122"/>
              <a:ea typeface="宋体" panose="02010600030101010101" pitchFamily="7" charset="-122"/>
            </a:rPr>
            <a:t>估值法、</a:t>
          </a:r>
          <a:r>
            <a:rPr lang="en-US" altLang="zh-CN" sz="1000" b="0" i="0" strike="noStrike">
              <a:solidFill>
                <a:srgbClr val="000000"/>
              </a:solidFill>
              <a:latin typeface="Arial" panose="020B0604020202020204"/>
              <a:cs typeface="Arial" panose="020B0604020202020204"/>
            </a:rPr>
            <a:t>PB</a:t>
          </a:r>
          <a:r>
            <a:rPr lang="zh-CN" altLang="en-US" sz="1000" b="0" i="0" strike="noStrike">
              <a:solidFill>
                <a:srgbClr val="000000"/>
              </a:solidFill>
              <a:latin typeface="宋体" panose="02010600030101010101" pitchFamily="7" charset="-122"/>
              <a:ea typeface="宋体" panose="02010600030101010101" pitchFamily="7" charset="-122"/>
            </a:rPr>
            <a:t>估值法三种方法下的相对价值，以及每股理论价格对估值要素的敏感性矩阵。</a:t>
          </a:r>
        </a:p>
      </xdr:txBody>
    </xdr:sp>
    <xdr:clientData/>
  </xdr:twoCellAnchor>
  <xdr:twoCellAnchor>
    <xdr:from>
      <xdr:col>13</xdr:col>
      <xdr:colOff>114300</xdr:colOff>
      <xdr:row>18</xdr:row>
      <xdr:rowOff>47624</xdr:rowOff>
    </xdr:from>
    <xdr:to>
      <xdr:col>19</xdr:col>
      <xdr:colOff>190500</xdr:colOff>
      <xdr:row>21</xdr:row>
      <xdr:rowOff>19049</xdr:rowOff>
    </xdr:to>
    <xdr:sp macro="" textlink="">
      <xdr:nvSpPr>
        <xdr:cNvPr id="25" name="desk1">
          <a:extLst>
            <a:ext uri="{FF2B5EF4-FFF2-40B4-BE49-F238E27FC236}">
              <a16:creationId xmlns:a16="http://schemas.microsoft.com/office/drawing/2014/main" id="{00000000-0008-0000-0200-000019000000}"/>
            </a:ext>
          </a:extLst>
        </xdr:cNvPr>
        <xdr:cNvSpPr>
          <a:spLocks noEditPoints="1" noChangeArrowheads="1"/>
        </xdr:cNvSpPr>
      </xdr:nvSpPr>
      <xdr:spPr>
        <a:xfrm>
          <a:off x="9848850" y="3599815"/>
          <a:ext cx="3676650" cy="552450"/>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900"/>
            </a:lnSpc>
            <a:defRPr sz="1000"/>
          </a:pPr>
          <a:r>
            <a:rPr lang="zh-CN" altLang="en-US" sz="1000" b="0" i="0" strike="noStrike">
              <a:solidFill>
                <a:srgbClr val="000000"/>
              </a:solidFill>
              <a:latin typeface="宋体" panose="02010600030101010101" pitchFamily="7" charset="-122"/>
              <a:ea typeface="宋体" panose="02010600030101010101" pitchFamily="7" charset="-122"/>
            </a:rPr>
            <a:t>在</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敏感分析</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页，系统自动生成五种预测方法下每股理论价格对</a:t>
          </a:r>
          <a:r>
            <a:rPr lang="en-US" altLang="zh-CN" sz="1000" b="0" i="0" strike="noStrike">
              <a:solidFill>
                <a:srgbClr val="000000"/>
              </a:solidFill>
              <a:latin typeface="Arial" panose="020B0604020202020204"/>
              <a:cs typeface="Arial" panose="020B0604020202020204"/>
            </a:rPr>
            <a:t>WACC</a:t>
          </a:r>
          <a:r>
            <a:rPr lang="zh-CN" altLang="en-US" sz="1000" b="0" i="0" strike="noStrike">
              <a:solidFill>
                <a:srgbClr val="000000"/>
              </a:solidFill>
              <a:latin typeface="宋体" panose="02010600030101010101" pitchFamily="7" charset="-122"/>
              <a:ea typeface="宋体" panose="02010600030101010101" pitchFamily="7" charset="-122"/>
            </a:rPr>
            <a:t>和可持续增长率的敏感性矩阵。</a:t>
          </a:r>
        </a:p>
      </xdr:txBody>
    </xdr:sp>
    <xdr:clientData/>
  </xdr:twoCellAnchor>
  <xdr:twoCellAnchor>
    <xdr:from>
      <xdr:col>13</xdr:col>
      <xdr:colOff>114300</xdr:colOff>
      <xdr:row>22</xdr:row>
      <xdr:rowOff>114299</xdr:rowOff>
    </xdr:from>
    <xdr:to>
      <xdr:col>19</xdr:col>
      <xdr:colOff>190500</xdr:colOff>
      <xdr:row>26</xdr:row>
      <xdr:rowOff>114299</xdr:rowOff>
    </xdr:to>
    <xdr:sp macro="" textlink="">
      <xdr:nvSpPr>
        <xdr:cNvPr id="26" name="desk1">
          <a:extLst>
            <a:ext uri="{FF2B5EF4-FFF2-40B4-BE49-F238E27FC236}">
              <a16:creationId xmlns:a16="http://schemas.microsoft.com/office/drawing/2014/main" id="{00000000-0008-0000-0200-00001A000000}"/>
            </a:ext>
          </a:extLst>
        </xdr:cNvPr>
        <xdr:cNvSpPr>
          <a:spLocks noEditPoints="1" noChangeArrowheads="1"/>
        </xdr:cNvSpPr>
      </xdr:nvSpPr>
      <xdr:spPr>
        <a:xfrm>
          <a:off x="9848850" y="4447540"/>
          <a:ext cx="3676650" cy="762000"/>
        </a:xfrm>
        <a:custGeom>
          <a:avLst/>
          <a:gdLst>
            <a:gd name="T0" fmla="*/ 0 w 21600"/>
            <a:gd name="T1" fmla="*/ 0 h 21600"/>
            <a:gd name="T2" fmla="*/ 21600 w 21600"/>
            <a:gd name="T3" fmla="*/ 0 h 21600"/>
            <a:gd name="T4" fmla="*/ 21600 w 21600"/>
            <a:gd name="T5" fmla="*/ 21600 h 21600"/>
            <a:gd name="T6" fmla="*/ 0 w 21600"/>
            <a:gd name="T7" fmla="*/ 21600 h 21600"/>
            <a:gd name="T8" fmla="*/ 10800 w 21600"/>
            <a:gd name="T9" fmla="*/ 0 h 21600"/>
            <a:gd name="T10" fmla="*/ 21600 w 21600"/>
            <a:gd name="T11" fmla="*/ 10800 h 21600"/>
            <a:gd name="T12" fmla="*/ 10800 w 21600"/>
            <a:gd name="T13" fmla="*/ 21600 h 21600"/>
            <a:gd name="T14" fmla="*/ 0 w 21600"/>
            <a:gd name="T15" fmla="*/ 10800 h 21600"/>
            <a:gd name="T16" fmla="*/ 1000 w 21600"/>
            <a:gd name="T17" fmla="*/ 1000 h 21600"/>
            <a:gd name="T18" fmla="*/ 20600 w 21600"/>
            <a:gd name="T19" fmla="*/ 20600 h 21600"/>
          </a:gdLst>
          <a:ahLst/>
          <a:cxnLst>
            <a:cxn ang="0">
              <a:pos x="T0" y="T1"/>
            </a:cxn>
            <a:cxn ang="0">
              <a:pos x="T2" y="T3"/>
            </a:cxn>
            <a:cxn ang="0">
              <a:pos x="T4" y="T5"/>
            </a:cxn>
            <a:cxn ang="0">
              <a:pos x="T6" y="T7"/>
            </a:cxn>
            <a:cxn ang="0">
              <a:pos x="T8" y="T9"/>
            </a:cxn>
            <a:cxn ang="0">
              <a:pos x="T10" y="T11"/>
            </a:cxn>
            <a:cxn ang="0">
              <a:pos x="T12" y="T13"/>
            </a:cxn>
            <a:cxn ang="0">
              <a:pos x="T14" y="T15"/>
            </a:cxn>
          </a:cxnLst>
          <a:rect l="T16" t="T17" r="T18" b="T19"/>
          <a:pathLst>
            <a:path w="21600" h="21600">
              <a:moveTo>
                <a:pt x="0" y="0"/>
              </a:moveTo>
              <a:lnTo>
                <a:pt x="21600" y="0"/>
              </a:lnTo>
              <a:lnTo>
                <a:pt x="21600" y="21600"/>
              </a:lnTo>
              <a:lnTo>
                <a:pt x="0" y="21600"/>
              </a:lnTo>
              <a:lnTo>
                <a:pt x="0" y="0"/>
              </a:lnTo>
              <a:close/>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l" rtl="1">
            <a:lnSpc>
              <a:spcPts val="900"/>
            </a:lnSpc>
            <a:defRPr sz="1000"/>
          </a:pPr>
          <a:r>
            <a:rPr lang="zh-CN" altLang="en-US" sz="1000" b="0" i="0" strike="noStrike">
              <a:solidFill>
                <a:srgbClr val="000000"/>
              </a:solidFill>
              <a:latin typeface="宋体" panose="02010600030101010101" pitchFamily="7" charset="-122"/>
              <a:ea typeface="宋体" panose="02010600030101010101" pitchFamily="7" charset="-122"/>
            </a:rPr>
            <a:t>进入</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FF0000"/>
              </a:solidFill>
              <a:latin typeface="宋体" panose="02010600030101010101" pitchFamily="7" charset="-122"/>
              <a:ea typeface="宋体" panose="02010600030101010101" pitchFamily="7" charset="-122"/>
            </a:rPr>
            <a:t>可比公司估值</a:t>
          </a:r>
          <a:r>
            <a:rPr lang="en-US" altLang="zh-CN" sz="1000" b="0" i="0" strike="noStrike">
              <a:solidFill>
                <a:srgbClr val="FF0000"/>
              </a:solidFill>
              <a:latin typeface="宋体" panose="02010600030101010101" pitchFamily="7" charset="-122"/>
              <a:ea typeface="宋体" panose="02010600030101010101" pitchFamily="7" charset="-122"/>
            </a:rPr>
            <a:t>】</a:t>
          </a:r>
          <a:r>
            <a:rPr lang="zh-CN" altLang="en-US" sz="1000" b="0" i="0" strike="noStrike">
              <a:solidFill>
                <a:srgbClr val="000000"/>
              </a:solidFill>
              <a:latin typeface="宋体" panose="02010600030101010101" pitchFamily="7" charset="-122"/>
              <a:ea typeface="宋体" panose="02010600030101010101" pitchFamily="7" charset="-122"/>
            </a:rPr>
            <a:t>页，首先选择行业分类，单击“刷新”。可以在输出的可比公司列表中筛选，程序会自动计算平均估值和中值指标。</a:t>
          </a:r>
        </a:p>
      </xdr:txBody>
    </xdr:sp>
    <xdr:clientData/>
  </xdr:twoCellAnchor>
  <xdr:twoCellAnchor>
    <xdr:from>
      <xdr:col>15</xdr:col>
      <xdr:colOff>0</xdr:colOff>
      <xdr:row>33</xdr:row>
      <xdr:rowOff>38100</xdr:rowOff>
    </xdr:from>
    <xdr:to>
      <xdr:col>17</xdr:col>
      <xdr:colOff>514350</xdr:colOff>
      <xdr:row>35</xdr:row>
      <xdr:rowOff>9525</xdr:rowOff>
    </xdr:to>
    <xdr:sp macro="" textlink="">
      <xdr:nvSpPr>
        <xdr:cNvPr id="27" name="UpRibbonSharp">
          <a:extLst>
            <a:ext uri="{FF2B5EF4-FFF2-40B4-BE49-F238E27FC236}">
              <a16:creationId xmlns:a16="http://schemas.microsoft.com/office/drawing/2014/main" id="{00000000-0008-0000-0200-00001B000000}"/>
            </a:ext>
          </a:extLst>
        </xdr:cNvPr>
        <xdr:cNvSpPr>
          <a:spLocks noEditPoints="1" noChangeArrowheads="1"/>
        </xdr:cNvSpPr>
      </xdr:nvSpPr>
      <xdr:spPr>
        <a:xfrm>
          <a:off x="10934700" y="6486525"/>
          <a:ext cx="1714500" cy="371475"/>
        </a:xfrm>
        <a:custGeom>
          <a:avLst/>
          <a:gdLst>
            <a:gd name="G0" fmla="+- 0 0 0"/>
            <a:gd name="G1" fmla="+- 5400 0 0"/>
            <a:gd name="G2" fmla="+- 5400 2700 0"/>
            <a:gd name="G3" fmla="+- 21600 0 G2"/>
            <a:gd name="G4" fmla="+- 21600 0 G1"/>
            <a:gd name="G5" fmla="+- 21600 0 18900"/>
            <a:gd name="G6" fmla="*/ 18900 1 2"/>
            <a:gd name="G7" fmla="+- 21600 0 G6"/>
            <a:gd name="G8" fmla="+- 18900 0 0"/>
            <a:gd name="T0" fmla="*/ 10800 w 21600"/>
            <a:gd name="T1" fmla="*/ 0 h 21600"/>
            <a:gd name="T2" fmla="*/ 2700 w 21600"/>
            <a:gd name="T3" fmla="*/ 12150 h 21600"/>
            <a:gd name="T4" fmla="*/ 10800 w 21600"/>
            <a:gd name="T5" fmla="*/ 18900 h 21600"/>
            <a:gd name="T6" fmla="*/ 18900 w 21600"/>
            <a:gd name="T7" fmla="*/ 12150 h 21600"/>
            <a:gd name="T8" fmla="*/ 17694720 60000 65536"/>
            <a:gd name="T9" fmla="*/ 11796480 60000 65536"/>
            <a:gd name="T10" fmla="*/ 5898240 60000 65536"/>
            <a:gd name="T11" fmla="*/ 0 60000 65536"/>
            <a:gd name="T12" fmla="*/ G1 w 21600"/>
            <a:gd name="T13" fmla="*/ 0 h 21600"/>
            <a:gd name="T14" fmla="*/ G4 w 21600"/>
            <a:gd name="T15" fmla="*/ G8 h 21600"/>
          </a:gdLst>
          <a:ahLst/>
          <a:cxnLst>
            <a:cxn ang="T8">
              <a:pos x="T0" y="T1"/>
            </a:cxn>
            <a:cxn ang="T9">
              <a:pos x="T2" y="T3"/>
            </a:cxn>
            <a:cxn ang="T10">
              <a:pos x="T4" y="T5"/>
            </a:cxn>
            <a:cxn ang="T11">
              <a:pos x="T6" y="T7"/>
            </a:cxn>
          </a:cxnLst>
          <a:rect l="T12" t="T13" r="T14" b="T15"/>
          <a:pathLst>
            <a:path w="21600" h="21600" extrusionOk="0">
              <a:moveTo>
                <a:pt x="0" y="21600"/>
              </a:moveTo>
              <a:lnTo>
                <a:pt x="8100" y="21600"/>
              </a:lnTo>
              <a:lnTo>
                <a:pt x="8100" y="18900"/>
              </a:lnTo>
              <a:lnTo>
                <a:pt x="13500" y="18900"/>
              </a:lnTo>
              <a:lnTo>
                <a:pt x="13500" y="21600"/>
              </a:lnTo>
              <a:lnTo>
                <a:pt x="21600" y="21600"/>
              </a:lnTo>
              <a:lnTo>
                <a:pt x="18900" y="12150"/>
              </a:lnTo>
              <a:lnTo>
                <a:pt x="21600" y="2700"/>
              </a:lnTo>
              <a:lnTo>
                <a:pt x="16200" y="2700"/>
              </a:lnTo>
              <a:lnTo>
                <a:pt x="16200" y="0"/>
              </a:lnTo>
              <a:lnTo>
                <a:pt x="5400" y="0"/>
              </a:lnTo>
              <a:lnTo>
                <a:pt x="5400" y="2700"/>
              </a:lnTo>
              <a:lnTo>
                <a:pt x="0" y="2700"/>
              </a:lnTo>
              <a:lnTo>
                <a:pt x="2700" y="12150"/>
              </a:lnTo>
              <a:close/>
            </a:path>
            <a:path w="21600" h="21600" fill="none" extrusionOk="0">
              <a:moveTo>
                <a:pt x="8100" y="18900"/>
              </a:moveTo>
              <a:lnTo>
                <a:pt x="5400" y="18900"/>
              </a:lnTo>
              <a:lnTo>
                <a:pt x="5400" y="2700"/>
              </a:lnTo>
            </a:path>
            <a:path w="21600" h="21600" fill="none" extrusionOk="0">
              <a:moveTo>
                <a:pt x="5400" y="18900"/>
              </a:moveTo>
              <a:lnTo>
                <a:pt x="8100" y="21600"/>
              </a:lnTo>
            </a:path>
            <a:path w="21600" h="21600" fill="none" extrusionOk="0">
              <a:moveTo>
                <a:pt x="13500" y="18900"/>
              </a:moveTo>
              <a:lnTo>
                <a:pt x="16200" y="18900"/>
              </a:lnTo>
              <a:lnTo>
                <a:pt x="16200" y="2700"/>
              </a:lnTo>
            </a:path>
            <a:path w="21600" h="21600" fill="none" extrusionOk="0">
              <a:moveTo>
                <a:pt x="16200" y="18900"/>
              </a:moveTo>
              <a:lnTo>
                <a:pt x="13500" y="21600"/>
              </a:lnTo>
            </a:path>
          </a:pathLst>
        </a:custGeom>
        <a:solidFill>
          <a:schemeClr val="accent3">
            <a:lumMod val="40000"/>
            <a:lumOff val="60000"/>
          </a:schemeClr>
        </a:solidFill>
        <a:ln w="15875">
          <a:solidFill>
            <a:sysClr val="windowText" lastClr="000000"/>
          </a:solidFill>
          <a:miter lim="800000"/>
        </a:ln>
        <a:effectLst>
          <a:outerShdw dist="107763" dir="2700000" algn="ctr" rotWithShape="0">
            <a:srgbClr val="808080"/>
          </a:outerShdw>
        </a:effectLst>
      </xdr:spPr>
      <xdr:txBody>
        <a:bodyPr vertOverflow="clip" wrap="square" lIns="91440" tIns="45720" rIns="91440" bIns="45720" anchor="t" upright="1"/>
        <a:lstStyle/>
        <a:p>
          <a:pPr algn="ctr" rtl="1">
            <a:defRPr sz="1000"/>
          </a:pPr>
          <a:r>
            <a:rPr lang="zh-CN" altLang="en-US" sz="900" b="0" i="0" strike="noStrike">
              <a:solidFill>
                <a:srgbClr val="000000"/>
              </a:solidFill>
              <a:latin typeface="宋体" panose="02010600030101010101" pitchFamily="7" charset="-122"/>
              <a:ea typeface="宋体" panose="02010600030101010101" pitchFamily="7" charset="-122"/>
            </a:rPr>
            <a:t>估值过程结束</a:t>
          </a:r>
        </a:p>
      </xdr:txBody>
    </xdr:sp>
    <xdr:clientData/>
  </xdr:twoCellAnchor>
  <xdr:twoCellAnchor>
    <xdr:from>
      <xdr:col>16</xdr:col>
      <xdr:colOff>28575</xdr:colOff>
      <xdr:row>16</xdr:row>
      <xdr:rowOff>152400</xdr:rowOff>
    </xdr:from>
    <xdr:to>
      <xdr:col>16</xdr:col>
      <xdr:colOff>342900</xdr:colOff>
      <xdr:row>18</xdr:row>
      <xdr:rowOff>19050</xdr:rowOff>
    </xdr:to>
    <xdr:sp macro="" textlink="">
      <xdr:nvSpPr>
        <xdr:cNvPr id="49579" name="AutoShape 85">
          <a:extLst>
            <a:ext uri="{FF2B5EF4-FFF2-40B4-BE49-F238E27FC236}">
              <a16:creationId xmlns:a16="http://schemas.microsoft.com/office/drawing/2014/main" id="{00000000-0008-0000-0200-0000ABC10000}"/>
            </a:ext>
          </a:extLst>
        </xdr:cNvPr>
        <xdr:cNvSpPr>
          <a:spLocks noChangeArrowheads="1"/>
        </xdr:cNvSpPr>
      </xdr:nvSpPr>
      <xdr:spPr>
        <a:xfrm rot="5400000">
          <a:off x="11596370" y="3290570"/>
          <a:ext cx="247650" cy="3143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16</xdr:col>
      <xdr:colOff>9525</xdr:colOff>
      <xdr:row>21</xdr:row>
      <xdr:rowOff>47625</xdr:rowOff>
    </xdr:from>
    <xdr:to>
      <xdr:col>16</xdr:col>
      <xdr:colOff>323850</xdr:colOff>
      <xdr:row>22</xdr:row>
      <xdr:rowOff>104775</xdr:rowOff>
    </xdr:to>
    <xdr:sp macro="" textlink="">
      <xdr:nvSpPr>
        <xdr:cNvPr id="49580" name="AutoShape 86">
          <a:extLst>
            <a:ext uri="{FF2B5EF4-FFF2-40B4-BE49-F238E27FC236}">
              <a16:creationId xmlns:a16="http://schemas.microsoft.com/office/drawing/2014/main" id="{00000000-0008-0000-0200-0000ACC10000}"/>
            </a:ext>
          </a:extLst>
        </xdr:cNvPr>
        <xdr:cNvSpPr>
          <a:spLocks noChangeArrowheads="1"/>
        </xdr:cNvSpPr>
      </xdr:nvSpPr>
      <xdr:spPr>
        <a:xfrm rot="5400000">
          <a:off x="11572875" y="4152900"/>
          <a:ext cx="257175" cy="3143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16</xdr:col>
      <xdr:colOff>19050</xdr:colOff>
      <xdr:row>26</xdr:row>
      <xdr:rowOff>152400</xdr:rowOff>
    </xdr:from>
    <xdr:to>
      <xdr:col>16</xdr:col>
      <xdr:colOff>333375</xdr:colOff>
      <xdr:row>28</xdr:row>
      <xdr:rowOff>9525</xdr:rowOff>
    </xdr:to>
    <xdr:sp macro="" textlink="">
      <xdr:nvSpPr>
        <xdr:cNvPr id="49581" name="AutoShape 87">
          <a:extLst>
            <a:ext uri="{FF2B5EF4-FFF2-40B4-BE49-F238E27FC236}">
              <a16:creationId xmlns:a16="http://schemas.microsoft.com/office/drawing/2014/main" id="{00000000-0008-0000-0200-0000ADC10000}"/>
            </a:ext>
          </a:extLst>
        </xdr:cNvPr>
        <xdr:cNvSpPr>
          <a:spLocks noChangeArrowheads="1"/>
        </xdr:cNvSpPr>
      </xdr:nvSpPr>
      <xdr:spPr>
        <a:xfrm rot="5400000">
          <a:off x="11591925" y="5210175"/>
          <a:ext cx="238125" cy="3143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8</xdr:col>
      <xdr:colOff>590550</xdr:colOff>
      <xdr:row>12</xdr:row>
      <xdr:rowOff>142875</xdr:rowOff>
    </xdr:from>
    <xdr:to>
      <xdr:col>9</xdr:col>
      <xdr:colOff>219075</xdr:colOff>
      <xdr:row>13</xdr:row>
      <xdr:rowOff>190500</xdr:rowOff>
    </xdr:to>
    <xdr:sp macro="" textlink="">
      <xdr:nvSpPr>
        <xdr:cNvPr id="49582" name="AutoShape 70">
          <a:extLst>
            <a:ext uri="{FF2B5EF4-FFF2-40B4-BE49-F238E27FC236}">
              <a16:creationId xmlns:a16="http://schemas.microsoft.com/office/drawing/2014/main" id="{00000000-0008-0000-0200-0000AEC10000}"/>
            </a:ext>
          </a:extLst>
        </xdr:cNvPr>
        <xdr:cNvSpPr>
          <a:spLocks noChangeArrowheads="1"/>
        </xdr:cNvSpPr>
      </xdr:nvSpPr>
      <xdr:spPr>
        <a:xfrm rot="5400000">
          <a:off x="7319645" y="2538095"/>
          <a:ext cx="238125" cy="228600"/>
        </a:xfrm>
        <a:prstGeom prst="notchedRightArrow">
          <a:avLst>
            <a:gd name="adj1" fmla="val 50000"/>
            <a:gd name="adj2" fmla="val 26042"/>
          </a:avLst>
        </a:prstGeom>
        <a:solidFill>
          <a:srgbClr val="D7E4BD"/>
        </a:solidFill>
        <a:ln w="9525">
          <a:solidFill>
            <a:srgbClr val="000000"/>
          </a:solidFill>
          <a:miter lim="800000"/>
        </a:ln>
      </xdr:spPr>
    </xdr:sp>
    <xdr:clientData/>
  </xdr:twoCellAnchor>
  <xdr:twoCellAnchor>
    <xdr:from>
      <xdr:col>8</xdr:col>
      <xdr:colOff>571500</xdr:colOff>
      <xdr:row>35</xdr:row>
      <xdr:rowOff>123825</xdr:rowOff>
    </xdr:from>
    <xdr:to>
      <xdr:col>9</xdr:col>
      <xdr:colOff>247650</xdr:colOff>
      <xdr:row>36</xdr:row>
      <xdr:rowOff>180975</xdr:rowOff>
    </xdr:to>
    <xdr:sp macro="" textlink="">
      <xdr:nvSpPr>
        <xdr:cNvPr id="49583" name="AutoShape 74">
          <a:extLst>
            <a:ext uri="{FF2B5EF4-FFF2-40B4-BE49-F238E27FC236}">
              <a16:creationId xmlns:a16="http://schemas.microsoft.com/office/drawing/2014/main" id="{00000000-0008-0000-0200-0000AFC10000}"/>
            </a:ext>
          </a:extLst>
        </xdr:cNvPr>
        <xdr:cNvSpPr>
          <a:spLocks noChangeArrowheads="1"/>
        </xdr:cNvSpPr>
      </xdr:nvSpPr>
      <xdr:spPr>
        <a:xfrm rot="5400000">
          <a:off x="7319645" y="6957695"/>
          <a:ext cx="247650" cy="2762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16</xdr:col>
      <xdr:colOff>9525</xdr:colOff>
      <xdr:row>31</xdr:row>
      <xdr:rowOff>161925</xdr:rowOff>
    </xdr:from>
    <xdr:to>
      <xdr:col>16</xdr:col>
      <xdr:colOff>323850</xdr:colOff>
      <xdr:row>33</xdr:row>
      <xdr:rowOff>19050</xdr:rowOff>
    </xdr:to>
    <xdr:sp macro="" textlink="">
      <xdr:nvSpPr>
        <xdr:cNvPr id="49584" name="AutoShape 87">
          <a:extLst>
            <a:ext uri="{FF2B5EF4-FFF2-40B4-BE49-F238E27FC236}">
              <a16:creationId xmlns:a16="http://schemas.microsoft.com/office/drawing/2014/main" id="{00000000-0008-0000-0200-0000B0C10000}"/>
            </a:ext>
          </a:extLst>
        </xdr:cNvPr>
        <xdr:cNvSpPr>
          <a:spLocks noChangeArrowheads="1"/>
        </xdr:cNvSpPr>
      </xdr:nvSpPr>
      <xdr:spPr>
        <a:xfrm rot="5400000">
          <a:off x="11582400" y="6191250"/>
          <a:ext cx="238125" cy="3143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xdr:from>
      <xdr:col>16</xdr:col>
      <xdr:colOff>38100</xdr:colOff>
      <xdr:row>35</xdr:row>
      <xdr:rowOff>38100</xdr:rowOff>
    </xdr:from>
    <xdr:to>
      <xdr:col>16</xdr:col>
      <xdr:colOff>352425</xdr:colOff>
      <xdr:row>36</xdr:row>
      <xdr:rowOff>85725</xdr:rowOff>
    </xdr:to>
    <xdr:sp macro="" textlink="">
      <xdr:nvSpPr>
        <xdr:cNvPr id="49585" name="AutoShape 87">
          <a:extLst>
            <a:ext uri="{FF2B5EF4-FFF2-40B4-BE49-F238E27FC236}">
              <a16:creationId xmlns:a16="http://schemas.microsoft.com/office/drawing/2014/main" id="{00000000-0008-0000-0200-0000B1C10000}"/>
            </a:ext>
          </a:extLst>
        </xdr:cNvPr>
        <xdr:cNvSpPr>
          <a:spLocks noChangeArrowheads="1"/>
        </xdr:cNvSpPr>
      </xdr:nvSpPr>
      <xdr:spPr>
        <a:xfrm rot="5400000">
          <a:off x="11610975" y="6848475"/>
          <a:ext cx="238125" cy="314325"/>
        </a:xfrm>
        <a:prstGeom prst="notchedRightArrow">
          <a:avLst>
            <a:gd name="adj1" fmla="val 50000"/>
            <a:gd name="adj2" fmla="val 25000"/>
          </a:avLst>
        </a:prstGeom>
        <a:solidFill>
          <a:srgbClr val="D7E4BD"/>
        </a:solidFill>
        <a:ln w="9525">
          <a:solidFill>
            <a:srgbClr val="000000"/>
          </a:solidFill>
          <a:miter lim="800000"/>
        </a:ln>
      </xdr:spPr>
    </xdr:sp>
    <xdr:clientData/>
  </xdr:twoCellAnchor>
  <xdr:twoCellAnchor editAs="oneCell">
    <xdr:from>
      <xdr:col>0</xdr:col>
      <xdr:colOff>104775</xdr:colOff>
      <xdr:row>0</xdr:row>
      <xdr:rowOff>152400</xdr:rowOff>
    </xdr:from>
    <xdr:to>
      <xdr:col>3</xdr:col>
      <xdr:colOff>114300</xdr:colOff>
      <xdr:row>3</xdr:row>
      <xdr:rowOff>85725</xdr:rowOff>
    </xdr:to>
    <xdr:pic>
      <xdr:nvPicPr>
        <xdr:cNvPr id="34" name="图片 33">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1" cstate="print"/>
        <a:stretch>
          <a:fillRect/>
        </a:stretch>
      </xdr:blipFill>
      <xdr:spPr>
        <a:xfrm>
          <a:off x="104775" y="152400"/>
          <a:ext cx="1352550" cy="504825"/>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1945809</xdr:colOff>
          <xdr:row>1</xdr:row>
          <xdr:rowOff>0</xdr:rowOff>
        </xdr:to>
        <xdr:sp macro="" textlink="">
          <xdr:nvSpPr>
            <xdr:cNvPr id="9279489" name="NavigateCombBox" hidden="1">
              <a:extLst>
                <a:ext uri="{63B3BB69-23CF-44E3-9099-C40C66FF867C}">
                  <a14:compatExt spid="_x0000_s9279489"/>
                </a:ext>
                <a:ext uri="{FF2B5EF4-FFF2-40B4-BE49-F238E27FC236}">
                  <a16:creationId xmlns:a16="http://schemas.microsoft.com/office/drawing/2014/main" id="{00000000-0008-0000-0300-000001988D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5</xdr:col>
      <xdr:colOff>585787</xdr:colOff>
      <xdr:row>56</xdr:row>
      <xdr:rowOff>9526</xdr:rowOff>
    </xdr:from>
    <xdr:to>
      <xdr:col>6</xdr:col>
      <xdr:colOff>862013</xdr:colOff>
      <xdr:row>62</xdr:row>
      <xdr:rowOff>71437</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823393</xdr:colOff>
          <xdr:row>0</xdr:row>
          <xdr:rowOff>251352</xdr:rowOff>
        </xdr:to>
        <xdr:sp macro="" textlink="">
          <xdr:nvSpPr>
            <xdr:cNvPr id="30721" name="NavigateCombBox" hidden="1">
              <a:extLst>
                <a:ext uri="{63B3BB69-23CF-44E3-9099-C40C66FF867C}">
                  <a14:compatExt spid="_x0000_s30721"/>
                </a:ext>
                <a:ext uri="{FF2B5EF4-FFF2-40B4-BE49-F238E27FC236}">
                  <a16:creationId xmlns:a16="http://schemas.microsoft.com/office/drawing/2014/main" id="{00000000-0008-0000-04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2050" name="NavigateCombBox"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2054" name="Button 6" descr="数据回填到预测页"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en-US" sz="900" b="0" i="0" u="none" strike="noStrike" baseline="0">
                  <a:solidFill>
                    <a:srgbClr val="000000"/>
                  </a:solidFill>
                  <a:latin typeface="宋体"/>
                  <a:ea typeface="宋体"/>
                </a:rPr>
                <a:t>数据回填到预测页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0</xdr:colOff>
          <xdr:row>1</xdr:row>
          <xdr:rowOff>0</xdr:rowOff>
        </xdr:to>
        <xdr:sp macro="" textlink="">
          <xdr:nvSpPr>
            <xdr:cNvPr id="2214" name="Button 166" descr="数据回填到预测页" hidden="1">
              <a:extLst>
                <a:ext uri="{63B3BB69-23CF-44E3-9099-C40C66FF867C}">
                  <a14:compatExt spid="_x0000_s2214"/>
                </a:ext>
                <a:ext uri="{FF2B5EF4-FFF2-40B4-BE49-F238E27FC236}">
                  <a16:creationId xmlns:a16="http://schemas.microsoft.com/office/drawing/2014/main" id="{00000000-0008-0000-0600-0000A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en-US" sz="900" b="0" i="0" u="none" strike="noStrike" baseline="0">
                  <a:solidFill>
                    <a:srgbClr val="000000"/>
                  </a:solidFill>
                  <a:latin typeface="宋体"/>
                  <a:ea typeface="宋体"/>
                </a:rPr>
                <a:t>刷新数据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0</xdr:colOff>
          <xdr:row>5</xdr:row>
          <xdr:rowOff>0</xdr:rowOff>
        </xdr:to>
        <xdr:sp macro="" textlink="">
          <xdr:nvSpPr>
            <xdr:cNvPr id="2242" name="营业收入" hidden="1">
              <a:extLst>
                <a:ext uri="{63B3BB69-23CF-44E3-9099-C40C66FF867C}">
                  <a14:compatExt spid="_x0000_s2242"/>
                </a:ext>
                <a:ext uri="{FF2B5EF4-FFF2-40B4-BE49-F238E27FC236}">
                  <a16:creationId xmlns:a16="http://schemas.microsoft.com/office/drawing/2014/main" id="{00000000-0008-0000-0600-0000C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0</xdr:colOff>
          <xdr:row>6</xdr:row>
          <xdr:rowOff>0</xdr:rowOff>
        </xdr:to>
        <xdr:sp macro="" textlink="">
          <xdr:nvSpPr>
            <xdr:cNvPr id="2243" name="营业成本" hidden="1">
              <a:extLst>
                <a:ext uri="{63B3BB69-23CF-44E3-9099-C40C66FF867C}">
                  <a14:compatExt spid="_x0000_s2243"/>
                </a:ext>
                <a:ext uri="{FF2B5EF4-FFF2-40B4-BE49-F238E27FC236}">
                  <a16:creationId xmlns:a16="http://schemas.microsoft.com/office/drawing/2014/main" id="{00000000-0008-0000-0600-0000C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0</xdr:colOff>
          <xdr:row>7</xdr:row>
          <xdr:rowOff>0</xdr:rowOff>
        </xdr:to>
        <xdr:sp macro="" textlink="">
          <xdr:nvSpPr>
            <xdr:cNvPr id="2244" name="营业税金及附加" hidden="1">
              <a:extLst>
                <a:ext uri="{63B3BB69-23CF-44E3-9099-C40C66FF867C}">
                  <a14:compatExt spid="_x0000_s2244"/>
                </a:ext>
                <a:ext uri="{FF2B5EF4-FFF2-40B4-BE49-F238E27FC236}">
                  <a16:creationId xmlns:a16="http://schemas.microsoft.com/office/drawing/2014/main" id="{00000000-0008-0000-0600-0000C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0</xdr:colOff>
          <xdr:row>8</xdr:row>
          <xdr:rowOff>0</xdr:rowOff>
        </xdr:to>
        <xdr:sp macro="" textlink="">
          <xdr:nvSpPr>
            <xdr:cNvPr id="2245" name="销售费用" hidden="1">
              <a:extLst>
                <a:ext uri="{63B3BB69-23CF-44E3-9099-C40C66FF867C}">
                  <a14:compatExt spid="_x0000_s2245"/>
                </a:ext>
                <a:ext uri="{FF2B5EF4-FFF2-40B4-BE49-F238E27FC236}">
                  <a16:creationId xmlns:a16="http://schemas.microsoft.com/office/drawing/2014/main" id="{00000000-0008-0000-0600-0000C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0</xdr:colOff>
          <xdr:row>9</xdr:row>
          <xdr:rowOff>0</xdr:rowOff>
        </xdr:to>
        <xdr:sp macro="" textlink="">
          <xdr:nvSpPr>
            <xdr:cNvPr id="2246" name="管理费用" hidden="1">
              <a:extLst>
                <a:ext uri="{63B3BB69-23CF-44E3-9099-C40C66FF867C}">
                  <a14:compatExt spid="_x0000_s2246"/>
                </a:ext>
                <a:ext uri="{FF2B5EF4-FFF2-40B4-BE49-F238E27FC236}">
                  <a16:creationId xmlns:a16="http://schemas.microsoft.com/office/drawing/2014/main" id="{00000000-0008-0000-0600-0000C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0</xdr:colOff>
          <xdr:row>10</xdr:row>
          <xdr:rowOff>0</xdr:rowOff>
        </xdr:to>
        <xdr:sp macro="" textlink="">
          <xdr:nvSpPr>
            <xdr:cNvPr id="2247" name="其他财务费用" hidden="1">
              <a:extLst>
                <a:ext uri="{63B3BB69-23CF-44E3-9099-C40C66FF867C}">
                  <a14:compatExt spid="_x0000_s2247"/>
                </a:ext>
                <a:ext uri="{FF2B5EF4-FFF2-40B4-BE49-F238E27FC236}">
                  <a16:creationId xmlns:a16="http://schemas.microsoft.com/office/drawing/2014/main" id="{00000000-0008-0000-0600-0000C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0</xdr:colOff>
          <xdr:row>11</xdr:row>
          <xdr:rowOff>0</xdr:rowOff>
        </xdr:to>
        <xdr:sp macro="" textlink="">
          <xdr:nvSpPr>
            <xdr:cNvPr id="2248" name="资产减值损失" hidden="1">
              <a:extLst>
                <a:ext uri="{63B3BB69-23CF-44E3-9099-C40C66FF867C}">
                  <a14:compatExt spid="_x0000_s2248"/>
                </a:ext>
                <a:ext uri="{FF2B5EF4-FFF2-40B4-BE49-F238E27FC236}">
                  <a16:creationId xmlns:a16="http://schemas.microsoft.com/office/drawing/2014/main" id="{00000000-0008-0000-0600-0000C8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0</xdr:colOff>
          <xdr:row>12</xdr:row>
          <xdr:rowOff>0</xdr:rowOff>
        </xdr:to>
        <xdr:sp macro="" textlink="">
          <xdr:nvSpPr>
            <xdr:cNvPr id="2249" name="其他经营性净收益" descr="hello&#10;world&#10;" hidden="1">
              <a:extLst>
                <a:ext uri="{63B3BB69-23CF-44E3-9099-C40C66FF867C}">
                  <a14:compatExt spid="_x0000_s2249"/>
                </a:ext>
                <a:ext uri="{FF2B5EF4-FFF2-40B4-BE49-F238E27FC236}">
                  <a16:creationId xmlns:a16="http://schemas.microsoft.com/office/drawing/2014/main" id="{00000000-0008-0000-0600-0000C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2250" name="所得税率" hidden="1">
              <a:extLst>
                <a:ext uri="{63B3BB69-23CF-44E3-9099-C40C66FF867C}">
                  <a14:compatExt spid="_x0000_s2250"/>
                </a:ext>
                <a:ext uri="{FF2B5EF4-FFF2-40B4-BE49-F238E27FC236}">
                  <a16:creationId xmlns:a16="http://schemas.microsoft.com/office/drawing/2014/main" id="{00000000-0008-0000-0600-0000C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2251" name="公允价值变动收益" hidden="1">
              <a:extLst>
                <a:ext uri="{63B3BB69-23CF-44E3-9099-C40C66FF867C}">
                  <a14:compatExt spid="_x0000_s2251"/>
                </a:ext>
                <a:ext uri="{FF2B5EF4-FFF2-40B4-BE49-F238E27FC236}">
                  <a16:creationId xmlns:a16="http://schemas.microsoft.com/office/drawing/2014/main" id="{00000000-0008-0000-0600-0000CB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2252" name="资产处置收益" hidden="1">
              <a:extLst>
                <a:ext uri="{63B3BB69-23CF-44E3-9099-C40C66FF867C}">
                  <a14:compatExt spid="_x0000_s2252"/>
                </a:ext>
                <a:ext uri="{FF2B5EF4-FFF2-40B4-BE49-F238E27FC236}">
                  <a16:creationId xmlns:a16="http://schemas.microsoft.com/office/drawing/2014/main" id="{00000000-0008-0000-0600-0000C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2253" name="其他非经营性收益" hidden="1">
              <a:extLst>
                <a:ext uri="{63B3BB69-23CF-44E3-9099-C40C66FF867C}">
                  <a14:compatExt spid="_x0000_s2253"/>
                </a:ext>
                <a:ext uri="{FF2B5EF4-FFF2-40B4-BE49-F238E27FC236}">
                  <a16:creationId xmlns:a16="http://schemas.microsoft.com/office/drawing/2014/main" id="{00000000-0008-0000-0600-0000C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2254" name="税收减免或返还" hidden="1">
              <a:extLst>
                <a:ext uri="{63B3BB69-23CF-44E3-9099-C40C66FF867C}">
                  <a14:compatExt spid="_x0000_s2254"/>
                </a:ext>
                <a:ext uri="{FF2B5EF4-FFF2-40B4-BE49-F238E27FC236}">
                  <a16:creationId xmlns:a16="http://schemas.microsoft.com/office/drawing/2014/main" id="{00000000-0008-0000-0600-0000C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0</xdr:colOff>
          <xdr:row>20</xdr:row>
          <xdr:rowOff>0</xdr:rowOff>
        </xdr:to>
        <xdr:sp macro="" textlink="">
          <xdr:nvSpPr>
            <xdr:cNvPr id="2255" name="少数股东损益" hidden="1">
              <a:extLst>
                <a:ext uri="{63B3BB69-23CF-44E3-9099-C40C66FF867C}">
                  <a14:compatExt spid="_x0000_s2255"/>
                </a:ext>
                <a:ext uri="{FF2B5EF4-FFF2-40B4-BE49-F238E27FC236}">
                  <a16:creationId xmlns:a16="http://schemas.microsoft.com/office/drawing/2014/main" id="{00000000-0008-0000-0600-0000C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0</xdr:colOff>
          <xdr:row>21</xdr:row>
          <xdr:rowOff>0</xdr:rowOff>
        </xdr:to>
        <xdr:sp macro="" textlink="">
          <xdr:nvSpPr>
            <xdr:cNvPr id="2256" name="普通股股利" hidden="1">
              <a:extLst>
                <a:ext uri="{63B3BB69-23CF-44E3-9099-C40C66FF867C}">
                  <a14:compatExt spid="_x0000_s2256"/>
                </a:ext>
                <a:ext uri="{FF2B5EF4-FFF2-40B4-BE49-F238E27FC236}">
                  <a16:creationId xmlns:a16="http://schemas.microsoft.com/office/drawing/2014/main" id="{00000000-0008-0000-0600-0000D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0</xdr:colOff>
          <xdr:row>25</xdr:row>
          <xdr:rowOff>0</xdr:rowOff>
        </xdr:to>
        <xdr:sp macro="" textlink="">
          <xdr:nvSpPr>
            <xdr:cNvPr id="2257" name="交易性金融资产" hidden="1">
              <a:extLst>
                <a:ext uri="{63B3BB69-23CF-44E3-9099-C40C66FF867C}">
                  <a14:compatExt spid="_x0000_s2257"/>
                </a:ext>
                <a:ext uri="{FF2B5EF4-FFF2-40B4-BE49-F238E27FC236}">
                  <a16:creationId xmlns:a16="http://schemas.microsoft.com/office/drawing/2014/main" id="{00000000-0008-0000-0600-0000D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0</xdr:colOff>
          <xdr:row>26</xdr:row>
          <xdr:rowOff>0</xdr:rowOff>
        </xdr:to>
        <xdr:sp macro="" textlink="">
          <xdr:nvSpPr>
            <xdr:cNvPr id="2258" name="应收票据及账款" hidden="1">
              <a:extLst>
                <a:ext uri="{63B3BB69-23CF-44E3-9099-C40C66FF867C}">
                  <a14:compatExt spid="_x0000_s2258"/>
                </a:ext>
                <a:ext uri="{FF2B5EF4-FFF2-40B4-BE49-F238E27FC236}">
                  <a16:creationId xmlns:a16="http://schemas.microsoft.com/office/drawing/2014/main" id="{00000000-0008-0000-0600-0000D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0</xdr:colOff>
          <xdr:row>27</xdr:row>
          <xdr:rowOff>0</xdr:rowOff>
        </xdr:to>
        <xdr:sp macro="" textlink="">
          <xdr:nvSpPr>
            <xdr:cNvPr id="2259" name="预付账款" hidden="1">
              <a:extLst>
                <a:ext uri="{63B3BB69-23CF-44E3-9099-C40C66FF867C}">
                  <a14:compatExt spid="_x0000_s2259"/>
                </a:ext>
                <a:ext uri="{FF2B5EF4-FFF2-40B4-BE49-F238E27FC236}">
                  <a16:creationId xmlns:a16="http://schemas.microsoft.com/office/drawing/2014/main" id="{00000000-0008-0000-0600-0000D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3</xdr:col>
          <xdr:colOff>0</xdr:colOff>
          <xdr:row>28</xdr:row>
          <xdr:rowOff>0</xdr:rowOff>
        </xdr:to>
        <xdr:sp macro="" textlink="">
          <xdr:nvSpPr>
            <xdr:cNvPr id="2260" name="其他应收款" hidden="1">
              <a:extLst>
                <a:ext uri="{63B3BB69-23CF-44E3-9099-C40C66FF867C}">
                  <a14:compatExt spid="_x0000_s2260"/>
                </a:ext>
                <a:ext uri="{FF2B5EF4-FFF2-40B4-BE49-F238E27FC236}">
                  <a16:creationId xmlns:a16="http://schemas.microsoft.com/office/drawing/2014/main" id="{00000000-0008-0000-0600-0000D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0</xdr:colOff>
          <xdr:row>29</xdr:row>
          <xdr:rowOff>0</xdr:rowOff>
        </xdr:to>
        <xdr:sp macro="" textlink="">
          <xdr:nvSpPr>
            <xdr:cNvPr id="2261" name="存货" hidden="1">
              <a:extLst>
                <a:ext uri="{63B3BB69-23CF-44E3-9099-C40C66FF867C}">
                  <a14:compatExt spid="_x0000_s2261"/>
                </a:ext>
                <a:ext uri="{FF2B5EF4-FFF2-40B4-BE49-F238E27FC236}">
                  <a16:creationId xmlns:a16="http://schemas.microsoft.com/office/drawing/2014/main" id="{00000000-0008-0000-0600-0000D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0</xdr:colOff>
          <xdr:row>30</xdr:row>
          <xdr:rowOff>0</xdr:rowOff>
        </xdr:to>
        <xdr:sp macro="" textlink="">
          <xdr:nvSpPr>
            <xdr:cNvPr id="2262" name="混业经营金融资产" hidden="1">
              <a:extLst>
                <a:ext uri="{63B3BB69-23CF-44E3-9099-C40C66FF867C}">
                  <a14:compatExt spid="_x0000_s2262"/>
                </a:ext>
                <a:ext uri="{FF2B5EF4-FFF2-40B4-BE49-F238E27FC236}">
                  <a16:creationId xmlns:a16="http://schemas.microsoft.com/office/drawing/2014/main" id="{00000000-0008-0000-0600-0000D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0</xdr:colOff>
          <xdr:row>31</xdr:row>
          <xdr:rowOff>0</xdr:rowOff>
        </xdr:to>
        <xdr:sp macro="" textlink="">
          <xdr:nvSpPr>
            <xdr:cNvPr id="2263" name="其他流动资产" hidden="1">
              <a:extLst>
                <a:ext uri="{63B3BB69-23CF-44E3-9099-C40C66FF867C}">
                  <a14:compatExt spid="_x0000_s2263"/>
                </a:ext>
                <a:ext uri="{FF2B5EF4-FFF2-40B4-BE49-F238E27FC236}">
                  <a16:creationId xmlns:a16="http://schemas.microsoft.com/office/drawing/2014/main" id="{00000000-0008-0000-0600-0000D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3</xdr:col>
          <xdr:colOff>0</xdr:colOff>
          <xdr:row>32</xdr:row>
          <xdr:rowOff>0</xdr:rowOff>
        </xdr:to>
        <xdr:sp macro="" textlink="">
          <xdr:nvSpPr>
            <xdr:cNvPr id="2264" name="长期应收款" hidden="1">
              <a:extLst>
                <a:ext uri="{63B3BB69-23CF-44E3-9099-C40C66FF867C}">
                  <a14:compatExt spid="_x0000_s2264"/>
                </a:ext>
                <a:ext uri="{FF2B5EF4-FFF2-40B4-BE49-F238E27FC236}">
                  <a16:creationId xmlns:a16="http://schemas.microsoft.com/office/drawing/2014/main" id="{00000000-0008-0000-0600-0000D8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0</xdr:colOff>
          <xdr:row>33</xdr:row>
          <xdr:rowOff>0</xdr:rowOff>
        </xdr:to>
        <xdr:sp macro="" textlink="">
          <xdr:nvSpPr>
            <xdr:cNvPr id="2265" name="金融资产投资" hidden="1">
              <a:extLst>
                <a:ext uri="{63B3BB69-23CF-44E3-9099-C40C66FF867C}">
                  <a14:compatExt spid="_x0000_s2265"/>
                </a:ext>
                <a:ext uri="{FF2B5EF4-FFF2-40B4-BE49-F238E27FC236}">
                  <a16:creationId xmlns:a16="http://schemas.microsoft.com/office/drawing/2014/main" id="{00000000-0008-0000-0600-0000D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0</xdr:rowOff>
        </xdr:from>
        <xdr:to>
          <xdr:col>3</xdr:col>
          <xdr:colOff>0</xdr:colOff>
          <xdr:row>34</xdr:row>
          <xdr:rowOff>0</xdr:rowOff>
        </xdr:to>
        <xdr:sp macro="" textlink="">
          <xdr:nvSpPr>
            <xdr:cNvPr id="2266" name="其他非流动资产" hidden="1">
              <a:extLst>
                <a:ext uri="{63B3BB69-23CF-44E3-9099-C40C66FF867C}">
                  <a14:compatExt spid="_x0000_s2266"/>
                </a:ext>
                <a:ext uri="{FF2B5EF4-FFF2-40B4-BE49-F238E27FC236}">
                  <a16:creationId xmlns:a16="http://schemas.microsoft.com/office/drawing/2014/main" id="{00000000-0008-0000-0600-0000D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0</xdr:colOff>
          <xdr:row>37</xdr:row>
          <xdr:rowOff>0</xdr:rowOff>
        </xdr:to>
        <xdr:sp macro="" textlink="">
          <xdr:nvSpPr>
            <xdr:cNvPr id="2267" name="交易性金融负债" hidden="1">
              <a:extLst>
                <a:ext uri="{63B3BB69-23CF-44E3-9099-C40C66FF867C}">
                  <a14:compatExt spid="_x0000_s2267"/>
                </a:ext>
                <a:ext uri="{FF2B5EF4-FFF2-40B4-BE49-F238E27FC236}">
                  <a16:creationId xmlns:a16="http://schemas.microsoft.com/office/drawing/2014/main" id="{00000000-0008-0000-0600-0000DB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3</xdr:col>
          <xdr:colOff>0</xdr:colOff>
          <xdr:row>38</xdr:row>
          <xdr:rowOff>0</xdr:rowOff>
        </xdr:to>
        <xdr:sp macro="" textlink="">
          <xdr:nvSpPr>
            <xdr:cNvPr id="2268" name="应付票据及账款" hidden="1">
              <a:extLst>
                <a:ext uri="{63B3BB69-23CF-44E3-9099-C40C66FF867C}">
                  <a14:compatExt spid="_x0000_s2268"/>
                </a:ext>
                <a:ext uri="{FF2B5EF4-FFF2-40B4-BE49-F238E27FC236}">
                  <a16:creationId xmlns:a16="http://schemas.microsoft.com/office/drawing/2014/main" id="{00000000-0008-0000-0600-0000DC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0</xdr:colOff>
          <xdr:row>39</xdr:row>
          <xdr:rowOff>0</xdr:rowOff>
        </xdr:to>
        <xdr:sp macro="" textlink="">
          <xdr:nvSpPr>
            <xdr:cNvPr id="2269" name="预收账款" hidden="1">
              <a:extLst>
                <a:ext uri="{63B3BB69-23CF-44E3-9099-C40C66FF867C}">
                  <a14:compatExt spid="_x0000_s2269"/>
                </a:ext>
                <a:ext uri="{FF2B5EF4-FFF2-40B4-BE49-F238E27FC236}">
                  <a16:creationId xmlns:a16="http://schemas.microsoft.com/office/drawing/2014/main" id="{00000000-0008-0000-0600-0000DD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0</xdr:rowOff>
        </xdr:from>
        <xdr:to>
          <xdr:col>3</xdr:col>
          <xdr:colOff>0</xdr:colOff>
          <xdr:row>40</xdr:row>
          <xdr:rowOff>0</xdr:rowOff>
        </xdr:to>
        <xdr:sp macro="" textlink="">
          <xdr:nvSpPr>
            <xdr:cNvPr id="2270" name="其他应付款" hidden="1">
              <a:extLst>
                <a:ext uri="{63B3BB69-23CF-44E3-9099-C40C66FF867C}">
                  <a14:compatExt spid="_x0000_s2270"/>
                </a:ext>
                <a:ext uri="{FF2B5EF4-FFF2-40B4-BE49-F238E27FC236}">
                  <a16:creationId xmlns:a16="http://schemas.microsoft.com/office/drawing/2014/main" id="{00000000-0008-0000-0600-0000DE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0</xdr:colOff>
          <xdr:row>41</xdr:row>
          <xdr:rowOff>0</xdr:rowOff>
        </xdr:to>
        <xdr:sp macro="" textlink="">
          <xdr:nvSpPr>
            <xdr:cNvPr id="2271" name="混业经营金融类负债" hidden="1">
              <a:extLst>
                <a:ext uri="{63B3BB69-23CF-44E3-9099-C40C66FF867C}">
                  <a14:compatExt spid="_x0000_s2271"/>
                </a:ext>
                <a:ext uri="{FF2B5EF4-FFF2-40B4-BE49-F238E27FC236}">
                  <a16:creationId xmlns:a16="http://schemas.microsoft.com/office/drawing/2014/main" id="{00000000-0008-0000-0600-0000DF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0</xdr:rowOff>
        </xdr:from>
        <xdr:to>
          <xdr:col>3</xdr:col>
          <xdr:colOff>0</xdr:colOff>
          <xdr:row>42</xdr:row>
          <xdr:rowOff>0</xdr:rowOff>
        </xdr:to>
        <xdr:sp macro="" textlink="">
          <xdr:nvSpPr>
            <xdr:cNvPr id="2272" name="其他流动负债" hidden="1">
              <a:extLst>
                <a:ext uri="{63B3BB69-23CF-44E3-9099-C40C66FF867C}">
                  <a14:compatExt spid="_x0000_s2272"/>
                </a:ext>
                <a:ext uri="{FF2B5EF4-FFF2-40B4-BE49-F238E27FC236}">
                  <a16:creationId xmlns:a16="http://schemas.microsoft.com/office/drawing/2014/main" id="{00000000-0008-0000-0600-0000E0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0</xdr:colOff>
          <xdr:row>43</xdr:row>
          <xdr:rowOff>0</xdr:rowOff>
        </xdr:to>
        <xdr:sp macro="" textlink="">
          <xdr:nvSpPr>
            <xdr:cNvPr id="2273" name="长期应付款" hidden="1">
              <a:extLst>
                <a:ext uri="{63B3BB69-23CF-44E3-9099-C40C66FF867C}">
                  <a14:compatExt spid="_x0000_s2273"/>
                </a:ext>
                <a:ext uri="{FF2B5EF4-FFF2-40B4-BE49-F238E27FC236}">
                  <a16:creationId xmlns:a16="http://schemas.microsoft.com/office/drawing/2014/main" id="{00000000-0008-0000-0600-0000E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xdr:row>
          <xdr:rowOff>0</xdr:rowOff>
        </xdr:from>
        <xdr:to>
          <xdr:col>3</xdr:col>
          <xdr:colOff>0</xdr:colOff>
          <xdr:row>44</xdr:row>
          <xdr:rowOff>0</xdr:rowOff>
        </xdr:to>
        <xdr:sp macro="" textlink="">
          <xdr:nvSpPr>
            <xdr:cNvPr id="2274" name="专项应付款" hidden="1">
              <a:extLst>
                <a:ext uri="{63B3BB69-23CF-44E3-9099-C40C66FF867C}">
                  <a14:compatExt spid="_x0000_s2274"/>
                </a:ext>
                <a:ext uri="{FF2B5EF4-FFF2-40B4-BE49-F238E27FC236}">
                  <a16:creationId xmlns:a16="http://schemas.microsoft.com/office/drawing/2014/main" id="{00000000-0008-0000-0600-0000E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0</xdr:colOff>
          <xdr:row>45</xdr:row>
          <xdr:rowOff>0</xdr:rowOff>
        </xdr:to>
        <xdr:sp macro="" textlink="">
          <xdr:nvSpPr>
            <xdr:cNvPr id="2275" name="预计负债" hidden="1">
              <a:extLst>
                <a:ext uri="{63B3BB69-23CF-44E3-9099-C40C66FF867C}">
                  <a14:compatExt spid="_x0000_s2275"/>
                </a:ext>
                <a:ext uri="{FF2B5EF4-FFF2-40B4-BE49-F238E27FC236}">
                  <a16:creationId xmlns:a16="http://schemas.microsoft.com/office/drawing/2014/main" id="{00000000-0008-0000-0600-0000E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3</xdr:col>
          <xdr:colOff>0</xdr:colOff>
          <xdr:row>46</xdr:row>
          <xdr:rowOff>0</xdr:rowOff>
        </xdr:to>
        <xdr:sp macro="" textlink="">
          <xdr:nvSpPr>
            <xdr:cNvPr id="2276" name="其他非流动负债" hidden="1">
              <a:extLst>
                <a:ext uri="{63B3BB69-23CF-44E3-9099-C40C66FF867C}">
                  <a14:compatExt spid="_x0000_s2276"/>
                </a:ext>
                <a:ext uri="{FF2B5EF4-FFF2-40B4-BE49-F238E27FC236}">
                  <a16:creationId xmlns:a16="http://schemas.microsoft.com/office/drawing/2014/main" id="{00000000-0008-0000-0600-0000E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0</xdr:rowOff>
        </xdr:from>
        <xdr:to>
          <xdr:col>3</xdr:col>
          <xdr:colOff>0</xdr:colOff>
          <xdr:row>48</xdr:row>
          <xdr:rowOff>0</xdr:rowOff>
        </xdr:to>
        <xdr:sp macro="" textlink="">
          <xdr:nvSpPr>
            <xdr:cNvPr id="2277" name="新增其他资本公积" hidden="1">
              <a:extLst>
                <a:ext uri="{63B3BB69-23CF-44E3-9099-C40C66FF867C}">
                  <a14:compatExt spid="_x0000_s2277"/>
                </a:ext>
                <a:ext uri="{FF2B5EF4-FFF2-40B4-BE49-F238E27FC236}">
                  <a16:creationId xmlns:a16="http://schemas.microsoft.com/office/drawing/2014/main" id="{00000000-0008-0000-0600-0000E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39003</xdr:colOff>
          <xdr:row>0</xdr:row>
          <xdr:rowOff>21668</xdr:rowOff>
        </xdr:from>
        <xdr:to>
          <xdr:col>1</xdr:col>
          <xdr:colOff>0</xdr:colOff>
          <xdr:row>1</xdr:row>
          <xdr:rowOff>0</xdr:rowOff>
        </xdr:to>
        <xdr:sp macro="" textlink="">
          <xdr:nvSpPr>
            <xdr:cNvPr id="3074" name="Drop Dow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797391</xdr:colOff>
          <xdr:row>1</xdr:row>
          <xdr:rowOff>0</xdr:rowOff>
        </xdr:to>
        <xdr:sp macro="" textlink="">
          <xdr:nvSpPr>
            <xdr:cNvPr id="3093" name="NavigateCombBox" hidden="1">
              <a:extLst>
                <a:ext uri="{63B3BB69-23CF-44E3-9099-C40C66FF867C}">
                  <a14:compatExt spid="_x0000_s3093"/>
                </a:ext>
                <a:ext uri="{FF2B5EF4-FFF2-40B4-BE49-F238E27FC236}">
                  <a16:creationId xmlns:a16="http://schemas.microsoft.com/office/drawing/2014/main" id="{00000000-0008-0000-0700-000015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364027</xdr:colOff>
          <xdr:row>1</xdr:row>
          <xdr:rowOff>60671</xdr:rowOff>
        </xdr:to>
        <xdr:sp macro="" textlink="">
          <xdr:nvSpPr>
            <xdr:cNvPr id="4097" name="NavigateCombBox"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936068</xdr:colOff>
          <xdr:row>1</xdr:row>
          <xdr:rowOff>0</xdr:rowOff>
        </xdr:to>
        <xdr:sp macro="" textlink="">
          <xdr:nvSpPr>
            <xdr:cNvPr id="5121" name="NavigateCombBox" hidden="1">
              <a:extLst>
                <a:ext uri="{63B3BB69-23CF-44E3-9099-C40C66FF867C}">
                  <a14:compatExt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0</xdr:colOff>
          <xdr:row>8</xdr:row>
          <xdr:rowOff>0</xdr:rowOff>
        </xdr:to>
        <xdr:sp macro="" textlink="">
          <xdr:nvSpPr>
            <xdr:cNvPr id="5168" name="营业收入" hidden="1">
              <a:extLst>
                <a:ext uri="{63B3BB69-23CF-44E3-9099-C40C66FF867C}">
                  <a14:compatExt spid="_x0000_s5168"/>
                </a:ext>
                <a:ext uri="{FF2B5EF4-FFF2-40B4-BE49-F238E27FC236}">
                  <a16:creationId xmlns:a16="http://schemas.microsoft.com/office/drawing/2014/main" id="{00000000-0008-0000-0900-000030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0</xdr:colOff>
          <xdr:row>10</xdr:row>
          <xdr:rowOff>0</xdr:rowOff>
        </xdr:to>
        <xdr:sp macro="" textlink="">
          <xdr:nvSpPr>
            <xdr:cNvPr id="5169" name="营业成本" hidden="1">
              <a:extLst>
                <a:ext uri="{63B3BB69-23CF-44E3-9099-C40C66FF867C}">
                  <a14:compatExt spid="_x0000_s5169"/>
                </a:ext>
                <a:ext uri="{FF2B5EF4-FFF2-40B4-BE49-F238E27FC236}">
                  <a16:creationId xmlns:a16="http://schemas.microsoft.com/office/drawing/2014/main" id="{00000000-0008-0000-0900-000031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0</xdr:colOff>
          <xdr:row>12</xdr:row>
          <xdr:rowOff>0</xdr:rowOff>
        </xdr:to>
        <xdr:sp macro="" textlink="">
          <xdr:nvSpPr>
            <xdr:cNvPr id="5170" name="营业税金及附加" hidden="1">
              <a:extLst>
                <a:ext uri="{63B3BB69-23CF-44E3-9099-C40C66FF867C}">
                  <a14:compatExt spid="_x0000_s5170"/>
                </a:ext>
                <a:ext uri="{FF2B5EF4-FFF2-40B4-BE49-F238E27FC236}">
                  <a16:creationId xmlns:a16="http://schemas.microsoft.com/office/drawing/2014/main" id="{00000000-0008-0000-0900-000032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xdr:colOff>
          <xdr:row>12</xdr:row>
          <xdr:rowOff>182013</xdr:rowOff>
        </xdr:from>
        <xdr:to>
          <xdr:col>3</xdr:col>
          <xdr:colOff>8667</xdr:colOff>
          <xdr:row>14</xdr:row>
          <xdr:rowOff>39003</xdr:rowOff>
        </xdr:to>
        <xdr:sp macro="" textlink="">
          <xdr:nvSpPr>
            <xdr:cNvPr id="5171" name="销售费用" hidden="1">
              <a:extLst>
                <a:ext uri="{63B3BB69-23CF-44E3-9099-C40C66FF867C}">
                  <a14:compatExt spid="_x0000_s5171"/>
                </a:ext>
                <a:ext uri="{FF2B5EF4-FFF2-40B4-BE49-F238E27FC236}">
                  <a16:creationId xmlns:a16="http://schemas.microsoft.com/office/drawing/2014/main" id="{00000000-0008-0000-0900-000033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182013</xdr:rowOff>
        </xdr:from>
        <xdr:to>
          <xdr:col>3</xdr:col>
          <xdr:colOff>0</xdr:colOff>
          <xdr:row>16</xdr:row>
          <xdr:rowOff>0</xdr:rowOff>
        </xdr:to>
        <xdr:sp macro="" textlink="">
          <xdr:nvSpPr>
            <xdr:cNvPr id="5172" name="管理费用" hidden="1">
              <a:extLst>
                <a:ext uri="{63B3BB69-23CF-44E3-9099-C40C66FF867C}">
                  <a14:compatExt spid="_x0000_s5172"/>
                </a:ext>
                <a:ext uri="{FF2B5EF4-FFF2-40B4-BE49-F238E27FC236}">
                  <a16:creationId xmlns:a16="http://schemas.microsoft.com/office/drawing/2014/main" id="{00000000-0008-0000-0900-000034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5173" name="其他财务费用" hidden="1">
              <a:extLst>
                <a:ext uri="{63B3BB69-23CF-44E3-9099-C40C66FF867C}">
                  <a14:compatExt spid="_x0000_s5173"/>
                </a:ext>
                <a:ext uri="{FF2B5EF4-FFF2-40B4-BE49-F238E27FC236}">
                  <a16:creationId xmlns:a16="http://schemas.microsoft.com/office/drawing/2014/main" id="{00000000-0008-0000-0900-000035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0</xdr:colOff>
          <xdr:row>20</xdr:row>
          <xdr:rowOff>0</xdr:rowOff>
        </xdr:to>
        <xdr:sp macro="" textlink="">
          <xdr:nvSpPr>
            <xdr:cNvPr id="5174" name="资产减值损失" hidden="1">
              <a:extLst>
                <a:ext uri="{63B3BB69-23CF-44E3-9099-C40C66FF867C}">
                  <a14:compatExt spid="_x0000_s5174"/>
                </a:ext>
                <a:ext uri="{FF2B5EF4-FFF2-40B4-BE49-F238E27FC236}">
                  <a16:creationId xmlns:a16="http://schemas.microsoft.com/office/drawing/2014/main" id="{00000000-0008-0000-0900-00003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0</xdr:colOff>
          <xdr:row>21</xdr:row>
          <xdr:rowOff>0</xdr:rowOff>
        </xdr:to>
        <xdr:sp macro="" textlink="">
          <xdr:nvSpPr>
            <xdr:cNvPr id="5175" name="其他经营性净收益" hidden="1">
              <a:extLst>
                <a:ext uri="{63B3BB69-23CF-44E3-9099-C40C66FF867C}">
                  <a14:compatExt spid="_x0000_s5175"/>
                </a:ext>
                <a:ext uri="{FF2B5EF4-FFF2-40B4-BE49-F238E27FC236}">
                  <a16:creationId xmlns:a16="http://schemas.microsoft.com/office/drawing/2014/main" id="{00000000-0008-0000-0900-000037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0</xdr:colOff>
          <xdr:row>25</xdr:row>
          <xdr:rowOff>0</xdr:rowOff>
        </xdr:to>
        <xdr:sp macro="" textlink="">
          <xdr:nvSpPr>
            <xdr:cNvPr id="5176" name="所得税率" hidden="1">
              <a:extLst>
                <a:ext uri="{63B3BB69-23CF-44E3-9099-C40C66FF867C}">
                  <a14:compatExt spid="_x0000_s5176"/>
                </a:ext>
                <a:ext uri="{FF2B5EF4-FFF2-40B4-BE49-F238E27FC236}">
                  <a16:creationId xmlns:a16="http://schemas.microsoft.com/office/drawing/2014/main" id="{00000000-0008-0000-0900-000038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3</xdr:col>
          <xdr:colOff>0</xdr:colOff>
          <xdr:row>32</xdr:row>
          <xdr:rowOff>0</xdr:rowOff>
        </xdr:to>
        <xdr:sp macro="" textlink="">
          <xdr:nvSpPr>
            <xdr:cNvPr id="5177" name="公允价值变动收益" hidden="1">
              <a:extLst>
                <a:ext uri="{63B3BB69-23CF-44E3-9099-C40C66FF867C}">
                  <a14:compatExt spid="_x0000_s5177"/>
                </a:ext>
                <a:ext uri="{FF2B5EF4-FFF2-40B4-BE49-F238E27FC236}">
                  <a16:creationId xmlns:a16="http://schemas.microsoft.com/office/drawing/2014/main" id="{00000000-0008-0000-0900-000039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0</xdr:rowOff>
        </xdr:from>
        <xdr:to>
          <xdr:col>3</xdr:col>
          <xdr:colOff>0</xdr:colOff>
          <xdr:row>34</xdr:row>
          <xdr:rowOff>8667</xdr:rowOff>
        </xdr:to>
        <xdr:sp macro="" textlink="">
          <xdr:nvSpPr>
            <xdr:cNvPr id="5178" name="资产处置收益" hidden="1">
              <a:extLst>
                <a:ext uri="{63B3BB69-23CF-44E3-9099-C40C66FF867C}">
                  <a14:compatExt spid="_x0000_s5178"/>
                </a:ext>
                <a:ext uri="{FF2B5EF4-FFF2-40B4-BE49-F238E27FC236}">
                  <a16:creationId xmlns:a16="http://schemas.microsoft.com/office/drawing/2014/main" id="{00000000-0008-0000-0900-00003A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0</xdr:colOff>
          <xdr:row>35</xdr:row>
          <xdr:rowOff>30336</xdr:rowOff>
        </xdr:to>
        <xdr:sp macro="" textlink="">
          <xdr:nvSpPr>
            <xdr:cNvPr id="5179" name="其他非经营性收益" hidden="1">
              <a:extLst>
                <a:ext uri="{63B3BB69-23CF-44E3-9099-C40C66FF867C}">
                  <a14:compatExt spid="_x0000_s5179"/>
                </a:ext>
                <a:ext uri="{FF2B5EF4-FFF2-40B4-BE49-F238E27FC236}">
                  <a16:creationId xmlns:a16="http://schemas.microsoft.com/office/drawing/2014/main" id="{00000000-0008-0000-0900-00003B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3</xdr:col>
          <xdr:colOff>0</xdr:colOff>
          <xdr:row>38</xdr:row>
          <xdr:rowOff>60671</xdr:rowOff>
        </xdr:to>
        <xdr:sp macro="" textlink="">
          <xdr:nvSpPr>
            <xdr:cNvPr id="5180" name="税收减免或返还" hidden="1">
              <a:extLst>
                <a:ext uri="{63B3BB69-23CF-44E3-9099-C40C66FF867C}">
                  <a14:compatExt spid="_x0000_s5180"/>
                </a:ext>
                <a:ext uri="{FF2B5EF4-FFF2-40B4-BE49-F238E27FC236}">
                  <a16:creationId xmlns:a16="http://schemas.microsoft.com/office/drawing/2014/main" id="{00000000-0008-0000-0900-00003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xdr:colOff>
          <xdr:row>43</xdr:row>
          <xdr:rowOff>0</xdr:rowOff>
        </xdr:from>
        <xdr:to>
          <xdr:col>3</xdr:col>
          <xdr:colOff>8667</xdr:colOff>
          <xdr:row>44</xdr:row>
          <xdr:rowOff>21668</xdr:rowOff>
        </xdr:to>
        <xdr:sp macro="" textlink="">
          <xdr:nvSpPr>
            <xdr:cNvPr id="5181" name="少数股东损益" hidden="1">
              <a:extLst>
                <a:ext uri="{63B3BB69-23CF-44E3-9099-C40C66FF867C}">
                  <a14:compatExt spid="_x0000_s5181"/>
                </a:ext>
                <a:ext uri="{FF2B5EF4-FFF2-40B4-BE49-F238E27FC236}">
                  <a16:creationId xmlns:a16="http://schemas.microsoft.com/office/drawing/2014/main" id="{00000000-0008-0000-0900-00003D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0</xdr:colOff>
          <xdr:row>47</xdr:row>
          <xdr:rowOff>21668</xdr:rowOff>
        </xdr:to>
        <xdr:sp macro="" textlink="">
          <xdr:nvSpPr>
            <xdr:cNvPr id="5182" name="普通股股利" hidden="1">
              <a:extLst>
                <a:ext uri="{63B3BB69-23CF-44E3-9099-C40C66FF867C}">
                  <a14:compatExt spid="_x0000_s5182"/>
                </a:ext>
                <a:ext uri="{FF2B5EF4-FFF2-40B4-BE49-F238E27FC236}">
                  <a16:creationId xmlns:a16="http://schemas.microsoft.com/office/drawing/2014/main" id="{00000000-0008-0000-0900-00003E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21668</xdr:colOff>
          <xdr:row>0</xdr:row>
          <xdr:rowOff>8667</xdr:rowOff>
        </xdr:from>
        <xdr:to>
          <xdr:col>1</xdr:col>
          <xdr:colOff>1404102</xdr:colOff>
          <xdr:row>1</xdr:row>
          <xdr:rowOff>8667</xdr:rowOff>
        </xdr:to>
        <xdr:sp macro="" textlink="">
          <xdr:nvSpPr>
            <xdr:cNvPr id="7169" name="NavigateCombBox"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0</xdr:colOff>
          <xdr:row>8</xdr:row>
          <xdr:rowOff>0</xdr:rowOff>
        </xdr:to>
        <xdr:sp macro="" textlink="">
          <xdr:nvSpPr>
            <xdr:cNvPr id="6441048" name="交易性金融资产" hidden="1">
              <a:extLst>
                <a:ext uri="{63B3BB69-23CF-44E3-9099-C40C66FF867C}">
                  <a14:compatExt spid="_x0000_s6441048"/>
                </a:ext>
                <a:ext uri="{FF2B5EF4-FFF2-40B4-BE49-F238E27FC236}">
                  <a16:creationId xmlns:a16="http://schemas.microsoft.com/office/drawing/2014/main" id="{00000000-0008-0000-0A00-000058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3</xdr:col>
          <xdr:colOff>0</xdr:colOff>
          <xdr:row>10</xdr:row>
          <xdr:rowOff>0</xdr:rowOff>
        </xdr:to>
        <xdr:sp macro="" textlink="">
          <xdr:nvSpPr>
            <xdr:cNvPr id="6441049" name="应收票据及账款" hidden="1">
              <a:extLst>
                <a:ext uri="{63B3BB69-23CF-44E3-9099-C40C66FF867C}">
                  <a14:compatExt spid="_x0000_s6441049"/>
                </a:ext>
                <a:ext uri="{FF2B5EF4-FFF2-40B4-BE49-F238E27FC236}">
                  <a16:creationId xmlns:a16="http://schemas.microsoft.com/office/drawing/2014/main" id="{00000000-0008-0000-0A00-000059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8667</xdr:colOff>
          <xdr:row>11</xdr:row>
          <xdr:rowOff>0</xdr:rowOff>
        </xdr:from>
        <xdr:to>
          <xdr:col>3</xdr:col>
          <xdr:colOff>8667</xdr:colOff>
          <xdr:row>12</xdr:row>
          <xdr:rowOff>0</xdr:rowOff>
        </xdr:to>
        <xdr:sp macro="" textlink="">
          <xdr:nvSpPr>
            <xdr:cNvPr id="6441050" name="预付账款" hidden="1">
              <a:extLst>
                <a:ext uri="{63B3BB69-23CF-44E3-9099-C40C66FF867C}">
                  <a14:compatExt spid="_x0000_s6441050"/>
                </a:ext>
                <a:ext uri="{FF2B5EF4-FFF2-40B4-BE49-F238E27FC236}">
                  <a16:creationId xmlns:a16="http://schemas.microsoft.com/office/drawing/2014/main" id="{00000000-0008-0000-0A00-00005A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6441051" name="其他应收款" hidden="1">
              <a:extLst>
                <a:ext uri="{63B3BB69-23CF-44E3-9099-C40C66FF867C}">
                  <a14:compatExt spid="_x0000_s6441051"/>
                </a:ext>
                <a:ext uri="{FF2B5EF4-FFF2-40B4-BE49-F238E27FC236}">
                  <a16:creationId xmlns:a16="http://schemas.microsoft.com/office/drawing/2014/main" id="{00000000-0008-0000-0A00-00005B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6441052" name="混业经营金融资产" hidden="1">
              <a:extLst>
                <a:ext uri="{63B3BB69-23CF-44E3-9099-C40C66FF867C}">
                  <a14:compatExt spid="_x0000_s6441052"/>
                </a:ext>
                <a:ext uri="{FF2B5EF4-FFF2-40B4-BE49-F238E27FC236}">
                  <a16:creationId xmlns:a16="http://schemas.microsoft.com/office/drawing/2014/main" id="{00000000-0008-0000-0A00-00005C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6441053" name="其他流动资产" hidden="1">
              <a:extLst>
                <a:ext uri="{63B3BB69-23CF-44E3-9099-C40C66FF867C}">
                  <a14:compatExt spid="_x0000_s6441053"/>
                </a:ext>
                <a:ext uri="{FF2B5EF4-FFF2-40B4-BE49-F238E27FC236}">
                  <a16:creationId xmlns:a16="http://schemas.microsoft.com/office/drawing/2014/main" id="{00000000-0008-0000-0A00-00005D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0</xdr:colOff>
          <xdr:row>20</xdr:row>
          <xdr:rowOff>0</xdr:rowOff>
        </xdr:to>
        <xdr:sp macro="" textlink="">
          <xdr:nvSpPr>
            <xdr:cNvPr id="6441054" name="长期应收款" hidden="1">
              <a:extLst>
                <a:ext uri="{63B3BB69-23CF-44E3-9099-C40C66FF867C}">
                  <a14:compatExt spid="_x0000_s6441054"/>
                </a:ext>
                <a:ext uri="{FF2B5EF4-FFF2-40B4-BE49-F238E27FC236}">
                  <a16:creationId xmlns:a16="http://schemas.microsoft.com/office/drawing/2014/main" id="{00000000-0008-0000-0A00-00005E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3</xdr:col>
          <xdr:colOff>0</xdr:colOff>
          <xdr:row>28</xdr:row>
          <xdr:rowOff>0</xdr:rowOff>
        </xdr:to>
        <xdr:sp macro="" textlink="">
          <xdr:nvSpPr>
            <xdr:cNvPr id="6441055" name="金融资产投资" hidden="1">
              <a:extLst>
                <a:ext uri="{63B3BB69-23CF-44E3-9099-C40C66FF867C}">
                  <a14:compatExt spid="_x0000_s6441055"/>
                </a:ext>
                <a:ext uri="{FF2B5EF4-FFF2-40B4-BE49-F238E27FC236}">
                  <a16:creationId xmlns:a16="http://schemas.microsoft.com/office/drawing/2014/main" id="{00000000-0008-0000-0A00-00005F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0</xdr:colOff>
          <xdr:row>30</xdr:row>
          <xdr:rowOff>0</xdr:rowOff>
        </xdr:to>
        <xdr:sp macro="" textlink="">
          <xdr:nvSpPr>
            <xdr:cNvPr id="6441056" name="其他非流动资产" hidden="1">
              <a:extLst>
                <a:ext uri="{63B3BB69-23CF-44E3-9099-C40C66FF867C}">
                  <a14:compatExt spid="_x0000_s6441056"/>
                </a:ext>
                <a:ext uri="{FF2B5EF4-FFF2-40B4-BE49-F238E27FC236}">
                  <a16:creationId xmlns:a16="http://schemas.microsoft.com/office/drawing/2014/main" id="{00000000-0008-0000-0A00-000060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0</xdr:colOff>
          <xdr:row>35</xdr:row>
          <xdr:rowOff>0</xdr:rowOff>
        </xdr:to>
        <xdr:sp macro="" textlink="">
          <xdr:nvSpPr>
            <xdr:cNvPr id="6441057" name="交易性金融负债" hidden="1">
              <a:extLst>
                <a:ext uri="{63B3BB69-23CF-44E3-9099-C40C66FF867C}">
                  <a14:compatExt spid="_x0000_s6441057"/>
                </a:ext>
                <a:ext uri="{FF2B5EF4-FFF2-40B4-BE49-F238E27FC236}">
                  <a16:creationId xmlns:a16="http://schemas.microsoft.com/office/drawing/2014/main" id="{00000000-0008-0000-0A00-000061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182013</xdr:rowOff>
        </xdr:from>
        <xdr:to>
          <xdr:col>3</xdr:col>
          <xdr:colOff>0</xdr:colOff>
          <xdr:row>37</xdr:row>
          <xdr:rowOff>0</xdr:rowOff>
        </xdr:to>
        <xdr:sp macro="" textlink="">
          <xdr:nvSpPr>
            <xdr:cNvPr id="6441058" name="应付票据及账款" hidden="1">
              <a:extLst>
                <a:ext uri="{63B3BB69-23CF-44E3-9099-C40C66FF867C}">
                  <a14:compatExt spid="_x0000_s6441058"/>
                </a:ext>
                <a:ext uri="{FF2B5EF4-FFF2-40B4-BE49-F238E27FC236}">
                  <a16:creationId xmlns:a16="http://schemas.microsoft.com/office/drawing/2014/main" id="{00000000-0008-0000-0A00-000062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0</xdr:colOff>
          <xdr:row>39</xdr:row>
          <xdr:rowOff>0</xdr:rowOff>
        </xdr:to>
        <xdr:sp macro="" textlink="">
          <xdr:nvSpPr>
            <xdr:cNvPr id="6441059" name="预收账款" hidden="1">
              <a:extLst>
                <a:ext uri="{63B3BB69-23CF-44E3-9099-C40C66FF867C}">
                  <a14:compatExt spid="_x0000_s6441059"/>
                </a:ext>
                <a:ext uri="{FF2B5EF4-FFF2-40B4-BE49-F238E27FC236}">
                  <a16:creationId xmlns:a16="http://schemas.microsoft.com/office/drawing/2014/main" id="{00000000-0008-0000-0A00-000063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0</xdr:rowOff>
        </xdr:from>
        <xdr:to>
          <xdr:col>3</xdr:col>
          <xdr:colOff>0</xdr:colOff>
          <xdr:row>40</xdr:row>
          <xdr:rowOff>0</xdr:rowOff>
        </xdr:to>
        <xdr:sp macro="" textlink="">
          <xdr:nvSpPr>
            <xdr:cNvPr id="6441060" name="其他应付款" hidden="1">
              <a:extLst>
                <a:ext uri="{63B3BB69-23CF-44E3-9099-C40C66FF867C}">
                  <a14:compatExt spid="_x0000_s6441060"/>
                </a:ext>
                <a:ext uri="{FF2B5EF4-FFF2-40B4-BE49-F238E27FC236}">
                  <a16:creationId xmlns:a16="http://schemas.microsoft.com/office/drawing/2014/main" id="{00000000-0008-0000-0A00-000064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0</xdr:colOff>
          <xdr:row>41</xdr:row>
          <xdr:rowOff>0</xdr:rowOff>
        </xdr:to>
        <xdr:sp macro="" textlink="">
          <xdr:nvSpPr>
            <xdr:cNvPr id="6441061" name="混业经营金融类负债" hidden="1">
              <a:extLst>
                <a:ext uri="{63B3BB69-23CF-44E3-9099-C40C66FF867C}">
                  <a14:compatExt spid="_x0000_s6441061"/>
                </a:ext>
                <a:ext uri="{FF2B5EF4-FFF2-40B4-BE49-F238E27FC236}">
                  <a16:creationId xmlns:a16="http://schemas.microsoft.com/office/drawing/2014/main" id="{00000000-0008-0000-0A00-000065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0</xdr:rowOff>
        </xdr:from>
        <xdr:to>
          <xdr:col>3</xdr:col>
          <xdr:colOff>0</xdr:colOff>
          <xdr:row>42</xdr:row>
          <xdr:rowOff>0</xdr:rowOff>
        </xdr:to>
        <xdr:sp macro="" textlink="">
          <xdr:nvSpPr>
            <xdr:cNvPr id="6441062" name="其他流动负债" hidden="1">
              <a:extLst>
                <a:ext uri="{63B3BB69-23CF-44E3-9099-C40C66FF867C}">
                  <a14:compatExt spid="_x0000_s6441062"/>
                </a:ext>
                <a:ext uri="{FF2B5EF4-FFF2-40B4-BE49-F238E27FC236}">
                  <a16:creationId xmlns:a16="http://schemas.microsoft.com/office/drawing/2014/main" id="{00000000-0008-0000-0A00-000066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0</xdr:colOff>
          <xdr:row>45</xdr:row>
          <xdr:rowOff>0</xdr:rowOff>
        </xdr:to>
        <xdr:sp macro="" textlink="">
          <xdr:nvSpPr>
            <xdr:cNvPr id="6441063" name="长期应付款" hidden="1">
              <a:extLst>
                <a:ext uri="{63B3BB69-23CF-44E3-9099-C40C66FF867C}">
                  <a14:compatExt spid="_x0000_s6441063"/>
                </a:ext>
                <a:ext uri="{FF2B5EF4-FFF2-40B4-BE49-F238E27FC236}">
                  <a16:creationId xmlns:a16="http://schemas.microsoft.com/office/drawing/2014/main" id="{00000000-0008-0000-0A00-000067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3</xdr:col>
          <xdr:colOff>0</xdr:colOff>
          <xdr:row>46</xdr:row>
          <xdr:rowOff>0</xdr:rowOff>
        </xdr:to>
        <xdr:sp macro="" textlink="">
          <xdr:nvSpPr>
            <xdr:cNvPr id="6441064" name="专项应付款" hidden="1">
              <a:extLst>
                <a:ext uri="{63B3BB69-23CF-44E3-9099-C40C66FF867C}">
                  <a14:compatExt spid="_x0000_s6441064"/>
                </a:ext>
                <a:ext uri="{FF2B5EF4-FFF2-40B4-BE49-F238E27FC236}">
                  <a16:creationId xmlns:a16="http://schemas.microsoft.com/office/drawing/2014/main" id="{00000000-0008-0000-0A00-000068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0</xdr:colOff>
          <xdr:row>47</xdr:row>
          <xdr:rowOff>0</xdr:rowOff>
        </xdr:to>
        <xdr:sp macro="" textlink="">
          <xdr:nvSpPr>
            <xdr:cNvPr id="6441065" name="预计负债" hidden="1">
              <a:extLst>
                <a:ext uri="{63B3BB69-23CF-44E3-9099-C40C66FF867C}">
                  <a14:compatExt spid="_x0000_s6441065"/>
                </a:ext>
                <a:ext uri="{FF2B5EF4-FFF2-40B4-BE49-F238E27FC236}">
                  <a16:creationId xmlns:a16="http://schemas.microsoft.com/office/drawing/2014/main" id="{00000000-0008-0000-0A00-000069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0</xdr:rowOff>
        </xdr:from>
        <xdr:to>
          <xdr:col>3</xdr:col>
          <xdr:colOff>0</xdr:colOff>
          <xdr:row>48</xdr:row>
          <xdr:rowOff>0</xdr:rowOff>
        </xdr:to>
        <xdr:sp macro="" textlink="">
          <xdr:nvSpPr>
            <xdr:cNvPr id="6441066" name="其他非流动负债" hidden="1">
              <a:extLst>
                <a:ext uri="{63B3BB69-23CF-44E3-9099-C40C66FF867C}">
                  <a14:compatExt spid="_x0000_s6441066"/>
                </a:ext>
                <a:ext uri="{FF2B5EF4-FFF2-40B4-BE49-F238E27FC236}">
                  <a16:creationId xmlns:a16="http://schemas.microsoft.com/office/drawing/2014/main" id="{00000000-0008-0000-0A00-00006A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0</xdr:colOff>
          <xdr:row>56</xdr:row>
          <xdr:rowOff>0</xdr:rowOff>
        </xdr:to>
        <xdr:sp macro="" textlink="">
          <xdr:nvSpPr>
            <xdr:cNvPr id="6441067" name="新增其他资本公积" hidden="1">
              <a:extLst>
                <a:ext uri="{63B3BB69-23CF-44E3-9099-C40C66FF867C}">
                  <a14:compatExt spid="_x0000_s6441067"/>
                </a:ext>
                <a:ext uri="{FF2B5EF4-FFF2-40B4-BE49-F238E27FC236}">
                  <a16:creationId xmlns:a16="http://schemas.microsoft.com/office/drawing/2014/main" id="{00000000-0008-0000-0A00-00006B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182013</xdr:rowOff>
        </xdr:from>
        <xdr:to>
          <xdr:col>3</xdr:col>
          <xdr:colOff>0</xdr:colOff>
          <xdr:row>16</xdr:row>
          <xdr:rowOff>0</xdr:rowOff>
        </xdr:to>
        <xdr:sp macro="" textlink="">
          <xdr:nvSpPr>
            <xdr:cNvPr id="6441068" name="存货" hidden="1">
              <a:extLst>
                <a:ext uri="{63B3BB69-23CF-44E3-9099-C40C66FF867C}">
                  <a14:compatExt spid="_x0000_s6441068"/>
                </a:ext>
                <a:ext uri="{FF2B5EF4-FFF2-40B4-BE49-F238E27FC236}">
                  <a16:creationId xmlns:a16="http://schemas.microsoft.com/office/drawing/2014/main" id="{00000000-0008-0000-0A00-00006C486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905733</xdr:colOff>
          <xdr:row>1</xdr:row>
          <xdr:rowOff>60671</xdr:rowOff>
        </xdr:to>
        <xdr:sp macro="" textlink="">
          <xdr:nvSpPr>
            <xdr:cNvPr id="8193" name="NavigateCombBox"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0</xdr:colOff>
      <xdr:row>2</xdr:row>
      <xdr:rowOff>57150</xdr:rowOff>
    </xdr:from>
    <xdr:to>
      <xdr:col>10</xdr:col>
      <xdr:colOff>0</xdr:colOff>
      <xdr:row>19</xdr:row>
      <xdr:rowOff>124863</xdr:rowOff>
    </xdr:to>
    <xdr:graphicFrame macro="">
      <xdr:nvGraphicFramePr>
        <xdr:cNvPr id="9720" name="图表 1">
          <a:extLst>
            <a:ext uri="{FF2B5EF4-FFF2-40B4-BE49-F238E27FC236}">
              <a16:creationId xmlns:a16="http://schemas.microsoft.com/office/drawing/2014/main" id="{00000000-0008-0000-0C00-0000F825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1339098</xdr:colOff>
          <xdr:row>1</xdr:row>
          <xdr:rowOff>0</xdr:rowOff>
        </xdr:to>
        <xdr:sp macro="" textlink="">
          <xdr:nvSpPr>
            <xdr:cNvPr id="9217" name="NavigateCombBox" hidden="1">
              <a:extLst>
                <a:ext uri="{63B3BB69-23CF-44E3-9099-C40C66FF867C}">
                  <a14:compatExt spid="_x0000_s9217"/>
                </a:ext>
                <a:ext uri="{FF2B5EF4-FFF2-40B4-BE49-F238E27FC236}">
                  <a16:creationId xmlns:a16="http://schemas.microsoft.com/office/drawing/2014/main" id="{00000000-0008-0000-0C00-000001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99674</xdr:rowOff>
        </xdr:from>
        <xdr:to>
          <xdr:col>2</xdr:col>
          <xdr:colOff>251352</xdr:colOff>
          <xdr:row>7</xdr:row>
          <xdr:rowOff>104008</xdr:rowOff>
        </xdr:to>
        <xdr:sp macro="" textlink="">
          <xdr:nvSpPr>
            <xdr:cNvPr id="9702" name="ListBox1" hidden="1">
              <a:extLst>
                <a:ext uri="{63B3BB69-23CF-44E3-9099-C40C66FF867C}">
                  <a14:compatExt spid="_x0000_s9702"/>
                </a:ext>
                <a:ext uri="{FF2B5EF4-FFF2-40B4-BE49-F238E27FC236}">
                  <a16:creationId xmlns:a16="http://schemas.microsoft.com/office/drawing/2014/main" id="{00000000-0008-0000-0C00-0000E62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39003</xdr:rowOff>
        </xdr:from>
        <xdr:to>
          <xdr:col>2</xdr:col>
          <xdr:colOff>251352</xdr:colOff>
          <xdr:row>18</xdr:row>
          <xdr:rowOff>8667</xdr:rowOff>
        </xdr:to>
        <xdr:sp macro="" textlink="">
          <xdr:nvSpPr>
            <xdr:cNvPr id="9703" name="ListBox2" hidden="1">
              <a:extLst>
                <a:ext uri="{63B3BB69-23CF-44E3-9099-C40C66FF867C}">
                  <a14:compatExt spid="_x0000_s9703"/>
                </a:ext>
                <a:ext uri="{FF2B5EF4-FFF2-40B4-BE49-F238E27FC236}">
                  <a16:creationId xmlns:a16="http://schemas.microsoft.com/office/drawing/2014/main" id="{00000000-0008-0000-0C00-0000E72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99674</xdr:colOff>
          <xdr:row>10</xdr:row>
          <xdr:rowOff>21668</xdr:rowOff>
        </xdr:from>
        <xdr:to>
          <xdr:col>1</xdr:col>
          <xdr:colOff>775723</xdr:colOff>
          <xdr:row>11</xdr:row>
          <xdr:rowOff>130009</xdr:rowOff>
        </xdr:to>
        <xdr:sp macro="" textlink="">
          <xdr:nvSpPr>
            <xdr:cNvPr id="9704" name="CommandButton3" hidden="1">
              <a:extLst>
                <a:ext uri="{63B3BB69-23CF-44E3-9099-C40C66FF867C}">
                  <a14:compatExt spid="_x0000_s9704"/>
                </a:ext>
                <a:ext uri="{FF2B5EF4-FFF2-40B4-BE49-F238E27FC236}">
                  <a16:creationId xmlns:a16="http://schemas.microsoft.com/office/drawing/2014/main" id="{00000000-0008-0000-0C00-0000E82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1057410</xdr:colOff>
          <xdr:row>10</xdr:row>
          <xdr:rowOff>30336</xdr:rowOff>
        </xdr:from>
        <xdr:to>
          <xdr:col>1</xdr:col>
          <xdr:colOff>1763795</xdr:colOff>
          <xdr:row>11</xdr:row>
          <xdr:rowOff>143010</xdr:rowOff>
        </xdr:to>
        <xdr:sp macro="" textlink="">
          <xdr:nvSpPr>
            <xdr:cNvPr id="9705" name="CommandButton2" hidden="1">
              <a:extLst>
                <a:ext uri="{63B3BB69-23CF-44E3-9099-C40C66FF867C}">
                  <a14:compatExt spid="_x0000_s9705"/>
                </a:ext>
                <a:ext uri="{FF2B5EF4-FFF2-40B4-BE49-F238E27FC236}">
                  <a16:creationId xmlns:a16="http://schemas.microsoft.com/office/drawing/2014/main" id="{00000000-0008-0000-0C00-0000E92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173346</xdr:rowOff>
        </xdr:from>
        <xdr:to>
          <xdr:col>2</xdr:col>
          <xdr:colOff>130009</xdr:colOff>
          <xdr:row>3</xdr:row>
          <xdr:rowOff>56337</xdr:rowOff>
        </xdr:to>
        <xdr:sp macro="" textlink="">
          <xdr:nvSpPr>
            <xdr:cNvPr id="9706" name="TextBox1" hidden="1">
              <a:extLst>
                <a:ext uri="{63B3BB69-23CF-44E3-9099-C40C66FF867C}">
                  <a14:compatExt spid="_x0000_s9706"/>
                </a:ext>
                <a:ext uri="{FF2B5EF4-FFF2-40B4-BE49-F238E27FC236}">
                  <a16:creationId xmlns:a16="http://schemas.microsoft.com/office/drawing/2014/main" id="{00000000-0008-0000-0C00-0000EA2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xdr:col>
      <xdr:colOff>200026</xdr:colOff>
      <xdr:row>6</xdr:row>
      <xdr:rowOff>0</xdr:rowOff>
    </xdr:from>
    <xdr:to>
      <xdr:col>3</xdr:col>
      <xdr:colOff>419100</xdr:colOff>
      <xdr:row>6</xdr:row>
      <xdr:rowOff>161924</xdr:rowOff>
    </xdr:to>
    <xdr:sp macro="" textlink="">
      <xdr:nvSpPr>
        <xdr:cNvPr id="2" name="虚尾箭头 1">
          <a:extLst>
            <a:ext uri="{FF2B5EF4-FFF2-40B4-BE49-F238E27FC236}">
              <a16:creationId xmlns:a16="http://schemas.microsoft.com/office/drawing/2014/main" id="{00000000-0008-0000-0D00-000002000000}"/>
            </a:ext>
          </a:extLst>
        </xdr:cNvPr>
        <xdr:cNvSpPr/>
      </xdr:nvSpPr>
      <xdr:spPr>
        <a:xfrm>
          <a:off x="2219325" y="1143000"/>
          <a:ext cx="219075" cy="161290"/>
        </a:xfrm>
        <a:prstGeom prst="stripedRightArrow">
          <a:avLst>
            <a:gd name="adj1" fmla="val 50000"/>
            <a:gd name="adj2" fmla="val 40000"/>
          </a:avLst>
        </a:prstGeom>
        <a:solidFill>
          <a:schemeClr val="accent4">
            <a:lumMod val="20000"/>
            <a:lumOff val="80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CN" altLang="en-US"/>
        </a:p>
      </xdr:txBody>
    </xdr:sp>
    <xdr:clientData/>
  </xdr:twoCellAnchor>
  <xdr:twoCellAnchor>
    <xdr:from>
      <xdr:col>3</xdr:col>
      <xdr:colOff>171450</xdr:colOff>
      <xdr:row>15</xdr:row>
      <xdr:rowOff>152400</xdr:rowOff>
    </xdr:from>
    <xdr:to>
      <xdr:col>3</xdr:col>
      <xdr:colOff>400049</xdr:colOff>
      <xdr:row>16</xdr:row>
      <xdr:rowOff>152399</xdr:rowOff>
    </xdr:to>
    <xdr:sp macro="" textlink="">
      <xdr:nvSpPr>
        <xdr:cNvPr id="8" name="虚尾箭头 7">
          <a:extLst>
            <a:ext uri="{FF2B5EF4-FFF2-40B4-BE49-F238E27FC236}">
              <a16:creationId xmlns:a16="http://schemas.microsoft.com/office/drawing/2014/main" id="{00000000-0008-0000-0D00-000008000000}"/>
            </a:ext>
          </a:extLst>
        </xdr:cNvPr>
        <xdr:cNvSpPr/>
      </xdr:nvSpPr>
      <xdr:spPr>
        <a:xfrm>
          <a:off x="2190750" y="3009900"/>
          <a:ext cx="227965" cy="189865"/>
        </a:xfrm>
        <a:prstGeom prst="stripedRightArrow">
          <a:avLst>
            <a:gd name="adj1" fmla="val 50000"/>
            <a:gd name="adj2" fmla="val 40000"/>
          </a:avLst>
        </a:prstGeom>
        <a:solidFill>
          <a:schemeClr val="accent4">
            <a:lumMod val="20000"/>
            <a:lumOff val="80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CN" altLang="en-US"/>
        </a:p>
      </xdr:txBody>
    </xdr:sp>
    <xdr:clientData/>
  </xdr:twoCellAnchor>
  <xdr:twoCellAnchor>
    <xdr:from>
      <xdr:col>3</xdr:col>
      <xdr:colOff>161925</xdr:colOff>
      <xdr:row>26</xdr:row>
      <xdr:rowOff>57150</xdr:rowOff>
    </xdr:from>
    <xdr:to>
      <xdr:col>3</xdr:col>
      <xdr:colOff>371475</xdr:colOff>
      <xdr:row>27</xdr:row>
      <xdr:rowOff>19050</xdr:rowOff>
    </xdr:to>
    <xdr:sp macro="" textlink="">
      <xdr:nvSpPr>
        <xdr:cNvPr id="9" name="虚尾箭头 8">
          <a:extLst>
            <a:ext uri="{FF2B5EF4-FFF2-40B4-BE49-F238E27FC236}">
              <a16:creationId xmlns:a16="http://schemas.microsoft.com/office/drawing/2014/main" id="{00000000-0008-0000-0D00-000009000000}"/>
            </a:ext>
          </a:extLst>
        </xdr:cNvPr>
        <xdr:cNvSpPr/>
      </xdr:nvSpPr>
      <xdr:spPr>
        <a:xfrm>
          <a:off x="2181225" y="5010150"/>
          <a:ext cx="209550" cy="152400"/>
        </a:xfrm>
        <a:prstGeom prst="stripedRightArrow">
          <a:avLst>
            <a:gd name="adj1" fmla="val 50000"/>
            <a:gd name="adj2" fmla="val 40000"/>
          </a:avLst>
        </a:prstGeom>
        <a:solidFill>
          <a:schemeClr val="accent4">
            <a:lumMod val="20000"/>
            <a:lumOff val="80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CN" altLang="en-US"/>
        </a:p>
      </xdr:txBody>
    </xdr:sp>
    <xdr:clientData/>
  </xdr:twoCellAnchor>
  <xdr:twoCellAnchor>
    <xdr:from>
      <xdr:col>3</xdr:col>
      <xdr:colOff>161925</xdr:colOff>
      <xdr:row>36</xdr:row>
      <xdr:rowOff>38100</xdr:rowOff>
    </xdr:from>
    <xdr:to>
      <xdr:col>3</xdr:col>
      <xdr:colOff>371475</xdr:colOff>
      <xdr:row>37</xdr:row>
      <xdr:rowOff>9525</xdr:rowOff>
    </xdr:to>
    <xdr:sp macro="" textlink="">
      <xdr:nvSpPr>
        <xdr:cNvPr id="10" name="虚尾箭头 9">
          <a:extLst>
            <a:ext uri="{FF2B5EF4-FFF2-40B4-BE49-F238E27FC236}">
              <a16:creationId xmlns:a16="http://schemas.microsoft.com/office/drawing/2014/main" id="{00000000-0008-0000-0D00-00000A000000}"/>
            </a:ext>
          </a:extLst>
        </xdr:cNvPr>
        <xdr:cNvSpPr/>
      </xdr:nvSpPr>
      <xdr:spPr>
        <a:xfrm>
          <a:off x="2181225" y="6896100"/>
          <a:ext cx="209550" cy="161925"/>
        </a:xfrm>
        <a:prstGeom prst="stripedRightArrow">
          <a:avLst>
            <a:gd name="adj1" fmla="val 50000"/>
            <a:gd name="adj2" fmla="val 40000"/>
          </a:avLst>
        </a:prstGeom>
        <a:solidFill>
          <a:schemeClr val="accent4">
            <a:lumMod val="20000"/>
            <a:lumOff val="80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CN" altLang="en-US"/>
        </a:p>
      </xdr:txBody>
    </xdr:sp>
    <xdr:clientData/>
  </xdr:twoCellAnchor>
  <xdr:twoCellAnchor>
    <xdr:from>
      <xdr:col>3</xdr:col>
      <xdr:colOff>219075</xdr:colOff>
      <xdr:row>46</xdr:row>
      <xdr:rowOff>57150</xdr:rowOff>
    </xdr:from>
    <xdr:to>
      <xdr:col>3</xdr:col>
      <xdr:colOff>428625</xdr:colOff>
      <xdr:row>47</xdr:row>
      <xdr:rowOff>19050</xdr:rowOff>
    </xdr:to>
    <xdr:sp macro="" textlink="">
      <xdr:nvSpPr>
        <xdr:cNvPr id="11" name="虚尾箭头 10">
          <a:extLst>
            <a:ext uri="{FF2B5EF4-FFF2-40B4-BE49-F238E27FC236}">
              <a16:creationId xmlns:a16="http://schemas.microsoft.com/office/drawing/2014/main" id="{00000000-0008-0000-0D00-00000B000000}"/>
            </a:ext>
          </a:extLst>
        </xdr:cNvPr>
        <xdr:cNvSpPr/>
      </xdr:nvSpPr>
      <xdr:spPr>
        <a:xfrm>
          <a:off x="2238375" y="8820150"/>
          <a:ext cx="209550" cy="152400"/>
        </a:xfrm>
        <a:prstGeom prst="stripedRightArrow">
          <a:avLst>
            <a:gd name="adj1" fmla="val 50000"/>
            <a:gd name="adj2" fmla="val 40000"/>
          </a:avLst>
        </a:prstGeom>
        <a:solidFill>
          <a:schemeClr val="accent4">
            <a:lumMod val="20000"/>
            <a:lumOff val="80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CN" altLang="en-US"/>
        </a:p>
      </xdr:txBody>
    </xdr:sp>
    <xdr:clientData/>
  </xdr:twoCellAnchor>
  <xdr:twoCellAnchor>
    <xdr:from>
      <xdr:col>0</xdr:col>
      <xdr:colOff>0</xdr:colOff>
      <xdr:row>3</xdr:row>
      <xdr:rowOff>152400</xdr:rowOff>
    </xdr:from>
    <xdr:to>
      <xdr:col>3</xdr:col>
      <xdr:colOff>28575</xdr:colOff>
      <xdr:row>10</xdr:row>
      <xdr:rowOff>161925</xdr:rowOff>
    </xdr:to>
    <xdr:graphicFrame macro="">
      <xdr:nvGraphicFramePr>
        <xdr:cNvPr id="9265535" name="图表 2">
          <a:extLst>
            <a:ext uri="{FF2B5EF4-FFF2-40B4-BE49-F238E27FC236}">
              <a16:creationId xmlns:a16="http://schemas.microsoft.com/office/drawing/2014/main" id="{00000000-0008-0000-0D00-00007F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22</xdr:row>
      <xdr:rowOff>66675</xdr:rowOff>
    </xdr:from>
    <xdr:to>
      <xdr:col>3</xdr:col>
      <xdr:colOff>133350</xdr:colOff>
      <xdr:row>30</xdr:row>
      <xdr:rowOff>57150</xdr:rowOff>
    </xdr:to>
    <xdr:graphicFrame macro="">
      <xdr:nvGraphicFramePr>
        <xdr:cNvPr id="9265536" name="图表 11">
          <a:extLst>
            <a:ext uri="{FF2B5EF4-FFF2-40B4-BE49-F238E27FC236}">
              <a16:creationId xmlns:a16="http://schemas.microsoft.com/office/drawing/2014/main" id="{00000000-0008-0000-0D00-000080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2</xdr:row>
      <xdr:rowOff>133350</xdr:rowOff>
    </xdr:from>
    <xdr:to>
      <xdr:col>3</xdr:col>
      <xdr:colOff>142875</xdr:colOff>
      <xdr:row>10</xdr:row>
      <xdr:rowOff>85725</xdr:rowOff>
    </xdr:to>
    <xdr:graphicFrame macro="">
      <xdr:nvGraphicFramePr>
        <xdr:cNvPr id="9265537" name="图表 12">
          <a:extLst>
            <a:ext uri="{FF2B5EF4-FFF2-40B4-BE49-F238E27FC236}">
              <a16:creationId xmlns:a16="http://schemas.microsoft.com/office/drawing/2014/main" id="{00000000-0008-0000-0D00-000081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38100</xdr:colOff>
      <xdr:row>2</xdr:row>
      <xdr:rowOff>190500</xdr:rowOff>
    </xdr:from>
    <xdr:to>
      <xdr:col>10</xdr:col>
      <xdr:colOff>0</xdr:colOff>
      <xdr:row>10</xdr:row>
      <xdr:rowOff>0</xdr:rowOff>
    </xdr:to>
    <xdr:graphicFrame macro="">
      <xdr:nvGraphicFramePr>
        <xdr:cNvPr id="9265538" name="图表 13">
          <a:extLst>
            <a:ext uri="{FF2B5EF4-FFF2-40B4-BE49-F238E27FC236}">
              <a16:creationId xmlns:a16="http://schemas.microsoft.com/office/drawing/2014/main" id="{00000000-0008-0000-0D00-000082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47625</xdr:colOff>
      <xdr:row>3</xdr:row>
      <xdr:rowOff>0</xdr:rowOff>
    </xdr:from>
    <xdr:to>
      <xdr:col>7</xdr:col>
      <xdr:colOff>38100</xdr:colOff>
      <xdr:row>10</xdr:row>
      <xdr:rowOff>0</xdr:rowOff>
    </xdr:to>
    <xdr:graphicFrame macro="">
      <xdr:nvGraphicFramePr>
        <xdr:cNvPr id="9265539" name="图表 14">
          <a:extLst>
            <a:ext uri="{FF2B5EF4-FFF2-40B4-BE49-F238E27FC236}">
              <a16:creationId xmlns:a16="http://schemas.microsoft.com/office/drawing/2014/main" id="{00000000-0008-0000-0D00-000083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95250</xdr:colOff>
      <xdr:row>3</xdr:row>
      <xdr:rowOff>0</xdr:rowOff>
    </xdr:from>
    <xdr:to>
      <xdr:col>17</xdr:col>
      <xdr:colOff>104775</xdr:colOff>
      <xdr:row>10</xdr:row>
      <xdr:rowOff>0</xdr:rowOff>
    </xdr:to>
    <xdr:graphicFrame macro="">
      <xdr:nvGraphicFramePr>
        <xdr:cNvPr id="9265540" name="图表 15">
          <a:extLst>
            <a:ext uri="{FF2B5EF4-FFF2-40B4-BE49-F238E27FC236}">
              <a16:creationId xmlns:a16="http://schemas.microsoft.com/office/drawing/2014/main" id="{00000000-0008-0000-0D00-000084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2</xdr:row>
      <xdr:rowOff>190500</xdr:rowOff>
    </xdr:from>
    <xdr:to>
      <xdr:col>13</xdr:col>
      <xdr:colOff>95250</xdr:colOff>
      <xdr:row>9</xdr:row>
      <xdr:rowOff>190500</xdr:rowOff>
    </xdr:to>
    <xdr:graphicFrame macro="">
      <xdr:nvGraphicFramePr>
        <xdr:cNvPr id="9265541" name="图表 16">
          <a:extLst>
            <a:ext uri="{FF2B5EF4-FFF2-40B4-BE49-F238E27FC236}">
              <a16:creationId xmlns:a16="http://schemas.microsoft.com/office/drawing/2014/main" id="{00000000-0008-0000-0D00-000085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47625</xdr:colOff>
      <xdr:row>13</xdr:row>
      <xdr:rowOff>19050</xdr:rowOff>
    </xdr:from>
    <xdr:to>
      <xdr:col>3</xdr:col>
      <xdr:colOff>133350</xdr:colOff>
      <xdr:row>20</xdr:row>
      <xdr:rowOff>28575</xdr:rowOff>
    </xdr:to>
    <xdr:graphicFrame macro="">
      <xdr:nvGraphicFramePr>
        <xdr:cNvPr id="9265542" name="图表 17">
          <a:extLst>
            <a:ext uri="{FF2B5EF4-FFF2-40B4-BE49-F238E27FC236}">
              <a16:creationId xmlns:a16="http://schemas.microsoft.com/office/drawing/2014/main" id="{00000000-0008-0000-0D00-000086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590550</xdr:colOff>
      <xdr:row>13</xdr:row>
      <xdr:rowOff>0</xdr:rowOff>
    </xdr:from>
    <xdr:to>
      <xdr:col>13</xdr:col>
      <xdr:colOff>0</xdr:colOff>
      <xdr:row>19</xdr:row>
      <xdr:rowOff>180975</xdr:rowOff>
    </xdr:to>
    <xdr:graphicFrame macro="">
      <xdr:nvGraphicFramePr>
        <xdr:cNvPr id="9265543" name="图表 18">
          <a:extLst>
            <a:ext uri="{FF2B5EF4-FFF2-40B4-BE49-F238E27FC236}">
              <a16:creationId xmlns:a16="http://schemas.microsoft.com/office/drawing/2014/main" id="{00000000-0008-0000-0D00-000087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9525</xdr:colOff>
      <xdr:row>13</xdr:row>
      <xdr:rowOff>0</xdr:rowOff>
    </xdr:from>
    <xdr:to>
      <xdr:col>9</xdr:col>
      <xdr:colOff>581025</xdr:colOff>
      <xdr:row>19</xdr:row>
      <xdr:rowOff>180975</xdr:rowOff>
    </xdr:to>
    <xdr:graphicFrame macro="">
      <xdr:nvGraphicFramePr>
        <xdr:cNvPr id="9265544" name="图表 19">
          <a:extLst>
            <a:ext uri="{FF2B5EF4-FFF2-40B4-BE49-F238E27FC236}">
              <a16:creationId xmlns:a16="http://schemas.microsoft.com/office/drawing/2014/main" id="{00000000-0008-0000-0D00-000088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13</xdr:row>
      <xdr:rowOff>0</xdr:rowOff>
    </xdr:from>
    <xdr:to>
      <xdr:col>15</xdr:col>
      <xdr:colOff>571500</xdr:colOff>
      <xdr:row>19</xdr:row>
      <xdr:rowOff>180975</xdr:rowOff>
    </xdr:to>
    <xdr:graphicFrame macro="">
      <xdr:nvGraphicFramePr>
        <xdr:cNvPr id="9265545" name="图表 20">
          <a:extLst>
            <a:ext uri="{FF2B5EF4-FFF2-40B4-BE49-F238E27FC236}">
              <a16:creationId xmlns:a16="http://schemas.microsoft.com/office/drawing/2014/main" id="{00000000-0008-0000-0D00-000089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571500</xdr:colOff>
      <xdr:row>12</xdr:row>
      <xdr:rowOff>190500</xdr:rowOff>
    </xdr:from>
    <xdr:to>
      <xdr:col>18</xdr:col>
      <xdr:colOff>561975</xdr:colOff>
      <xdr:row>19</xdr:row>
      <xdr:rowOff>180975</xdr:rowOff>
    </xdr:to>
    <xdr:graphicFrame macro="">
      <xdr:nvGraphicFramePr>
        <xdr:cNvPr id="9265546" name="图表 21">
          <a:extLst>
            <a:ext uri="{FF2B5EF4-FFF2-40B4-BE49-F238E27FC236}">
              <a16:creationId xmlns:a16="http://schemas.microsoft.com/office/drawing/2014/main" id="{00000000-0008-0000-0D00-00008A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590550</xdr:colOff>
      <xdr:row>23</xdr:row>
      <xdr:rowOff>9525</xdr:rowOff>
    </xdr:from>
    <xdr:to>
      <xdr:col>12</xdr:col>
      <xdr:colOff>581025</xdr:colOff>
      <xdr:row>30</xdr:row>
      <xdr:rowOff>9525</xdr:rowOff>
    </xdr:to>
    <xdr:graphicFrame macro="">
      <xdr:nvGraphicFramePr>
        <xdr:cNvPr id="9265547" name="图表 22">
          <a:extLst>
            <a:ext uri="{FF2B5EF4-FFF2-40B4-BE49-F238E27FC236}">
              <a16:creationId xmlns:a16="http://schemas.microsoft.com/office/drawing/2014/main" id="{00000000-0008-0000-0D00-00008B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57150</xdr:colOff>
      <xdr:row>32</xdr:row>
      <xdr:rowOff>114300</xdr:rowOff>
    </xdr:from>
    <xdr:to>
      <xdr:col>3</xdr:col>
      <xdr:colOff>142875</xdr:colOff>
      <xdr:row>40</xdr:row>
      <xdr:rowOff>161925</xdr:rowOff>
    </xdr:to>
    <xdr:graphicFrame macro="">
      <xdr:nvGraphicFramePr>
        <xdr:cNvPr id="9265548" name="图表 23">
          <a:extLst>
            <a:ext uri="{FF2B5EF4-FFF2-40B4-BE49-F238E27FC236}">
              <a16:creationId xmlns:a16="http://schemas.microsoft.com/office/drawing/2014/main" id="{00000000-0008-0000-0D00-00008C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581025</xdr:colOff>
      <xdr:row>33</xdr:row>
      <xdr:rowOff>9525</xdr:rowOff>
    </xdr:from>
    <xdr:to>
      <xdr:col>12</xdr:col>
      <xdr:colOff>581025</xdr:colOff>
      <xdr:row>40</xdr:row>
      <xdr:rowOff>0</xdr:rowOff>
    </xdr:to>
    <xdr:graphicFrame macro="">
      <xdr:nvGraphicFramePr>
        <xdr:cNvPr id="9265549" name="图表 24">
          <a:extLst>
            <a:ext uri="{FF2B5EF4-FFF2-40B4-BE49-F238E27FC236}">
              <a16:creationId xmlns:a16="http://schemas.microsoft.com/office/drawing/2014/main" id="{00000000-0008-0000-0D00-00008D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590550</xdr:colOff>
      <xdr:row>33</xdr:row>
      <xdr:rowOff>9525</xdr:rowOff>
    </xdr:from>
    <xdr:to>
      <xdr:col>9</xdr:col>
      <xdr:colOff>590550</xdr:colOff>
      <xdr:row>40</xdr:row>
      <xdr:rowOff>0</xdr:rowOff>
    </xdr:to>
    <xdr:graphicFrame macro="">
      <xdr:nvGraphicFramePr>
        <xdr:cNvPr id="9265550" name="图表 25">
          <a:extLst>
            <a:ext uri="{FF2B5EF4-FFF2-40B4-BE49-F238E27FC236}">
              <a16:creationId xmlns:a16="http://schemas.microsoft.com/office/drawing/2014/main" id="{00000000-0008-0000-0D00-00008E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28575</xdr:colOff>
      <xdr:row>33</xdr:row>
      <xdr:rowOff>9525</xdr:rowOff>
    </xdr:from>
    <xdr:to>
      <xdr:col>7</xdr:col>
      <xdr:colOff>0</xdr:colOff>
      <xdr:row>40</xdr:row>
      <xdr:rowOff>0</xdr:rowOff>
    </xdr:to>
    <xdr:graphicFrame macro="">
      <xdr:nvGraphicFramePr>
        <xdr:cNvPr id="9265551" name="图表 26">
          <a:extLst>
            <a:ext uri="{FF2B5EF4-FFF2-40B4-BE49-F238E27FC236}">
              <a16:creationId xmlns:a16="http://schemas.microsoft.com/office/drawing/2014/main" id="{00000000-0008-0000-0D00-00008F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28575</xdr:colOff>
      <xdr:row>23</xdr:row>
      <xdr:rowOff>9525</xdr:rowOff>
    </xdr:from>
    <xdr:to>
      <xdr:col>6</xdr:col>
      <xdr:colOff>581025</xdr:colOff>
      <xdr:row>30</xdr:row>
      <xdr:rowOff>9525</xdr:rowOff>
    </xdr:to>
    <xdr:graphicFrame macro="">
      <xdr:nvGraphicFramePr>
        <xdr:cNvPr id="9265552" name="图表 27">
          <a:extLst>
            <a:ext uri="{FF2B5EF4-FFF2-40B4-BE49-F238E27FC236}">
              <a16:creationId xmlns:a16="http://schemas.microsoft.com/office/drawing/2014/main" id="{00000000-0008-0000-0D00-000090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581025</xdr:colOff>
      <xdr:row>23</xdr:row>
      <xdr:rowOff>9525</xdr:rowOff>
    </xdr:from>
    <xdr:to>
      <xdr:col>9</xdr:col>
      <xdr:colOff>581025</xdr:colOff>
      <xdr:row>30</xdr:row>
      <xdr:rowOff>9525</xdr:rowOff>
    </xdr:to>
    <xdr:graphicFrame macro="">
      <xdr:nvGraphicFramePr>
        <xdr:cNvPr id="9265553" name="图表 28">
          <a:extLst>
            <a:ext uri="{FF2B5EF4-FFF2-40B4-BE49-F238E27FC236}">
              <a16:creationId xmlns:a16="http://schemas.microsoft.com/office/drawing/2014/main" id="{00000000-0008-0000-0D00-000091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57150</xdr:colOff>
      <xdr:row>42</xdr:row>
      <xdr:rowOff>161925</xdr:rowOff>
    </xdr:from>
    <xdr:to>
      <xdr:col>3</xdr:col>
      <xdr:colOff>152400</xdr:colOff>
      <xdr:row>51</xdr:row>
      <xdr:rowOff>0</xdr:rowOff>
    </xdr:to>
    <xdr:graphicFrame macro="">
      <xdr:nvGraphicFramePr>
        <xdr:cNvPr id="9265554" name="图表 29">
          <a:extLst>
            <a:ext uri="{FF2B5EF4-FFF2-40B4-BE49-F238E27FC236}">
              <a16:creationId xmlns:a16="http://schemas.microsoft.com/office/drawing/2014/main" id="{00000000-0008-0000-0D00-000092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0</xdr:colOff>
      <xdr:row>43</xdr:row>
      <xdr:rowOff>0</xdr:rowOff>
    </xdr:from>
    <xdr:to>
      <xdr:col>7</xdr:col>
      <xdr:colOff>9525</xdr:colOff>
      <xdr:row>49</xdr:row>
      <xdr:rowOff>180975</xdr:rowOff>
    </xdr:to>
    <xdr:graphicFrame macro="">
      <xdr:nvGraphicFramePr>
        <xdr:cNvPr id="9265555" name="图表 30">
          <a:extLst>
            <a:ext uri="{FF2B5EF4-FFF2-40B4-BE49-F238E27FC236}">
              <a16:creationId xmlns:a16="http://schemas.microsoft.com/office/drawing/2014/main" id="{00000000-0008-0000-0D00-000093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9525</xdr:colOff>
      <xdr:row>43</xdr:row>
      <xdr:rowOff>0</xdr:rowOff>
    </xdr:from>
    <xdr:to>
      <xdr:col>10</xdr:col>
      <xdr:colOff>38100</xdr:colOff>
      <xdr:row>49</xdr:row>
      <xdr:rowOff>180975</xdr:rowOff>
    </xdr:to>
    <xdr:graphicFrame macro="">
      <xdr:nvGraphicFramePr>
        <xdr:cNvPr id="9265556" name="图表 31">
          <a:extLst>
            <a:ext uri="{FF2B5EF4-FFF2-40B4-BE49-F238E27FC236}">
              <a16:creationId xmlns:a16="http://schemas.microsoft.com/office/drawing/2014/main" id="{00000000-0008-0000-0D00-000094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38100</xdr:colOff>
      <xdr:row>43</xdr:row>
      <xdr:rowOff>0</xdr:rowOff>
    </xdr:from>
    <xdr:to>
      <xdr:col>12</xdr:col>
      <xdr:colOff>590550</xdr:colOff>
      <xdr:row>49</xdr:row>
      <xdr:rowOff>180975</xdr:rowOff>
    </xdr:to>
    <xdr:graphicFrame macro="">
      <xdr:nvGraphicFramePr>
        <xdr:cNvPr id="9265557" name="图表 32">
          <a:extLst>
            <a:ext uri="{FF2B5EF4-FFF2-40B4-BE49-F238E27FC236}">
              <a16:creationId xmlns:a16="http://schemas.microsoft.com/office/drawing/2014/main" id="{00000000-0008-0000-0D00-000095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xdr:col>
      <xdr:colOff>9525</xdr:colOff>
      <xdr:row>12</xdr:row>
      <xdr:rowOff>171450</xdr:rowOff>
    </xdr:from>
    <xdr:to>
      <xdr:col>6</xdr:col>
      <xdr:colOff>581025</xdr:colOff>
      <xdr:row>19</xdr:row>
      <xdr:rowOff>161925</xdr:rowOff>
    </xdr:to>
    <xdr:graphicFrame macro="">
      <xdr:nvGraphicFramePr>
        <xdr:cNvPr id="9265558" name="图表 33">
          <a:extLst>
            <a:ext uri="{FF2B5EF4-FFF2-40B4-BE49-F238E27FC236}">
              <a16:creationId xmlns:a16="http://schemas.microsoft.com/office/drawing/2014/main" id="{00000000-0008-0000-0D00-000096618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8667</xdr:rowOff>
        </xdr:from>
        <xdr:to>
          <xdr:col>2</xdr:col>
          <xdr:colOff>260019</xdr:colOff>
          <xdr:row>1</xdr:row>
          <xdr:rowOff>39003</xdr:rowOff>
        </xdr:to>
        <xdr:sp macro="" textlink="">
          <xdr:nvSpPr>
            <xdr:cNvPr id="10241" name="NavigateCombBox" hidden="1">
              <a:extLst>
                <a:ext uri="{63B3BB69-23CF-44E3-9099-C40C66FF867C}">
                  <a14:compatExt spid="_x0000_s10241"/>
                </a:ext>
                <a:ext uri="{FF2B5EF4-FFF2-40B4-BE49-F238E27FC236}">
                  <a16:creationId xmlns:a16="http://schemas.microsoft.com/office/drawing/2014/main" id="{00000000-0008-0000-0F00-0000012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199348</xdr:colOff>
          <xdr:row>0</xdr:row>
          <xdr:rowOff>251352</xdr:rowOff>
        </xdr:to>
        <xdr:sp macro="" textlink="">
          <xdr:nvSpPr>
            <xdr:cNvPr id="11265" name="NavigateCombBox" hidden="1">
              <a:extLst>
                <a:ext uri="{63B3BB69-23CF-44E3-9099-C40C66FF867C}">
                  <a14:compatExt spid="_x0000_s11265"/>
                </a:ext>
                <a:ext uri="{FF2B5EF4-FFF2-40B4-BE49-F238E27FC236}">
                  <a16:creationId xmlns:a16="http://schemas.microsoft.com/office/drawing/2014/main" id="{00000000-0008-0000-10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801725</xdr:colOff>
          <xdr:row>1</xdr:row>
          <xdr:rowOff>8667</xdr:rowOff>
        </xdr:to>
        <xdr:sp macro="" textlink="">
          <xdr:nvSpPr>
            <xdr:cNvPr id="14337" name="NavigateCombBox" hidden="1">
              <a:extLst>
                <a:ext uri="{63B3BB69-23CF-44E3-9099-C40C66FF867C}">
                  <a14:compatExt spid="_x0000_s14337"/>
                </a:ext>
                <a:ext uri="{FF2B5EF4-FFF2-40B4-BE49-F238E27FC236}">
                  <a16:creationId xmlns:a16="http://schemas.microsoft.com/office/drawing/2014/main" id="{00000000-0008-0000-1100-000001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8667</xdr:colOff>
          <xdr:row>1</xdr:row>
          <xdr:rowOff>30336</xdr:rowOff>
        </xdr:from>
        <xdr:to>
          <xdr:col>5</xdr:col>
          <xdr:colOff>364027</xdr:colOff>
          <xdr:row>2</xdr:row>
          <xdr:rowOff>8667</xdr:rowOff>
        </xdr:to>
        <xdr:sp macro="" textlink="">
          <xdr:nvSpPr>
            <xdr:cNvPr id="14338" name="CategoryPicker"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21668</xdr:rowOff>
        </xdr:from>
        <xdr:to>
          <xdr:col>7</xdr:col>
          <xdr:colOff>47670</xdr:colOff>
          <xdr:row>2</xdr:row>
          <xdr:rowOff>30336</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1100-000003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宋体"/>
                  <a:ea typeface="宋体"/>
                </a:rPr>
                <a:t>刷新</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3</xdr:col>
          <xdr:colOff>143011</xdr:colOff>
          <xdr:row>1</xdr:row>
          <xdr:rowOff>8667</xdr:rowOff>
        </xdr:to>
        <xdr:sp macro="" textlink="">
          <xdr:nvSpPr>
            <xdr:cNvPr id="12300" name="NavigateCombBox" hidden="1">
              <a:extLst>
                <a:ext uri="{63B3BB69-23CF-44E3-9099-C40C66FF867C}">
                  <a14:compatExt spid="_x0000_s12300"/>
                </a:ext>
                <a:ext uri="{FF2B5EF4-FFF2-40B4-BE49-F238E27FC236}">
                  <a16:creationId xmlns:a16="http://schemas.microsoft.com/office/drawing/2014/main" id="{00000000-0008-0000-1200-00000C3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1945809</xdr:colOff>
          <xdr:row>0</xdr:row>
          <xdr:rowOff>251352</xdr:rowOff>
        </xdr:to>
        <xdr:sp macro="" textlink="">
          <xdr:nvSpPr>
            <xdr:cNvPr id="15361" name="NavigateCombBox"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914400</xdr:colOff>
      <xdr:row>22</xdr:row>
      <xdr:rowOff>66675</xdr:rowOff>
    </xdr:from>
    <xdr:to>
      <xdr:col>15</xdr:col>
      <xdr:colOff>0</xdr:colOff>
      <xdr:row>47</xdr:row>
      <xdr:rowOff>171450</xdr:rowOff>
    </xdr:to>
    <xdr:grpSp>
      <xdr:nvGrpSpPr>
        <xdr:cNvPr id="37" name="GroupShape">
          <a:extLst>
            <a:ext uri="{FF2B5EF4-FFF2-40B4-BE49-F238E27FC236}">
              <a16:creationId xmlns:a16="http://schemas.microsoft.com/office/drawing/2014/main" id="{9F4BE1AE-2C20-4D1F-8507-5193A22CFEC3}"/>
            </a:ext>
          </a:extLst>
        </xdr:cNvPr>
        <xdr:cNvGrpSpPr/>
      </xdr:nvGrpSpPr>
      <xdr:grpSpPr>
        <a:xfrm>
          <a:off x="992406" y="4044965"/>
          <a:ext cx="7618555" cy="4642106"/>
          <a:chOff x="992406" y="4044965"/>
          <a:chExt cx="7618555" cy="4642106"/>
        </a:xfrm>
      </xdr:grpSpPr>
      <xdr:cxnSp macro="">
        <xdr:nvCxnSpPr>
          <xdr:cNvPr id="2078434" name="肘形连接符 2078433">
            <a:extLst>
              <a:ext uri="{FF2B5EF4-FFF2-40B4-BE49-F238E27FC236}">
                <a16:creationId xmlns:a16="http://schemas.microsoft.com/office/drawing/2014/main" id="{00000000-0008-0000-1400-0000E2B61F00}"/>
              </a:ext>
            </a:extLst>
          </xdr:cNvPr>
          <xdr:cNvCxnSpPr>
            <a:stCxn id="20" idx="2"/>
            <a:endCxn id="35" idx="0"/>
          </xdr:cNvCxnSpPr>
        </xdr:nvCxnSpPr>
        <xdr:spPr>
          <a:xfrm rot="5400000">
            <a:off x="1886641" y="7721198"/>
            <a:ext cx="464211" cy="175026"/>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xnSp macro="">
        <xdr:nvCxnSpPr>
          <xdr:cNvPr id="18" name="肘形连接符 17">
            <a:extLst>
              <a:ext uri="{FF2B5EF4-FFF2-40B4-BE49-F238E27FC236}">
                <a16:creationId xmlns:a16="http://schemas.microsoft.com/office/drawing/2014/main" id="{00000000-0008-0000-1400-000012000000}"/>
              </a:ext>
            </a:extLst>
          </xdr:cNvPr>
          <xdr:cNvCxnSpPr/>
        </xdr:nvCxnSpPr>
        <xdr:spPr>
          <a:xfrm rot="16200000" flipH="1">
            <a:off x="2769891" y="6475247"/>
            <a:ext cx="509722" cy="472094"/>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7" name="肘形连接符 26">
            <a:extLst>
              <a:ext uri="{FF2B5EF4-FFF2-40B4-BE49-F238E27FC236}">
                <a16:creationId xmlns:a16="http://schemas.microsoft.com/office/drawing/2014/main" id="{00000000-0008-0000-1400-00001B000000}"/>
              </a:ext>
            </a:extLst>
          </xdr:cNvPr>
          <xdr:cNvCxnSpPr/>
        </xdr:nvCxnSpPr>
        <xdr:spPr>
          <a:xfrm rot="5400000">
            <a:off x="5682269" y="6453707"/>
            <a:ext cx="391393" cy="572213"/>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8" name="肘形连接符 27">
            <a:extLst>
              <a:ext uri="{FF2B5EF4-FFF2-40B4-BE49-F238E27FC236}">
                <a16:creationId xmlns:a16="http://schemas.microsoft.com/office/drawing/2014/main" id="{00000000-0008-0000-1400-00001C000000}"/>
              </a:ext>
            </a:extLst>
          </xdr:cNvPr>
          <xdr:cNvCxnSpPr>
            <a:stCxn id="15" idx="2"/>
            <a:endCxn id="30" idx="0"/>
          </xdr:cNvCxnSpPr>
        </xdr:nvCxnSpPr>
        <xdr:spPr>
          <a:xfrm rot="16200000" flipH="1">
            <a:off x="6631191" y="6079549"/>
            <a:ext cx="382291" cy="1315068"/>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9" name="Rect28">
            <a:extLst>
              <a:ext uri="{FF2B5EF4-FFF2-40B4-BE49-F238E27FC236}">
                <a16:creationId xmlns:a16="http://schemas.microsoft.com/office/drawing/2014/main" id="{00000000-0008-0000-1400-00001D000000}"/>
              </a:ext>
            </a:extLst>
          </xdr:cNvPr>
          <xdr:cNvSpPr/>
        </xdr:nvSpPr>
        <xdr:spPr>
          <a:xfrm>
            <a:off x="5201795" y="6957660"/>
            <a:ext cx="737374" cy="673561"/>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负债总额
</a:t>
            </a:r>
            <a:r>
              <a:rPr lang="en-US" altLang="zh-CN" sz="900" b="0" i="0" u="none" strike="noStrike" baseline="0">
                <a:solidFill>
                  <a:srgbClr val="000000"/>
                </a:solidFill>
                <a:latin typeface="宋体" panose="02010600030101010101" pitchFamily="7" charset="-122"/>
                <a:ea typeface="宋体" panose="02010600030101010101" pitchFamily="7" charset="-122"/>
              </a:rPr>
              <a:t>843740431.42</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30" name="Rect29">
            <a:extLst>
              <a:ext uri="{FF2B5EF4-FFF2-40B4-BE49-F238E27FC236}">
                <a16:creationId xmlns:a16="http://schemas.microsoft.com/office/drawing/2014/main" id="{00000000-0008-0000-1400-00001E000000}"/>
              </a:ext>
            </a:extLst>
          </xdr:cNvPr>
          <xdr:cNvSpPr/>
        </xdr:nvSpPr>
        <xdr:spPr>
          <a:xfrm>
            <a:off x="7168734" y="6948557"/>
            <a:ext cx="726411" cy="673561"/>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资产总额
</a:t>
            </a:r>
            <a:r>
              <a:rPr lang="en-US" altLang="zh-CN" sz="900" b="0" i="0" u="none" strike="noStrike" baseline="0">
                <a:solidFill>
                  <a:srgbClr val="000000"/>
                </a:solidFill>
                <a:latin typeface="宋体" panose="02010600030101010101" pitchFamily="7" charset="-122"/>
                <a:ea typeface="宋体" panose="02010600030101010101" pitchFamily="7" charset="-122"/>
              </a:rPr>
              <a:t>4835047544.01</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31" name="矩形 30">
            <a:extLst>
              <a:ext uri="{FF2B5EF4-FFF2-40B4-BE49-F238E27FC236}">
                <a16:creationId xmlns:a16="http://schemas.microsoft.com/office/drawing/2014/main" id="{00000000-0008-0000-1400-00001F000000}"/>
              </a:ext>
            </a:extLst>
          </xdr:cNvPr>
          <xdr:cNvSpPr/>
        </xdr:nvSpPr>
        <xdr:spPr>
          <a:xfrm>
            <a:off x="6596521" y="7139702"/>
            <a:ext cx="195853" cy="30947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cxnSp macro="">
        <xdr:nvCxnSpPr>
          <xdr:cNvPr id="43" name="肘形连接符 42">
            <a:extLst>
              <a:ext uri="{FF2B5EF4-FFF2-40B4-BE49-F238E27FC236}">
                <a16:creationId xmlns:a16="http://schemas.microsoft.com/office/drawing/2014/main" id="{00000000-0008-0000-1400-00002B000000}"/>
              </a:ext>
            </a:extLst>
          </xdr:cNvPr>
          <xdr:cNvCxnSpPr/>
        </xdr:nvCxnSpPr>
        <xdr:spPr>
          <a:xfrm rot="16200000" flipH="1">
            <a:off x="5677501" y="7493946"/>
            <a:ext cx="382291" cy="614965"/>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肘形连接符 43">
            <a:extLst>
              <a:ext uri="{FF2B5EF4-FFF2-40B4-BE49-F238E27FC236}">
                <a16:creationId xmlns:a16="http://schemas.microsoft.com/office/drawing/2014/main" id="{00000000-0008-0000-1400-00002C000000}"/>
              </a:ext>
            </a:extLst>
          </xdr:cNvPr>
          <xdr:cNvCxnSpPr>
            <a:stCxn id="29" idx="2"/>
            <a:endCxn id="45" idx="0"/>
          </xdr:cNvCxnSpPr>
        </xdr:nvCxnSpPr>
        <xdr:spPr>
          <a:xfrm rot="5400000">
            <a:off x="5073150" y="7521515"/>
            <a:ext cx="391393" cy="604734"/>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5" name="Rect44">
            <a:extLst>
              <a:ext uri="{FF2B5EF4-FFF2-40B4-BE49-F238E27FC236}">
                <a16:creationId xmlns:a16="http://schemas.microsoft.com/office/drawing/2014/main" id="{00000000-0008-0000-1400-00002D000000}"/>
              </a:ext>
            </a:extLst>
          </xdr:cNvPr>
          <xdr:cNvSpPr/>
        </xdr:nvSpPr>
        <xdr:spPr>
          <a:xfrm>
            <a:off x="4703391" y="8022612"/>
            <a:ext cx="514481" cy="64625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流动负债
</a:t>
            </a:r>
            <a:r>
              <a:rPr lang="en-US" altLang="zh-CN" sz="900" b="0" i="0" u="none" strike="noStrike" baseline="0">
                <a:solidFill>
                  <a:srgbClr val="000000"/>
                </a:solidFill>
                <a:latin typeface="宋体" panose="02010600030101010101" pitchFamily="7" charset="-122"/>
                <a:ea typeface="宋体" panose="02010600030101010101" pitchFamily="7" charset="-122"/>
              </a:rPr>
              <a:t>775963137.97</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46" name="Rect45">
            <a:extLst>
              <a:ext uri="{FF2B5EF4-FFF2-40B4-BE49-F238E27FC236}">
                <a16:creationId xmlns:a16="http://schemas.microsoft.com/office/drawing/2014/main" id="{00000000-0008-0000-1400-00002E000000}"/>
              </a:ext>
            </a:extLst>
          </xdr:cNvPr>
          <xdr:cNvSpPr/>
        </xdr:nvSpPr>
        <xdr:spPr>
          <a:xfrm>
            <a:off x="5928207" y="8013510"/>
            <a:ext cx="572213" cy="673561"/>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非流动负债
</a:t>
            </a:r>
            <a:r>
              <a:rPr lang="en-US" altLang="zh-CN" sz="900" b="0" i="0" u="none" strike="noStrike" baseline="0">
                <a:solidFill>
                  <a:srgbClr val="000000"/>
                </a:solidFill>
                <a:latin typeface="宋体" panose="02010600030101010101" pitchFamily="7" charset="-122"/>
                <a:ea typeface="宋体" panose="02010600030101010101" pitchFamily="7" charset="-122"/>
              </a:rPr>
              <a:t>67777293.45</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47" name="矩形 46">
            <a:extLst>
              <a:ext uri="{FF2B5EF4-FFF2-40B4-BE49-F238E27FC236}">
                <a16:creationId xmlns:a16="http://schemas.microsoft.com/office/drawing/2014/main" id="{00000000-0008-0000-1400-00002F000000}"/>
              </a:ext>
            </a:extLst>
          </xdr:cNvPr>
          <xdr:cNvSpPr/>
        </xdr:nvSpPr>
        <xdr:spPr>
          <a:xfrm>
            <a:off x="5461593" y="8213758"/>
            <a:ext cx="190372"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cxnSp macro="">
        <xdr:nvCxnSpPr>
          <xdr:cNvPr id="48" name="肘形连接符 47">
            <a:extLst>
              <a:ext uri="{FF2B5EF4-FFF2-40B4-BE49-F238E27FC236}">
                <a16:creationId xmlns:a16="http://schemas.microsoft.com/office/drawing/2014/main" id="{00000000-0008-0000-1400-000030000000}"/>
              </a:ext>
            </a:extLst>
          </xdr:cNvPr>
          <xdr:cNvCxnSpPr>
            <a:stCxn id="30" idx="2"/>
            <a:endCxn id="50" idx="0"/>
          </xdr:cNvCxnSpPr>
        </xdr:nvCxnSpPr>
        <xdr:spPr>
          <a:xfrm rot="16200000" flipH="1">
            <a:off x="7723366" y="7432470"/>
            <a:ext cx="382291" cy="720931"/>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肘形连接符 48">
            <a:extLst>
              <a:ext uri="{FF2B5EF4-FFF2-40B4-BE49-F238E27FC236}">
                <a16:creationId xmlns:a16="http://schemas.microsoft.com/office/drawing/2014/main" id="{00000000-0008-0000-1400-000031000000}"/>
              </a:ext>
            </a:extLst>
          </xdr:cNvPr>
          <xdr:cNvCxnSpPr/>
        </xdr:nvCxnSpPr>
        <xdr:spPr>
          <a:xfrm rot="5400000">
            <a:off x="7106225" y="7543907"/>
            <a:ext cx="391393" cy="503518"/>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49">
            <a:extLst>
              <a:ext uri="{FF2B5EF4-FFF2-40B4-BE49-F238E27FC236}">
                <a16:creationId xmlns:a16="http://schemas.microsoft.com/office/drawing/2014/main" id="{00000000-0008-0000-1400-000032000000}"/>
              </a:ext>
            </a:extLst>
          </xdr:cNvPr>
          <xdr:cNvSpPr/>
        </xdr:nvSpPr>
        <xdr:spPr>
          <a:xfrm>
            <a:off x="8022305" y="8004409"/>
            <a:ext cx="588656" cy="66445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wrap="square" rtlCol="0" anchor="ctr" anchorCtr="0"/>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非流动资产
</a:t>
            </a:r>
            <a:r>
              <a:rPr lang="en-US" altLang="zh-CN" sz="900" b="0" i="0" u="none" strike="noStrike" baseline="0">
                <a:solidFill>
                  <a:srgbClr val="000000"/>
                </a:solidFill>
                <a:latin typeface="宋体" panose="02010600030101010101" pitchFamily="7" charset="-122"/>
                <a:ea typeface="宋体" panose="02010600030101010101" pitchFamily="7" charset="-122"/>
              </a:rPr>
              <a:t>3075371438.87</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51" name="Rect50">
            <a:extLst>
              <a:ext uri="{FF2B5EF4-FFF2-40B4-BE49-F238E27FC236}">
                <a16:creationId xmlns:a16="http://schemas.microsoft.com/office/drawing/2014/main" id="{00000000-0008-0000-1400-000033000000}"/>
              </a:ext>
            </a:extLst>
          </xdr:cNvPr>
          <xdr:cNvSpPr/>
        </xdr:nvSpPr>
        <xdr:spPr>
          <a:xfrm>
            <a:off x="6755469" y="8013510"/>
            <a:ext cx="551385" cy="66445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流动资产
</a:t>
            </a:r>
            <a:r>
              <a:rPr lang="en-US" altLang="zh-CN" sz="900" b="0" i="0" u="none" strike="noStrike" baseline="0">
                <a:solidFill>
                  <a:srgbClr val="000000"/>
                </a:solidFill>
                <a:latin typeface="宋体" panose="02010600030101010101" pitchFamily="7" charset="-122"/>
                <a:ea typeface="宋体" panose="02010600030101010101" pitchFamily="7" charset="-122"/>
              </a:rPr>
              <a:t>1759676105.14</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52" name="矩形 51">
            <a:extLst>
              <a:ext uri="{FF2B5EF4-FFF2-40B4-BE49-F238E27FC236}">
                <a16:creationId xmlns:a16="http://schemas.microsoft.com/office/drawing/2014/main" id="{00000000-0008-0000-1400-000034000000}"/>
              </a:ext>
            </a:extLst>
          </xdr:cNvPr>
          <xdr:cNvSpPr/>
        </xdr:nvSpPr>
        <xdr:spPr>
          <a:xfrm>
            <a:off x="7587480" y="8195555"/>
            <a:ext cx="195853"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cxnSp macro="">
        <xdr:nvCxnSpPr>
          <xdr:cNvPr id="19" name="肘形连接符 18">
            <a:extLst>
              <a:ext uri="{FF2B5EF4-FFF2-40B4-BE49-F238E27FC236}">
                <a16:creationId xmlns:a16="http://schemas.microsoft.com/office/drawing/2014/main" id="{00000000-0008-0000-1400-000013000000}"/>
              </a:ext>
            </a:extLst>
          </xdr:cNvPr>
          <xdr:cNvCxnSpPr/>
        </xdr:nvCxnSpPr>
        <xdr:spPr>
          <a:xfrm rot="5400000">
            <a:off x="2234566" y="6422124"/>
            <a:ext cx="500619" cy="588656"/>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Rect19">
            <a:extLst>
              <a:ext uri="{FF2B5EF4-FFF2-40B4-BE49-F238E27FC236}">
                <a16:creationId xmlns:a16="http://schemas.microsoft.com/office/drawing/2014/main" id="{00000000-0008-0000-1400-000014000000}"/>
              </a:ext>
            </a:extLst>
          </xdr:cNvPr>
          <xdr:cNvSpPr/>
        </xdr:nvSpPr>
        <xdr:spPr>
          <a:xfrm>
            <a:off x="1936229" y="6957660"/>
            <a:ext cx="561983" cy="61894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净利润
</a:t>
            </a:r>
            <a:r>
              <a:rPr lang="en-US" altLang="zh-CN" sz="900" b="0" i="0" u="none" strike="noStrike" baseline="0">
                <a:solidFill>
                  <a:srgbClr val="000000"/>
                </a:solidFill>
                <a:latin typeface="宋体" panose="02010600030101010101" pitchFamily="7" charset="-122"/>
                <a:ea typeface="宋体" panose="02010600030101010101" pitchFamily="7" charset="-122"/>
              </a:rPr>
              <a:t>102986077.15</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21" name="矩形 20">
            <a:extLst>
              <a:ext uri="{FF2B5EF4-FFF2-40B4-BE49-F238E27FC236}">
                <a16:creationId xmlns:a16="http://schemas.microsoft.com/office/drawing/2014/main" id="{00000000-0008-0000-1400-000015000000}"/>
              </a:ext>
            </a:extLst>
          </xdr:cNvPr>
          <xdr:cNvSpPr/>
        </xdr:nvSpPr>
        <xdr:spPr>
          <a:xfrm>
            <a:off x="2667757" y="7094191"/>
            <a:ext cx="121679"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22" name="Rect21">
            <a:extLst>
              <a:ext uri="{FF2B5EF4-FFF2-40B4-BE49-F238E27FC236}">
                <a16:creationId xmlns:a16="http://schemas.microsoft.com/office/drawing/2014/main" id="{00000000-0008-0000-1400-000016000000}"/>
              </a:ext>
            </a:extLst>
          </xdr:cNvPr>
          <xdr:cNvSpPr/>
        </xdr:nvSpPr>
        <xdr:spPr>
          <a:xfrm>
            <a:off x="2980172" y="6966761"/>
            <a:ext cx="589022" cy="64625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销售收入
</a:t>
            </a:r>
            <a:r>
              <a:rPr lang="en-US" altLang="zh-CN" sz="900" b="0" i="0" u="none" strike="noStrike" baseline="0">
                <a:solidFill>
                  <a:srgbClr val="000000"/>
                </a:solidFill>
                <a:latin typeface="宋体" panose="02010600030101010101" pitchFamily="7" charset="-122"/>
                <a:ea typeface="宋体" panose="02010600030101010101" pitchFamily="7" charset="-122"/>
              </a:rPr>
              <a:t>492009611.88</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cxnSp macro="">
        <xdr:nvCxnSpPr>
          <xdr:cNvPr id="23" name="肘形连接符 22">
            <a:extLst>
              <a:ext uri="{FF2B5EF4-FFF2-40B4-BE49-F238E27FC236}">
                <a16:creationId xmlns:a16="http://schemas.microsoft.com/office/drawing/2014/main" id="{00000000-0008-0000-1400-000017000000}"/>
              </a:ext>
            </a:extLst>
          </xdr:cNvPr>
          <xdr:cNvCxnSpPr/>
        </xdr:nvCxnSpPr>
        <xdr:spPr>
          <a:xfrm rot="16200000" flipH="1">
            <a:off x="3930696" y="6529938"/>
            <a:ext cx="473313" cy="360283"/>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4" name="肘形连接符 23">
            <a:extLst>
              <a:ext uri="{FF2B5EF4-FFF2-40B4-BE49-F238E27FC236}">
                <a16:creationId xmlns:a16="http://schemas.microsoft.com/office/drawing/2014/main" id="{00000000-0008-0000-1400-000018000000}"/>
              </a:ext>
            </a:extLst>
          </xdr:cNvPr>
          <xdr:cNvCxnSpPr/>
        </xdr:nvCxnSpPr>
        <xdr:spPr>
          <a:xfrm rot="5400000">
            <a:off x="3368015" y="6366388"/>
            <a:ext cx="491516" cy="673429"/>
          </a:xfrm>
          <a:prstGeom prst="bentConnector3">
            <a:avLst>
              <a:gd name="adj1" fmla="val 48039"/>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sp macro="" textlink="">
        <xdr:nvSpPr>
          <xdr:cNvPr id="25" name="Rect24">
            <a:extLst>
              <a:ext uri="{FF2B5EF4-FFF2-40B4-BE49-F238E27FC236}">
                <a16:creationId xmlns:a16="http://schemas.microsoft.com/office/drawing/2014/main" id="{00000000-0008-0000-1400-000019000000}"/>
              </a:ext>
            </a:extLst>
          </xdr:cNvPr>
          <xdr:cNvSpPr/>
        </xdr:nvSpPr>
        <xdr:spPr>
          <a:xfrm>
            <a:off x="4072713" y="6948557"/>
            <a:ext cx="567464" cy="66445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平均资产总额
</a:t>
            </a:r>
            <a:r>
              <a:rPr lang="en-US" altLang="zh-CN" sz="900" b="0" i="0" u="none" strike="noStrike" baseline="0">
                <a:solidFill>
                  <a:srgbClr val="000000"/>
                </a:solidFill>
                <a:latin typeface="宋体" panose="02010600030101010101" pitchFamily="7" charset="-122"/>
                <a:ea typeface="宋体" panose="02010600030101010101" pitchFamily="7" charset="-122"/>
              </a:rPr>
              <a:t>4801685591.29</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26" name="矩形 25">
            <a:extLst>
              <a:ext uri="{FF2B5EF4-FFF2-40B4-BE49-F238E27FC236}">
                <a16:creationId xmlns:a16="http://schemas.microsoft.com/office/drawing/2014/main" id="{00000000-0008-0000-1400-00001A000000}"/>
              </a:ext>
            </a:extLst>
          </xdr:cNvPr>
          <xdr:cNvSpPr/>
        </xdr:nvSpPr>
        <xdr:spPr>
          <a:xfrm>
            <a:off x="3839590" y="7139702"/>
            <a:ext cx="158948" cy="30947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cxnSp macro="">
        <xdr:nvCxnSpPr>
          <xdr:cNvPr id="33" name="肘形连接符 32">
            <a:extLst>
              <a:ext uri="{FF2B5EF4-FFF2-40B4-BE49-F238E27FC236}">
                <a16:creationId xmlns:a16="http://schemas.microsoft.com/office/drawing/2014/main" id="{00000000-0008-0000-1400-000021000000}"/>
              </a:ext>
            </a:extLst>
          </xdr:cNvPr>
          <xdr:cNvCxnSpPr/>
        </xdr:nvCxnSpPr>
        <xdr:spPr>
          <a:xfrm rot="5400000">
            <a:off x="1501463" y="7312256"/>
            <a:ext cx="436905" cy="959536"/>
          </a:xfrm>
          <a:prstGeom prst="bentConnector3">
            <a:avLst>
              <a:gd name="adj1" fmla="val 52174"/>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Rect33">
            <a:extLst>
              <a:ext uri="{FF2B5EF4-FFF2-40B4-BE49-F238E27FC236}">
                <a16:creationId xmlns:a16="http://schemas.microsoft.com/office/drawing/2014/main" id="{00000000-0008-0000-1400-000022000000}"/>
              </a:ext>
            </a:extLst>
          </xdr:cNvPr>
          <xdr:cNvSpPr/>
        </xdr:nvSpPr>
        <xdr:spPr>
          <a:xfrm>
            <a:off x="992406" y="8013510"/>
            <a:ext cx="498402" cy="61894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销售收入
</a:t>
            </a:r>
            <a:r>
              <a:rPr lang="en-US" altLang="zh-CN" sz="900" b="0" i="0" u="none" strike="noStrike" baseline="0">
                <a:solidFill>
                  <a:srgbClr val="000000"/>
                </a:solidFill>
                <a:latin typeface="宋体" panose="02010600030101010101" pitchFamily="7" charset="-122"/>
                <a:ea typeface="宋体" panose="02010600030101010101" pitchFamily="7" charset="-122"/>
              </a:rPr>
              <a:t>492009611.88</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35" name="Rect34">
            <a:extLst>
              <a:ext uri="{FF2B5EF4-FFF2-40B4-BE49-F238E27FC236}">
                <a16:creationId xmlns:a16="http://schemas.microsoft.com/office/drawing/2014/main" id="{00000000-0008-0000-1400-000023000000}"/>
              </a:ext>
            </a:extLst>
          </xdr:cNvPr>
          <xdr:cNvSpPr/>
        </xdr:nvSpPr>
        <xdr:spPr>
          <a:xfrm>
            <a:off x="1766320" y="8040817"/>
            <a:ext cx="519597" cy="61894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成本费用
</a:t>
            </a:r>
            <a:r>
              <a:rPr lang="en-US" altLang="zh-CN" sz="900" b="0" i="0" u="none" strike="noStrike" baseline="0">
                <a:solidFill>
                  <a:srgbClr val="000000"/>
                </a:solidFill>
                <a:latin typeface="宋体" panose="02010600030101010101" pitchFamily="7" charset="-122"/>
                <a:ea typeface="宋体" panose="02010600030101010101" pitchFamily="7" charset="-122"/>
              </a:rPr>
              <a:t>408297517.67</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36" name="矩形 35">
            <a:extLst>
              <a:ext uri="{FF2B5EF4-FFF2-40B4-BE49-F238E27FC236}">
                <a16:creationId xmlns:a16="http://schemas.microsoft.com/office/drawing/2014/main" id="{00000000-0008-0000-1400-000024000000}"/>
              </a:ext>
            </a:extLst>
          </xdr:cNvPr>
          <xdr:cNvSpPr/>
        </xdr:nvSpPr>
        <xdr:spPr>
          <a:xfrm>
            <a:off x="1597140" y="8159145"/>
            <a:ext cx="127159" cy="32767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38" name="Rect37">
            <a:extLst>
              <a:ext uri="{FF2B5EF4-FFF2-40B4-BE49-F238E27FC236}">
                <a16:creationId xmlns:a16="http://schemas.microsoft.com/office/drawing/2014/main" id="{00000000-0008-0000-1400-000026000000}"/>
              </a:ext>
            </a:extLst>
          </xdr:cNvPr>
          <xdr:cNvSpPr/>
        </xdr:nvSpPr>
        <xdr:spPr>
          <a:xfrm>
            <a:off x="2901246" y="8040817"/>
            <a:ext cx="525078" cy="61894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其他收益
</a:t>
            </a:r>
            <a:r>
              <a:rPr lang="en-US" altLang="zh-CN" sz="900" b="0" i="0" u="none" strike="noStrike" baseline="0">
                <a:solidFill>
                  <a:srgbClr val="000000"/>
                </a:solidFill>
                <a:latin typeface="宋体" panose="02010600030101010101" pitchFamily="7" charset="-122"/>
                <a:ea typeface="宋体" panose="02010600030101010101" pitchFamily="7" charset="-122"/>
              </a:rPr>
              <a:t>33687464</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39" name="矩形 38">
            <a:extLst>
              <a:ext uri="{FF2B5EF4-FFF2-40B4-BE49-F238E27FC236}">
                <a16:creationId xmlns:a16="http://schemas.microsoft.com/office/drawing/2014/main" id="{00000000-0008-0000-1400-000027000000}"/>
              </a:ext>
            </a:extLst>
          </xdr:cNvPr>
          <xdr:cNvSpPr/>
        </xdr:nvSpPr>
        <xdr:spPr>
          <a:xfrm>
            <a:off x="2540598" y="8186452"/>
            <a:ext cx="175026"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41" name="Rect40">
            <a:extLst>
              <a:ext uri="{FF2B5EF4-FFF2-40B4-BE49-F238E27FC236}">
                <a16:creationId xmlns:a16="http://schemas.microsoft.com/office/drawing/2014/main" id="{00000000-0008-0000-1400-000029000000}"/>
              </a:ext>
            </a:extLst>
          </xdr:cNvPr>
          <xdr:cNvSpPr/>
        </xdr:nvSpPr>
        <xdr:spPr>
          <a:xfrm>
            <a:off x="3727778" y="8022612"/>
            <a:ext cx="519597" cy="637153"/>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所得税
</a:t>
            </a:r>
            <a:r>
              <a:rPr lang="en-US" altLang="zh-CN" sz="900" b="0" i="0" u="none" strike="noStrike" baseline="0">
                <a:solidFill>
                  <a:srgbClr val="000000"/>
                </a:solidFill>
                <a:latin typeface="宋体" panose="02010600030101010101" pitchFamily="7" charset="-122"/>
                <a:ea typeface="宋体" panose="02010600030101010101" pitchFamily="7" charset="-122"/>
              </a:rPr>
              <a:t>14413481.48</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42" name="矩形 41">
            <a:extLst>
              <a:ext uri="{FF2B5EF4-FFF2-40B4-BE49-F238E27FC236}">
                <a16:creationId xmlns:a16="http://schemas.microsoft.com/office/drawing/2014/main" id="{00000000-0008-0000-1400-00002A000000}"/>
              </a:ext>
            </a:extLst>
          </xdr:cNvPr>
          <xdr:cNvSpPr/>
        </xdr:nvSpPr>
        <xdr:spPr>
          <a:xfrm>
            <a:off x="3526444" y="8168247"/>
            <a:ext cx="164430"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cxnSp macro="">
        <xdr:nvCxnSpPr>
          <xdr:cNvPr id="2078431" name="肘形连接符 2078430">
            <a:extLst>
              <a:ext uri="{FF2B5EF4-FFF2-40B4-BE49-F238E27FC236}">
                <a16:creationId xmlns:a16="http://schemas.microsoft.com/office/drawing/2014/main" id="{00000000-0008-0000-1400-0000DFB61F00}"/>
              </a:ext>
            </a:extLst>
          </xdr:cNvPr>
          <xdr:cNvCxnSpPr>
            <a:stCxn id="20" idx="2"/>
            <a:endCxn id="38" idx="0"/>
          </xdr:cNvCxnSpPr>
        </xdr:nvCxnSpPr>
        <xdr:spPr>
          <a:xfrm rot="16200000" flipH="1">
            <a:off x="2437297" y="7309222"/>
            <a:ext cx="464211" cy="959536"/>
          </a:xfrm>
          <a:prstGeom prst="bentConnector3">
            <a:avLst>
              <a:gd name="adj1" fmla="val 50000"/>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cxnSp macro="">
        <xdr:nvCxnSpPr>
          <xdr:cNvPr id="9" name="肘形连接符 8">
            <a:extLst>
              <a:ext uri="{FF2B5EF4-FFF2-40B4-BE49-F238E27FC236}">
                <a16:creationId xmlns:a16="http://schemas.microsoft.com/office/drawing/2014/main" id="{00000000-0008-0000-1400-000009000000}"/>
              </a:ext>
            </a:extLst>
          </xdr:cNvPr>
          <xdr:cNvCxnSpPr>
            <a:stCxn id="6" idx="2"/>
            <a:endCxn id="12" idx="0"/>
          </xdr:cNvCxnSpPr>
        </xdr:nvCxnSpPr>
        <xdr:spPr>
          <a:xfrm rot="16200000" flipH="1">
            <a:off x="3586828" y="5390378"/>
            <a:ext cx="254860" cy="545904"/>
          </a:xfrm>
          <a:prstGeom prst="bentConnector3">
            <a:avLst>
              <a:gd name="adj1" fmla="val 42593"/>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1" name="Rect10">
            <a:extLst>
              <a:ext uri="{FF2B5EF4-FFF2-40B4-BE49-F238E27FC236}">
                <a16:creationId xmlns:a16="http://schemas.microsoft.com/office/drawing/2014/main" id="{00000000-0008-0000-1400-00000B000000}"/>
              </a:ext>
            </a:extLst>
          </xdr:cNvPr>
          <xdr:cNvSpPr/>
        </xdr:nvSpPr>
        <xdr:spPr>
          <a:xfrm>
            <a:off x="2519406" y="5765275"/>
            <a:ext cx="567464" cy="69176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销售净利率
</a:t>
            </a:r>
            <a:r>
              <a:rPr lang="en-US" altLang="zh-CN" sz="900" b="0" i="0" u="none" strike="noStrike" baseline="0">
                <a:solidFill>
                  <a:srgbClr val="000000"/>
                </a:solidFill>
                <a:latin typeface="宋体" panose="02010600030101010101" pitchFamily="7" charset="-122"/>
                <a:ea typeface="宋体" panose="02010600030101010101" pitchFamily="7" charset="-122"/>
              </a:rPr>
              <a:t>20.93</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12" name="Rect11">
            <a:extLst>
              <a:ext uri="{FF2B5EF4-FFF2-40B4-BE49-F238E27FC236}">
                <a16:creationId xmlns:a16="http://schemas.microsoft.com/office/drawing/2014/main" id="{00000000-0008-0000-1400-00000C000000}"/>
              </a:ext>
            </a:extLst>
          </xdr:cNvPr>
          <xdr:cNvSpPr/>
        </xdr:nvSpPr>
        <xdr:spPr>
          <a:xfrm>
            <a:off x="3690872" y="5801684"/>
            <a:ext cx="561983" cy="673561"/>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总资产周转率
</a:t>
            </a:r>
            <a:r>
              <a:rPr lang="en-US" altLang="zh-CN" sz="900" b="0" i="0" u="none" strike="noStrike" baseline="0">
                <a:solidFill>
                  <a:srgbClr val="000000"/>
                </a:solidFill>
                <a:latin typeface="宋体" panose="02010600030101010101" pitchFamily="7" charset="-122"/>
                <a:ea typeface="宋体" panose="02010600030101010101" pitchFamily="7" charset="-122"/>
              </a:rPr>
              <a:t>0.1</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13" name="矩形 12">
            <a:extLst>
              <a:ext uri="{FF2B5EF4-FFF2-40B4-BE49-F238E27FC236}">
                <a16:creationId xmlns:a16="http://schemas.microsoft.com/office/drawing/2014/main" id="{00000000-0008-0000-1400-00000D000000}"/>
              </a:ext>
            </a:extLst>
          </xdr:cNvPr>
          <xdr:cNvSpPr/>
        </xdr:nvSpPr>
        <xdr:spPr>
          <a:xfrm>
            <a:off x="3356898" y="5938216"/>
            <a:ext cx="180506" cy="29126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15" name="Rect14">
            <a:extLst>
              <a:ext uri="{FF2B5EF4-FFF2-40B4-BE49-F238E27FC236}">
                <a16:creationId xmlns:a16="http://schemas.microsoft.com/office/drawing/2014/main" id="{00000000-0008-0000-1400-00000F000000}"/>
              </a:ext>
            </a:extLst>
          </xdr:cNvPr>
          <xdr:cNvSpPr/>
        </xdr:nvSpPr>
        <xdr:spPr>
          <a:xfrm>
            <a:off x="5923091" y="5874501"/>
            <a:ext cx="519597" cy="69176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资产负债率
</a:t>
            </a:r>
            <a:r>
              <a:rPr lang="en-US" altLang="zh-CN" sz="900" b="0" i="0" u="none" strike="noStrike" baseline="0">
                <a:solidFill>
                  <a:srgbClr val="000000"/>
                </a:solidFill>
                <a:latin typeface="宋体" panose="02010600030101010101" pitchFamily="7" charset="-122"/>
                <a:ea typeface="宋体" panose="02010600030101010101" pitchFamily="7" charset="-122"/>
              </a:rPr>
              <a:t>17.45</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16" name="矩形 15">
            <a:extLst>
              <a:ext uri="{FF2B5EF4-FFF2-40B4-BE49-F238E27FC236}">
                <a16:creationId xmlns:a16="http://schemas.microsoft.com/office/drawing/2014/main" id="{00000000-0008-0000-1400-000010000000}"/>
              </a:ext>
            </a:extLst>
          </xdr:cNvPr>
          <xdr:cNvSpPr/>
        </xdr:nvSpPr>
        <xdr:spPr>
          <a:xfrm>
            <a:off x="5254778" y="6029239"/>
            <a:ext cx="472094" cy="35498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0" i="0" u="none" strike="noStrike" baseline="0">
                <a:solidFill>
                  <a:srgbClr val="000000"/>
                </a:solidFill>
                <a:latin typeface="宋体" panose="02010600030101010101" pitchFamily="7" charset="-122"/>
                <a:ea typeface="宋体" panose="02010600030101010101" pitchFamily="7" charset="-122"/>
                <a:cs typeface="+mn-cs"/>
              </a:rPr>
              <a:t>1÷</a:t>
            </a:r>
            <a:r>
              <a:rPr lang="zh-CN" altLang="en-US" sz="900" b="0" i="0" u="none" strike="noStrike" baseline="0">
                <a:solidFill>
                  <a:srgbClr val="000000"/>
                </a:solidFill>
                <a:latin typeface="宋体" panose="02010600030101010101" pitchFamily="7" charset="-122"/>
                <a:ea typeface="宋体" panose="02010600030101010101" pitchFamily="7" charset="-122"/>
                <a:cs typeface="+mn-cs"/>
              </a:rPr>
              <a:t>（</a:t>
            </a:r>
            <a:r>
              <a:rPr lang="en-US" altLang="zh-CN" sz="900" b="0" i="0" u="none" strike="noStrike" baseline="0">
                <a:solidFill>
                  <a:srgbClr val="000000"/>
                </a:solidFill>
                <a:latin typeface="宋体" panose="02010600030101010101" pitchFamily="7" charset="-122"/>
                <a:ea typeface="宋体" panose="02010600030101010101" pitchFamily="7" charset="-122"/>
                <a:cs typeface="+mn-cs"/>
              </a:rPr>
              <a:t>1-</a:t>
            </a:r>
            <a:endParaRPr lang="zh-CN" altLang="en-US" sz="900" b="0"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17" name="矩形 16">
            <a:extLst>
              <a:ext uri="{FF2B5EF4-FFF2-40B4-BE49-F238E27FC236}">
                <a16:creationId xmlns:a16="http://schemas.microsoft.com/office/drawing/2014/main" id="{00000000-0008-0000-1400-000011000000}"/>
              </a:ext>
            </a:extLst>
          </xdr:cNvPr>
          <xdr:cNvSpPr/>
        </xdr:nvSpPr>
        <xdr:spPr>
          <a:xfrm>
            <a:off x="6558884" y="6011033"/>
            <a:ext cx="169911" cy="36408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cs typeface="+mn-cs"/>
              </a:rPr>
              <a:t>）</a:t>
            </a:r>
          </a:p>
        </xdr:txBody>
      </xdr:sp>
      <xdr:cxnSp macro="">
        <xdr:nvCxnSpPr>
          <xdr:cNvPr id="56" name="肘形连接符 55">
            <a:extLst>
              <a:ext uri="{FF2B5EF4-FFF2-40B4-BE49-F238E27FC236}">
                <a16:creationId xmlns:a16="http://schemas.microsoft.com/office/drawing/2014/main" id="{00000000-0008-0000-1400-000038000000}"/>
              </a:ext>
            </a:extLst>
          </xdr:cNvPr>
          <xdr:cNvCxnSpPr>
            <a:stCxn id="8" idx="2"/>
            <a:endCxn id="15" idx="0"/>
          </xdr:cNvCxnSpPr>
        </xdr:nvCxnSpPr>
        <xdr:spPr>
          <a:xfrm rot="16200000" flipH="1">
            <a:off x="5533053" y="5203473"/>
            <a:ext cx="318576" cy="1023481"/>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xnSp macro="">
        <xdr:nvCxnSpPr>
          <xdr:cNvPr id="2078448" name="肘形连接符 2078447">
            <a:extLst>
              <a:ext uri="{FF2B5EF4-FFF2-40B4-BE49-F238E27FC236}">
                <a16:creationId xmlns:a16="http://schemas.microsoft.com/office/drawing/2014/main" id="{00000000-0008-0000-1400-0000F0B61F00}"/>
              </a:ext>
            </a:extLst>
          </xdr:cNvPr>
          <xdr:cNvCxnSpPr>
            <a:stCxn id="11" idx="0"/>
            <a:endCxn id="6" idx="2"/>
          </xdr:cNvCxnSpPr>
        </xdr:nvCxnSpPr>
        <xdr:spPr>
          <a:xfrm rot="5400000" flipH="1" flipV="1">
            <a:off x="3006145" y="5323104"/>
            <a:ext cx="218452" cy="63616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sp macro="" textlink="">
        <xdr:nvSpPr>
          <xdr:cNvPr id="3" name="Rect2">
            <a:extLst>
              <a:ext uri="{FF2B5EF4-FFF2-40B4-BE49-F238E27FC236}">
                <a16:creationId xmlns:a16="http://schemas.microsoft.com/office/drawing/2014/main" id="{00000000-0008-0000-1400-000003000000}"/>
              </a:ext>
            </a:extLst>
          </xdr:cNvPr>
          <xdr:cNvSpPr/>
        </xdr:nvSpPr>
        <xdr:spPr>
          <a:xfrm>
            <a:off x="3961268" y="4044965"/>
            <a:ext cx="567464" cy="582539"/>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权益收益率
</a:t>
            </a:r>
            <a:r>
              <a:rPr lang="en-US" altLang="zh-CN" sz="900" b="0" i="0" u="none" strike="noStrike" baseline="0">
                <a:solidFill>
                  <a:srgbClr val="000000"/>
                </a:solidFill>
                <a:latin typeface="宋体" panose="02010600030101010101" pitchFamily="7" charset="-122"/>
                <a:ea typeface="宋体" panose="02010600030101010101" pitchFamily="7" charset="-122"/>
              </a:rPr>
              <a:t>2.56</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cxnSp macro="">
        <xdr:nvCxnSpPr>
          <xdr:cNvPr id="4" name="肘形连接符 3">
            <a:extLst>
              <a:ext uri="{FF2B5EF4-FFF2-40B4-BE49-F238E27FC236}">
                <a16:creationId xmlns:a16="http://schemas.microsoft.com/office/drawing/2014/main" id="{00000000-0008-0000-1400-000004000000}"/>
              </a:ext>
            </a:extLst>
          </xdr:cNvPr>
          <xdr:cNvCxnSpPr>
            <a:stCxn id="8" idx="0"/>
            <a:endCxn id="3" idx="2"/>
          </xdr:cNvCxnSpPr>
        </xdr:nvCxnSpPr>
        <xdr:spPr>
          <a:xfrm rot="16200000" flipV="1">
            <a:off x="4553023" y="4293175"/>
            <a:ext cx="300372" cy="933227"/>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6" name="Rect5">
            <a:extLst>
              <a:ext uri="{FF2B5EF4-FFF2-40B4-BE49-F238E27FC236}">
                <a16:creationId xmlns:a16="http://schemas.microsoft.com/office/drawing/2014/main" id="{00000000-0008-0000-1400-000006000000}"/>
              </a:ext>
            </a:extLst>
          </xdr:cNvPr>
          <xdr:cNvSpPr/>
        </xdr:nvSpPr>
        <xdr:spPr>
          <a:xfrm>
            <a:off x="3176758" y="4927875"/>
            <a:ext cx="514481" cy="618947"/>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总资产收益率
</a:t>
            </a:r>
            <a:r>
              <a:rPr lang="en-US" altLang="zh-CN" sz="900" b="0" i="0" u="none" strike="noStrike" baseline="0">
                <a:solidFill>
                  <a:srgbClr val="000000"/>
                </a:solidFill>
                <a:latin typeface="宋体" panose="02010600030101010101" pitchFamily="7" charset="-122"/>
                <a:ea typeface="宋体" panose="02010600030101010101" pitchFamily="7" charset="-122"/>
              </a:rPr>
              <a:t>2.14</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sp macro="" textlink="">
        <xdr:nvSpPr>
          <xdr:cNvPr id="7" name="矩形 6">
            <a:extLst>
              <a:ext uri="{FF2B5EF4-FFF2-40B4-BE49-F238E27FC236}">
                <a16:creationId xmlns:a16="http://schemas.microsoft.com/office/drawing/2014/main" id="{00000000-0008-0000-1400-000007000000}"/>
              </a:ext>
            </a:extLst>
          </xdr:cNvPr>
          <xdr:cNvSpPr/>
        </xdr:nvSpPr>
        <xdr:spPr>
          <a:xfrm>
            <a:off x="4364302" y="5055306"/>
            <a:ext cx="121679" cy="30947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marL="0" indent="0" algn="ctr" rtl="0">
              <a:lnSpc>
                <a:spcPts val="1100"/>
              </a:lnSpc>
              <a:defRPr sz="1000"/>
            </a:pPr>
            <a:r>
              <a:rPr lang="en-US" altLang="zh-CN" sz="900" b="1" i="0" u="none" strike="noStrike" baseline="0">
                <a:solidFill>
                  <a:srgbClr val="000000"/>
                </a:solidFill>
                <a:latin typeface="宋体" panose="02010600030101010101" pitchFamily="7" charset="-122"/>
                <a:ea typeface="宋体" panose="02010600030101010101" pitchFamily="7" charset="-122"/>
                <a:cs typeface="+mn-cs"/>
              </a:rPr>
              <a:t>×</a:t>
            </a:r>
            <a:endParaRPr lang="zh-CN" altLang="en-US" sz="900" b="1" i="0" u="none" strike="noStrike" baseline="0">
              <a:solidFill>
                <a:srgbClr val="000000"/>
              </a:solidFill>
              <a:latin typeface="宋体" panose="02010600030101010101" pitchFamily="7" charset="-122"/>
              <a:ea typeface="宋体" panose="02010600030101010101" pitchFamily="7" charset="-122"/>
              <a:cs typeface="+mn-cs"/>
            </a:endParaRPr>
          </a:p>
        </xdr:txBody>
      </xdr:sp>
      <xdr:sp macro="" textlink="">
        <xdr:nvSpPr>
          <xdr:cNvPr id="8" name="Rect7">
            <a:extLst>
              <a:ext uri="{FF2B5EF4-FFF2-40B4-BE49-F238E27FC236}">
                <a16:creationId xmlns:a16="http://schemas.microsoft.com/office/drawing/2014/main" id="{00000000-0008-0000-1400-000008000000}"/>
              </a:ext>
            </a:extLst>
          </xdr:cNvPr>
          <xdr:cNvSpPr/>
        </xdr:nvSpPr>
        <xdr:spPr>
          <a:xfrm>
            <a:off x="4883533" y="4927875"/>
            <a:ext cx="577695" cy="62805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rtl="0">
              <a:lnSpc>
                <a:spcPts val="1100"/>
              </a:lnSpc>
              <a:defRPr sz="1000"/>
            </a:pPr>
            <a:r>
              <a:rPr lang="zh-CN" altLang="en-US" sz="900" b="0" i="0" u="none" strike="noStrike" baseline="0">
                <a:solidFill>
                  <a:srgbClr val="000000"/>
                </a:solidFill>
                <a:latin typeface="宋体" panose="02010600030101010101" pitchFamily="7" charset="-122"/>
                <a:ea typeface="宋体" panose="02010600030101010101" pitchFamily="7" charset="-122"/>
              </a:rPr>
              <a:t>权益乘数
</a:t>
            </a:r>
            <a:r>
              <a:rPr lang="en-US" altLang="zh-CN" sz="900" b="0" i="0" u="none" strike="noStrike" baseline="0">
                <a:solidFill>
                  <a:srgbClr val="000000"/>
                </a:solidFill>
                <a:latin typeface="宋体" panose="02010600030101010101" pitchFamily="7" charset="-122"/>
                <a:ea typeface="宋体" panose="02010600030101010101" pitchFamily="7" charset="-122"/>
              </a:rPr>
              <a:t>1.21</a:t>
            </a:r>
            <a:endParaRPr lang="en-US" sz="900" b="0" i="0" u="none" strike="noStrike" baseline="0">
              <a:solidFill>
                <a:srgbClr val="000000"/>
              </a:solidFill>
              <a:latin typeface="宋体" panose="02010600030101010101" pitchFamily="7" charset="-122"/>
              <a:ea typeface="宋体" panose="02010600030101010101" pitchFamily="7" charset="-122"/>
            </a:endParaRPr>
          </a:p>
        </xdr:txBody>
      </xdr:sp>
      <xdr:cxnSp macro="">
        <xdr:nvCxnSpPr>
          <xdr:cNvPr id="117" name="肘形连接符 116">
            <a:extLst>
              <a:ext uri="{FF2B5EF4-FFF2-40B4-BE49-F238E27FC236}">
                <a16:creationId xmlns:a16="http://schemas.microsoft.com/office/drawing/2014/main" id="{00000000-0008-0000-1400-000075000000}"/>
              </a:ext>
            </a:extLst>
          </xdr:cNvPr>
          <xdr:cNvCxnSpPr>
            <a:stCxn id="3" idx="2"/>
            <a:endCxn id="6" idx="0"/>
          </xdr:cNvCxnSpPr>
        </xdr:nvCxnSpPr>
        <xdr:spPr>
          <a:xfrm rot="5400000">
            <a:off x="3689101" y="4365857"/>
            <a:ext cx="300978" cy="806068"/>
          </a:xfrm>
          <a:prstGeom prst="bentConnector3">
            <a:avLst>
              <a:gd name="adj1" fmla="val 50000"/>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Elbow Connector 57">
            <a:extLst>
              <a:ext uri="{FF2B5EF4-FFF2-40B4-BE49-F238E27FC236}">
                <a16:creationId xmlns:a16="http://schemas.microsoft.com/office/drawing/2014/main" id="{00000000-0008-0000-1400-00003A000000}"/>
              </a:ext>
            </a:extLst>
          </xdr:cNvPr>
          <xdr:cNvCxnSpPr>
            <a:stCxn id="20" idx="2"/>
            <a:endCxn id="41" idx="0"/>
          </xdr:cNvCxnSpPr>
        </xdr:nvCxnSpPr>
        <xdr:spPr>
          <a:xfrm rot="16200000" flipH="1">
            <a:off x="2874646" y="6897272"/>
            <a:ext cx="446006" cy="1797394"/>
          </a:xfrm>
          <a:prstGeom prst="bentConnector3">
            <a:avLst>
              <a:gd name="adj1" fmla="val 50000"/>
            </a:avLst>
          </a:prstGeom>
          <a:ln>
            <a:solidFill>
              <a:sysClr val="windowText" lastClr="000000"/>
            </a:solidFill>
          </a:ln>
        </xdr:spPr>
        <xdr:style>
          <a:lnRef idx="1">
            <a:schemeClr val="dk1"/>
          </a:lnRef>
          <a:fillRef idx="0">
            <a:schemeClr val="dk1"/>
          </a:fillRef>
          <a:effectRef idx="0">
            <a:schemeClr val="dk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481035</xdr:colOff>
          <xdr:row>23</xdr:row>
          <xdr:rowOff>8668</xdr:rowOff>
        </xdr:from>
        <xdr:to>
          <xdr:col>1</xdr:col>
          <xdr:colOff>1087746</xdr:colOff>
          <xdr:row>24</xdr:row>
          <xdr:rowOff>43336</xdr:rowOff>
        </xdr:to>
        <xdr:sp macro="" textlink="">
          <xdr:nvSpPr>
            <xdr:cNvPr id="2078401" name="ComboBox1" hidden="1">
              <a:extLst>
                <a:ext uri="{63B3BB69-23CF-44E3-9099-C40C66FF867C}">
                  <a14:compatExt spid="_x0000_s2078401"/>
                </a:ext>
                <a:ext uri="{FF2B5EF4-FFF2-40B4-BE49-F238E27FC236}">
                  <a16:creationId xmlns:a16="http://schemas.microsoft.com/office/drawing/2014/main" id="{00000000-0008-0000-1400-0000C1B61F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1248091</xdr:colOff>
          <xdr:row>23</xdr:row>
          <xdr:rowOff>8667</xdr:rowOff>
        </xdr:from>
        <xdr:to>
          <xdr:col>2</xdr:col>
          <xdr:colOff>69338</xdr:colOff>
          <xdr:row>24</xdr:row>
          <xdr:rowOff>39003</xdr:rowOff>
        </xdr:to>
        <xdr:sp macro="" textlink="">
          <xdr:nvSpPr>
            <xdr:cNvPr id="2078402" name="ComboBox2" hidden="1">
              <a:extLst>
                <a:ext uri="{63B3BB69-23CF-44E3-9099-C40C66FF867C}">
                  <a14:compatExt spid="_x0000_s2078402"/>
                </a:ext>
                <a:ext uri="{FF2B5EF4-FFF2-40B4-BE49-F238E27FC236}">
                  <a16:creationId xmlns:a16="http://schemas.microsoft.com/office/drawing/2014/main" id="{00000000-0008-0000-1400-0000C2B61F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21668</xdr:rowOff>
        </xdr:from>
        <xdr:to>
          <xdr:col>1</xdr:col>
          <xdr:colOff>1096413</xdr:colOff>
          <xdr:row>25</xdr:row>
          <xdr:rowOff>34669</xdr:rowOff>
        </xdr:to>
        <xdr:sp macro="" textlink="">
          <xdr:nvSpPr>
            <xdr:cNvPr id="2078403" name="OptionButton1" hidden="1">
              <a:extLst>
                <a:ext uri="{63B3BB69-23CF-44E3-9099-C40C66FF867C}">
                  <a14:compatExt spid="_x0000_s2078403"/>
                </a:ext>
                <a:ext uri="{FF2B5EF4-FFF2-40B4-BE49-F238E27FC236}">
                  <a16:creationId xmlns:a16="http://schemas.microsoft.com/office/drawing/2014/main" id="{00000000-0008-0000-1400-0000C3B61F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69338</xdr:colOff>
          <xdr:row>25</xdr:row>
          <xdr:rowOff>112675</xdr:rowOff>
        </xdr:from>
        <xdr:to>
          <xdr:col>1</xdr:col>
          <xdr:colOff>1477774</xdr:colOff>
          <xdr:row>26</xdr:row>
          <xdr:rowOff>143010</xdr:rowOff>
        </xdr:to>
        <xdr:sp macro="" textlink="">
          <xdr:nvSpPr>
            <xdr:cNvPr id="2078404" name="OptionButton2" hidden="1">
              <a:extLst>
                <a:ext uri="{63B3BB69-23CF-44E3-9099-C40C66FF867C}">
                  <a14:compatExt spid="_x0000_s2078404"/>
                </a:ext>
                <a:ext uri="{FF2B5EF4-FFF2-40B4-BE49-F238E27FC236}">
                  <a16:creationId xmlns:a16="http://schemas.microsoft.com/office/drawing/2014/main" id="{00000000-0008-0000-1400-0000C4B61F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60671</xdr:colOff>
          <xdr:row>27</xdr:row>
          <xdr:rowOff>60671</xdr:rowOff>
        </xdr:from>
        <xdr:to>
          <xdr:col>1</xdr:col>
          <xdr:colOff>1703124</xdr:colOff>
          <xdr:row>28</xdr:row>
          <xdr:rowOff>69338</xdr:rowOff>
        </xdr:to>
        <xdr:sp macro="" textlink="">
          <xdr:nvSpPr>
            <xdr:cNvPr id="2078405" name="OptionButton3" hidden="1">
              <a:extLst>
                <a:ext uri="{63B3BB69-23CF-44E3-9099-C40C66FF867C}">
                  <a14:compatExt spid="_x0000_s2078405"/>
                </a:ext>
                <a:ext uri="{FF2B5EF4-FFF2-40B4-BE49-F238E27FC236}">
                  <a16:creationId xmlns:a16="http://schemas.microsoft.com/office/drawing/2014/main" id="{00000000-0008-0000-1400-0000C5B61F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astmoney/Choice/Office/Excel/EMFunc.xla"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istrator/Desktop/&#24037;&#20316;&#31807;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EM_S_DQ_CLOSE"/>
      <definedName name="EM_S_INFO_INDUSTRY_EM2016"/>
      <definedName name="EM_S_INFO_INDUSTRY_SW2014"/>
      <definedName name="EM_S_INFO_NAME"/>
      <definedName name="EM_S_PQ_HIGH"/>
      <definedName name="EM_S_PQ_Low"/>
      <definedName name="EM_S_RETAINEDEARN"/>
      <definedName name="EM_S_SHARE_H"/>
      <definedName name="EM_S_SHARE_LIQA"/>
      <definedName name="EM_S_SHARE_RESTRICTEDA"/>
      <definedName name="EM_S_SHARE_TOTAL"/>
      <definedName name="EM_S_SHARE_TOTALA"/>
      <definedName name="EM_S_SHARE_TOTALB"/>
      <definedName name="EM_S_STM07_BS"/>
      <definedName name="EM_S_STMNOTE_ASSETDETAIL"/>
      <definedName name="EM_S_STMNOTE_FINEXP"/>
      <definedName name="EM_S_VAL_ASHRMARKETVALUE"/>
      <definedName name="EM_S_VAL_BSHRMARKETVALUE"/>
      <definedName name="EM_S_VAL_MV"/>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历史年度（原始）"/>
      <sheetName val="历史数据（单季）"/>
      <sheetName val="原始报表"/>
    </sheetNames>
    <sheetDataSet>
      <sheetData sheetId="0"/>
      <sheetData sheetId="1">
        <row r="2">
          <cell r="A2" t="str">
            <v>单位：元</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7" Type="http://schemas.openxmlformats.org/officeDocument/2006/relationships/ctrlProp" Target="../ctrlProps/ctrlProp10.xml"/><Relationship Id="rId2" Type="http://schemas.openxmlformats.org/officeDocument/2006/relationships/vmlDrawing" Target="../drawings/vmlDrawing4.v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41" Type="http://schemas.openxmlformats.org/officeDocument/2006/relationships/ctrlProp" Target="../ctrlProps/ctrlProp44.xml"/><Relationship Id="rId1" Type="http://schemas.openxmlformats.org/officeDocument/2006/relationships/drawing" Target="../drawings/drawing5.xml"/><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8" Type="http://schemas.openxmlformats.org/officeDocument/2006/relationships/ctrlProp" Target="../ctrlProps/ctrlProp11.xml"/><Relationship Id="rId3" Type="http://schemas.openxmlformats.org/officeDocument/2006/relationships/ctrlProp" Target="../ctrlProps/ctrlProp6.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2.xml"/><Relationship Id="rId4" Type="http://schemas.openxmlformats.org/officeDocument/2006/relationships/ctrlProp" Target="../ctrlProps/ctrlProp4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18" Type="http://schemas.openxmlformats.org/officeDocument/2006/relationships/ctrlProp" Target="../ctrlProps/ctrlProp63.xml"/><Relationship Id="rId3" Type="http://schemas.openxmlformats.org/officeDocument/2006/relationships/ctrlProp" Target="../ctrlProps/ctrlProp48.xml"/><Relationship Id="rId7" Type="http://schemas.openxmlformats.org/officeDocument/2006/relationships/ctrlProp" Target="../ctrlProps/ctrlProp52.xml"/><Relationship Id="rId12" Type="http://schemas.openxmlformats.org/officeDocument/2006/relationships/ctrlProp" Target="../ctrlProps/ctrlProp57.xml"/><Relationship Id="rId17" Type="http://schemas.openxmlformats.org/officeDocument/2006/relationships/ctrlProp" Target="../ctrlProps/ctrlProp62.xml"/><Relationship Id="rId2" Type="http://schemas.openxmlformats.org/officeDocument/2006/relationships/vmlDrawing" Target="../drawings/vmlDrawing7.vml"/><Relationship Id="rId16" Type="http://schemas.openxmlformats.org/officeDocument/2006/relationships/ctrlProp" Target="../ctrlProps/ctrlProp61.xml"/><Relationship Id="rId1" Type="http://schemas.openxmlformats.org/officeDocument/2006/relationships/drawing" Target="../drawings/drawing8.xml"/><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5" Type="http://schemas.openxmlformats.org/officeDocument/2006/relationships/ctrlProp" Target="../ctrlProps/ctrlProp6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9.xml"/><Relationship Id="rId13" Type="http://schemas.openxmlformats.org/officeDocument/2006/relationships/ctrlProp" Target="../ctrlProps/ctrlProp74.xml"/><Relationship Id="rId18" Type="http://schemas.openxmlformats.org/officeDocument/2006/relationships/ctrlProp" Target="../ctrlProps/ctrlProp79.xml"/><Relationship Id="rId3" Type="http://schemas.openxmlformats.org/officeDocument/2006/relationships/ctrlProp" Target="../ctrlProps/ctrlProp64.xml"/><Relationship Id="rId21" Type="http://schemas.openxmlformats.org/officeDocument/2006/relationships/ctrlProp" Target="../ctrlProps/ctrlProp82.xml"/><Relationship Id="rId7" Type="http://schemas.openxmlformats.org/officeDocument/2006/relationships/ctrlProp" Target="../ctrlProps/ctrlProp68.xml"/><Relationship Id="rId12" Type="http://schemas.openxmlformats.org/officeDocument/2006/relationships/ctrlProp" Target="../ctrlProps/ctrlProp73.xml"/><Relationship Id="rId17" Type="http://schemas.openxmlformats.org/officeDocument/2006/relationships/ctrlProp" Target="../ctrlProps/ctrlProp78.xml"/><Relationship Id="rId25" Type="http://schemas.openxmlformats.org/officeDocument/2006/relationships/comments" Target="../comments3.xml"/><Relationship Id="rId2" Type="http://schemas.openxmlformats.org/officeDocument/2006/relationships/vmlDrawing" Target="../drawings/vmlDrawing8.vml"/><Relationship Id="rId16" Type="http://schemas.openxmlformats.org/officeDocument/2006/relationships/ctrlProp" Target="../ctrlProps/ctrlProp77.xml"/><Relationship Id="rId20" Type="http://schemas.openxmlformats.org/officeDocument/2006/relationships/ctrlProp" Target="../ctrlProps/ctrlProp81.xml"/><Relationship Id="rId1" Type="http://schemas.openxmlformats.org/officeDocument/2006/relationships/drawing" Target="../drawings/drawing9.xml"/><Relationship Id="rId6" Type="http://schemas.openxmlformats.org/officeDocument/2006/relationships/ctrlProp" Target="../ctrlProps/ctrlProp67.xml"/><Relationship Id="rId11" Type="http://schemas.openxmlformats.org/officeDocument/2006/relationships/ctrlProp" Target="../ctrlProps/ctrlProp72.xml"/><Relationship Id="rId24" Type="http://schemas.openxmlformats.org/officeDocument/2006/relationships/ctrlProp" Target="../ctrlProps/ctrlProp85.xml"/><Relationship Id="rId5" Type="http://schemas.openxmlformats.org/officeDocument/2006/relationships/ctrlProp" Target="../ctrlProps/ctrlProp66.xml"/><Relationship Id="rId15" Type="http://schemas.openxmlformats.org/officeDocument/2006/relationships/ctrlProp" Target="../ctrlProps/ctrlProp76.xml"/><Relationship Id="rId23" Type="http://schemas.openxmlformats.org/officeDocument/2006/relationships/ctrlProp" Target="../ctrlProps/ctrlProp84.xml"/><Relationship Id="rId10" Type="http://schemas.openxmlformats.org/officeDocument/2006/relationships/ctrlProp" Target="../ctrlProps/ctrlProp71.xml"/><Relationship Id="rId19" Type="http://schemas.openxmlformats.org/officeDocument/2006/relationships/ctrlProp" Target="../ctrlProps/ctrlProp80.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 Id="rId22"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trlProp" Target="../ctrlProps/ctrlProp87.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6.emf"/><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image" Target="../media/image3.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89.xml"/><Relationship Id="rId2" Type="http://schemas.openxmlformats.org/officeDocument/2006/relationships/vmlDrawing" Target="../drawings/vmlDrawing12.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omments" Target="../comments4.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3.bin"/><Relationship Id="rId5" Type="http://schemas.openxmlformats.org/officeDocument/2006/relationships/comments" Target="../comments5.xml"/><Relationship Id="rId4" Type="http://schemas.openxmlformats.org/officeDocument/2006/relationships/ctrlProp" Target="../ctrlProps/ctrlProp9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15.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ontrol" Target="../activeX/activeX6.xml"/><Relationship Id="rId7" Type="http://schemas.openxmlformats.org/officeDocument/2006/relationships/control" Target="../activeX/activeX8.xml"/><Relationship Id="rId12" Type="http://schemas.openxmlformats.org/officeDocument/2006/relationships/image" Target="../media/image11.emf"/><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image" Target="../media/image8.emf"/><Relationship Id="rId11" Type="http://schemas.openxmlformats.org/officeDocument/2006/relationships/control" Target="../activeX/activeX10.xml"/><Relationship Id="rId5" Type="http://schemas.openxmlformats.org/officeDocument/2006/relationships/control" Target="../activeX/activeX7.xml"/><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control" Target="../activeX/activeX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B2:P37"/>
  <sheetViews>
    <sheetView topLeftCell="A7" workbookViewId="0">
      <selection activeCell="G14" sqref="G14"/>
    </sheetView>
  </sheetViews>
  <sheetFormatPr defaultColWidth="9" defaultRowHeight="14.35"/>
  <cols>
    <col min="1" max="1" width="2.5625" style="936" customWidth="1"/>
    <col min="2" max="2" width="17.125" style="936" customWidth="1"/>
    <col min="3" max="3" width="19.125" style="936" customWidth="1"/>
    <col min="4" max="4" width="26.25" style="936" customWidth="1"/>
    <col min="5" max="5" width="23.4375" style="936" customWidth="1"/>
    <col min="6" max="6" width="9" style="936"/>
    <col min="7" max="7" width="9.75" style="936" customWidth="1"/>
    <col min="8" max="10" width="9" style="936"/>
    <col min="11" max="13" width="9" style="937"/>
    <col min="14" max="16384" width="9" style="936"/>
  </cols>
  <sheetData>
    <row r="2" spans="2:16">
      <c r="E2" s="991" t="s">
        <v>0</v>
      </c>
    </row>
    <row r="3" spans="2:16">
      <c r="E3" s="991"/>
    </row>
    <row r="4" spans="2:16">
      <c r="C4" s="937" t="str">
        <f>IF(MID(C7,1,1)&lt;&gt;"6",IF(MID(C7,1,1)="8",C7&amp;".OC",IF(MID(C7,1,1)="4",C7&amp;".OC",C7&amp;".SZ")),C7&amp;".SH")</f>
        <v>002138.SZ</v>
      </c>
      <c r="E4" s="938">
        <f ca="1">TODAY()</f>
        <v>43829</v>
      </c>
    </row>
    <row r="5" spans="2:16">
      <c r="C5" s="939"/>
      <c r="H5" s="940"/>
      <c r="I5" s="940"/>
      <c r="J5" s="960"/>
      <c r="K5" s="961"/>
      <c r="L5" s="961"/>
      <c r="M5" s="961"/>
      <c r="N5" s="940"/>
      <c r="O5" s="940"/>
      <c r="P5" s="940"/>
    </row>
    <row r="6" spans="2:16">
      <c r="C6" s="939"/>
      <c r="H6" s="940"/>
      <c r="I6" s="940"/>
      <c r="J6" s="960"/>
      <c r="K6" s="961"/>
      <c r="L6" s="961"/>
      <c r="M6" s="961"/>
      <c r="N6" s="940"/>
      <c r="O6" s="940"/>
      <c r="P6" s="940"/>
    </row>
    <row r="7" spans="2:16">
      <c r="B7" s="941" t="s">
        <v>1</v>
      </c>
      <c r="C7" s="942" t="s">
        <v>3561</v>
      </c>
      <c r="D7" s="941" t="s">
        <v>2</v>
      </c>
      <c r="E7" s="943" t="str">
        <f>[1]!EM_S_INFO_NAME(C4)</f>
        <v>Refreshing</v>
      </c>
      <c r="H7" s="940"/>
      <c r="I7" s="940"/>
      <c r="J7" s="960"/>
      <c r="K7" s="961" t="s">
        <v>3</v>
      </c>
      <c r="L7" s="961">
        <v>1</v>
      </c>
      <c r="M7" s="961"/>
      <c r="N7" s="940"/>
      <c r="O7" s="940"/>
      <c r="P7" s="940"/>
    </row>
    <row r="8" spans="2:16" ht="15.05">
      <c r="B8" s="941" t="s">
        <v>4</v>
      </c>
      <c r="C8" s="944">
        <v>43672</v>
      </c>
      <c r="D8" s="941" t="s">
        <v>5</v>
      </c>
      <c r="E8" s="943" t="str">
        <f>[1]!EM_S_DQ_CLOSE(C4,"N",1)</f>
        <v>Refreshing</v>
      </c>
      <c r="G8" s="945"/>
      <c r="H8" s="940"/>
      <c r="I8" s="940"/>
      <c r="J8" s="960"/>
      <c r="K8" s="961" t="s">
        <v>6</v>
      </c>
      <c r="L8" s="961">
        <v>1000</v>
      </c>
      <c r="M8" s="961"/>
      <c r="N8" s="940"/>
      <c r="O8" s="940"/>
      <c r="P8" s="940"/>
    </row>
    <row r="9" spans="2:16">
      <c r="B9" s="941" t="s">
        <v>7</v>
      </c>
      <c r="C9" s="946">
        <v>2015</v>
      </c>
      <c r="D9" s="941" t="s">
        <v>8</v>
      </c>
      <c r="E9" s="947" t="e">
        <f ca="1">[1]!EM_S_SHARE_TOTAL(C4,TODAY())/10000</f>
        <v>#VALUE!</v>
      </c>
      <c r="H9" s="940"/>
      <c r="I9" s="940"/>
      <c r="J9" s="960"/>
      <c r="K9" s="961" t="s">
        <v>9</v>
      </c>
      <c r="L9" s="961">
        <v>10000</v>
      </c>
      <c r="M9" s="961"/>
      <c r="N9" s="940"/>
      <c r="O9" s="940"/>
      <c r="P9" s="940"/>
    </row>
    <row r="10" spans="2:16">
      <c r="B10" s="941" t="s">
        <v>10</v>
      </c>
      <c r="C10" s="946">
        <v>2018</v>
      </c>
      <c r="D10" s="941" t="s">
        <v>11</v>
      </c>
      <c r="E10" s="948" t="s">
        <v>12</v>
      </c>
      <c r="H10" s="940"/>
      <c r="I10" s="940"/>
      <c r="J10" s="960"/>
      <c r="K10" s="961" t="s">
        <v>13</v>
      </c>
      <c r="L10" s="961">
        <v>1000000</v>
      </c>
      <c r="M10" s="961"/>
      <c r="N10" s="940"/>
      <c r="O10" s="940"/>
      <c r="P10" s="940"/>
    </row>
    <row r="11" spans="2:16" ht="15.05">
      <c r="B11" s="941" t="s">
        <v>14</v>
      </c>
      <c r="C11" s="946">
        <v>3</v>
      </c>
      <c r="D11" s="941" t="s">
        <v>15</v>
      </c>
      <c r="E11" s="948" t="s">
        <v>12</v>
      </c>
      <c r="H11" s="940"/>
      <c r="I11" s="940"/>
      <c r="J11" s="960"/>
      <c r="K11" s="962" t="s">
        <v>16</v>
      </c>
      <c r="L11" s="961"/>
      <c r="M11" s="961"/>
      <c r="N11" s="940"/>
      <c r="O11" s="940"/>
      <c r="P11" s="940"/>
    </row>
    <row r="12" spans="2:16" ht="15.9" customHeight="1">
      <c r="B12" s="941" t="s">
        <v>17</v>
      </c>
      <c r="C12" s="936">
        <v>1</v>
      </c>
      <c r="D12" s="941" t="s">
        <v>18</v>
      </c>
      <c r="E12" s="948" t="s">
        <v>12</v>
      </c>
      <c r="G12" s="949"/>
      <c r="H12" s="940"/>
      <c r="I12" s="940"/>
      <c r="J12" s="960"/>
      <c r="K12" s="962" t="s">
        <v>19</v>
      </c>
      <c r="L12" s="961"/>
      <c r="M12" s="961"/>
      <c r="N12" s="940"/>
      <c r="O12" s="940"/>
      <c r="P12" s="940"/>
    </row>
    <row r="13" spans="2:16" ht="15.9" customHeight="1">
      <c r="B13" s="941" t="s">
        <v>20</v>
      </c>
      <c r="C13" s="936">
        <v>6</v>
      </c>
      <c r="D13" s="941" t="s">
        <v>21</v>
      </c>
      <c r="E13" s="948" t="s">
        <v>12</v>
      </c>
      <c r="H13" s="940"/>
      <c r="I13" s="940"/>
      <c r="J13" s="940"/>
      <c r="K13" s="962" t="str">
        <f>IF(C$13=1,"元",IF($C$13=2,"千元",IF($C$13=3,"万元",IF($C$13=4,"百万元",IF($C$13=5,"千万元",IF($C$13=6,"亿元",""))))))</f>
        <v>亿元</v>
      </c>
      <c r="L13" s="961"/>
      <c r="M13" s="961"/>
      <c r="N13" s="940"/>
      <c r="O13" s="940"/>
      <c r="P13" s="940"/>
    </row>
    <row r="14" spans="2:16">
      <c r="H14" s="940"/>
      <c r="I14" s="940"/>
      <c r="J14" s="940"/>
      <c r="K14" s="961"/>
      <c r="L14" s="961"/>
      <c r="M14" s="961"/>
      <c r="N14" s="960"/>
      <c r="O14" s="940"/>
      <c r="P14" s="940"/>
    </row>
    <row r="15" spans="2:16">
      <c r="B15" s="950" t="e">
        <f>INDEX(L7:L10,C13)</f>
        <v>#REF!</v>
      </c>
      <c r="D15" s="950">
        <f>INDEX(M17:M18,C12)</f>
        <v>1</v>
      </c>
      <c r="H15" s="940"/>
      <c r="I15" s="940"/>
      <c r="J15" s="940"/>
      <c r="K15" s="961"/>
      <c r="L15" s="961"/>
      <c r="M15" s="961"/>
      <c r="N15" s="960"/>
      <c r="O15" s="940"/>
      <c r="P15" s="940"/>
    </row>
    <row r="16" spans="2:16">
      <c r="E16" s="992"/>
      <c r="H16" s="940"/>
      <c r="I16" s="940"/>
      <c r="J16" s="940"/>
      <c r="K16" s="961"/>
      <c r="L16" s="961"/>
      <c r="M16" s="961"/>
      <c r="N16" s="960"/>
      <c r="O16" s="940"/>
      <c r="P16" s="940"/>
    </row>
    <row r="17" spans="2:16">
      <c r="B17" s="951" t="s">
        <v>22</v>
      </c>
      <c r="E17" s="993"/>
      <c r="H17" s="940"/>
      <c r="I17" s="940"/>
      <c r="J17" s="940"/>
      <c r="K17" s="961"/>
      <c r="L17" s="961" t="s">
        <v>23</v>
      </c>
      <c r="M17" s="961">
        <v>1</v>
      </c>
      <c r="N17" s="960"/>
      <c r="O17" s="940"/>
      <c r="P17" s="940"/>
    </row>
    <row r="18" spans="2:16">
      <c r="B18" s="952" t="s">
        <v>24</v>
      </c>
      <c r="C18" s="976" t="s">
        <v>25</v>
      </c>
      <c r="D18" s="977"/>
      <c r="E18" s="978"/>
      <c r="H18" s="940"/>
      <c r="I18" s="940"/>
      <c r="J18" s="940"/>
      <c r="K18" s="961"/>
      <c r="L18" s="961" t="s">
        <v>26</v>
      </c>
      <c r="M18" s="961">
        <v>3</v>
      </c>
      <c r="N18" s="960"/>
      <c r="O18" s="940"/>
      <c r="P18" s="940"/>
    </row>
    <row r="19" spans="2:16" ht="15.1" customHeight="1">
      <c r="B19" s="953" t="s">
        <v>27</v>
      </c>
      <c r="C19" s="979" t="s">
        <v>28</v>
      </c>
      <c r="D19" s="980"/>
      <c r="E19" s="981"/>
      <c r="H19" s="940"/>
      <c r="I19" s="940"/>
      <c r="J19" s="940"/>
      <c r="K19" s="961"/>
      <c r="L19" s="961"/>
      <c r="M19" s="961"/>
      <c r="N19" s="960"/>
      <c r="O19" s="940"/>
      <c r="P19" s="940"/>
    </row>
    <row r="20" spans="2:16">
      <c r="B20" s="954" t="s">
        <v>29</v>
      </c>
      <c r="C20" s="982" t="s">
        <v>30</v>
      </c>
      <c r="D20" s="983"/>
      <c r="E20" s="984"/>
      <c r="H20" s="940"/>
      <c r="I20" s="940"/>
      <c r="J20" s="940"/>
      <c r="K20" s="961"/>
      <c r="L20" s="961"/>
      <c r="M20" s="961"/>
      <c r="N20" s="960"/>
      <c r="O20" s="940"/>
      <c r="P20" s="940"/>
    </row>
    <row r="21" spans="2:16">
      <c r="B21" s="953" t="s">
        <v>31</v>
      </c>
      <c r="C21" s="985" t="s">
        <v>32</v>
      </c>
      <c r="D21" s="986"/>
      <c r="E21" s="987"/>
      <c r="H21" s="940"/>
      <c r="I21" s="940"/>
      <c r="J21" s="940"/>
      <c r="K21" s="961"/>
      <c r="L21" s="961"/>
      <c r="M21" s="961"/>
      <c r="N21" s="960"/>
      <c r="O21" s="940"/>
      <c r="P21" s="940"/>
    </row>
    <row r="22" spans="2:16">
      <c r="B22" s="953" t="s">
        <v>33</v>
      </c>
      <c r="C22" s="985" t="s">
        <v>34</v>
      </c>
      <c r="D22" s="986"/>
      <c r="E22" s="987"/>
    </row>
    <row r="23" spans="2:16">
      <c r="B23" s="953" t="s">
        <v>35</v>
      </c>
      <c r="C23" s="985" t="s">
        <v>36</v>
      </c>
      <c r="D23" s="986"/>
      <c r="E23" s="987"/>
    </row>
    <row r="24" spans="2:16">
      <c r="B24" s="953" t="s">
        <v>37</v>
      </c>
      <c r="C24" s="985" t="s">
        <v>38</v>
      </c>
      <c r="D24" s="986"/>
      <c r="E24" s="987"/>
    </row>
    <row r="25" spans="2:16">
      <c r="B25" s="953" t="s">
        <v>39</v>
      </c>
      <c r="C25" s="985" t="s">
        <v>40</v>
      </c>
      <c r="D25" s="986"/>
      <c r="E25" s="987"/>
    </row>
    <row r="26" spans="2:16">
      <c r="B26" s="953" t="s">
        <v>41</v>
      </c>
      <c r="C26" s="985" t="s">
        <v>40</v>
      </c>
      <c r="D26" s="986"/>
      <c r="E26" s="987"/>
    </row>
    <row r="27" spans="2:16">
      <c r="B27" s="953" t="s">
        <v>42</v>
      </c>
      <c r="C27" s="985" t="s">
        <v>43</v>
      </c>
      <c r="D27" s="986"/>
      <c r="E27" s="987"/>
    </row>
    <row r="28" spans="2:16">
      <c r="B28" s="953" t="s">
        <v>44</v>
      </c>
      <c r="C28" s="982" t="s">
        <v>45</v>
      </c>
      <c r="D28" s="983"/>
      <c r="E28" s="984"/>
    </row>
    <row r="29" spans="2:16">
      <c r="B29" s="953" t="s">
        <v>46</v>
      </c>
      <c r="C29" s="982" t="s">
        <v>47</v>
      </c>
      <c r="D29" s="983"/>
      <c r="E29" s="984"/>
    </row>
    <row r="30" spans="2:16">
      <c r="B30" s="953" t="s">
        <v>48</v>
      </c>
      <c r="C30" s="985" t="s">
        <v>49</v>
      </c>
      <c r="D30" s="986"/>
      <c r="E30" s="987"/>
    </row>
    <row r="31" spans="2:16">
      <c r="B31" s="955" t="s">
        <v>50</v>
      </c>
      <c r="C31" s="985" t="s">
        <v>51</v>
      </c>
      <c r="D31" s="986"/>
      <c r="E31" s="987"/>
    </row>
    <row r="32" spans="2:16">
      <c r="B32" s="953" t="s">
        <v>52</v>
      </c>
      <c r="C32" s="985" t="s">
        <v>53</v>
      </c>
      <c r="D32" s="986"/>
      <c r="E32" s="987"/>
    </row>
    <row r="33" spans="2:5">
      <c r="B33" s="953" t="s">
        <v>54</v>
      </c>
      <c r="C33" s="985" t="s">
        <v>53</v>
      </c>
      <c r="D33" s="986"/>
      <c r="E33" s="987"/>
    </row>
    <row r="34" spans="2:5">
      <c r="B34" s="953" t="s">
        <v>55</v>
      </c>
      <c r="C34" s="985" t="s">
        <v>56</v>
      </c>
      <c r="D34" s="986"/>
      <c r="E34" s="987"/>
    </row>
    <row r="35" spans="2:5">
      <c r="B35" s="953" t="s">
        <v>57</v>
      </c>
      <c r="C35" s="985" t="s">
        <v>53</v>
      </c>
      <c r="D35" s="986"/>
      <c r="E35" s="987"/>
    </row>
    <row r="36" spans="2:5">
      <c r="B36" s="953" t="s">
        <v>58</v>
      </c>
      <c r="C36" s="956" t="s">
        <v>53</v>
      </c>
      <c r="D36" s="957"/>
      <c r="E36" s="958"/>
    </row>
    <row r="37" spans="2:5">
      <c r="B37" s="959" t="s">
        <v>59</v>
      </c>
      <c r="C37" s="988" t="s">
        <v>60</v>
      </c>
      <c r="D37" s="989"/>
      <c r="E37" s="990"/>
    </row>
  </sheetData>
  <mergeCells count="21">
    <mergeCell ref="C33:E33"/>
    <mergeCell ref="C34:E34"/>
    <mergeCell ref="C35:E35"/>
    <mergeCell ref="C37:E37"/>
    <mergeCell ref="E2:E3"/>
    <mergeCell ref="E16:E17"/>
    <mergeCell ref="C28:E28"/>
    <mergeCell ref="C29:E29"/>
    <mergeCell ref="C30:E30"/>
    <mergeCell ref="C31:E31"/>
    <mergeCell ref="C32:E32"/>
    <mergeCell ref="C23:E23"/>
    <mergeCell ref="C24:E24"/>
    <mergeCell ref="C25:E25"/>
    <mergeCell ref="C26:E26"/>
    <mergeCell ref="C27:E27"/>
    <mergeCell ref="C18:E18"/>
    <mergeCell ref="C19:E19"/>
    <mergeCell ref="C20:E20"/>
    <mergeCell ref="C21:E21"/>
    <mergeCell ref="C22:E22"/>
  </mergeCells>
  <phoneticPr fontId="96" type="noConversion"/>
  <dataValidations count="4">
    <dataValidation type="textLength" operator="equal" allowBlank="1" showInputMessage="1" showErrorMessage="1" sqref="C7" xr:uid="{00000000-0002-0000-0000-000000000000}">
      <formula1>6</formula1>
    </dataValidation>
    <dataValidation type="date" operator="lessThanOrEqual" allowBlank="1" showInputMessage="1" showErrorMessage="1" errorTitle="预测日期输入错误" error="输入的预测日期必须小于等于今天！" sqref="C8" xr:uid="{00000000-0002-0000-0000-000001000000}">
      <formula1>TODAY()</formula1>
    </dataValidation>
    <dataValidation type="textLength" operator="equal" allowBlank="1" showInputMessage="1" showErrorMessage="1" errorTitle="输入年份错误" error="请输入正确的4位数年份！" sqref="C9 C10" xr:uid="{00000000-0002-0000-0000-000002000000}">
      <formula1>4</formula1>
    </dataValidation>
    <dataValidation type="custom" allowBlank="1" showInputMessage="1" showErrorMessage="1" sqref="C12" xr:uid="{00000000-0002-0000-0000-000003000000}">
      <formula1>"合并报表  , 合并报表（调整）"</formula1>
    </dataValidation>
  </dataValidations>
  <hyperlinks>
    <hyperlink ref="B18" location="目录!A1" display="目录" xr:uid="{00000000-0004-0000-0000-000000000000}"/>
    <hyperlink ref="B19" location="说明!A1" display="说明" xr:uid="{00000000-0004-0000-0000-000001000000}"/>
    <hyperlink ref="B20" location="'历史年度（原始）'!A1" display="历史年度（原始）" xr:uid="{00000000-0004-0000-0000-000002000000}"/>
    <hyperlink ref="B28" location="财务分析!A1" display="财务分析" xr:uid="{00000000-0004-0000-0000-000003000000}"/>
    <hyperlink ref="B29" location="图形分析!A1" display="图形分析" xr:uid="{00000000-0004-0000-0000-000004000000}"/>
    <hyperlink ref="B30" location="情景分析!A1" display="情景分析" xr:uid="{00000000-0004-0000-0000-000005000000}"/>
    <hyperlink ref="B21" location="'历史年度（简化）'!A1" display="历史年度（简化）" xr:uid="{00000000-0004-0000-0000-000006000000}"/>
    <hyperlink ref="B22" location="假设!A1" display="假设" xr:uid="{00000000-0004-0000-0000-000007000000}"/>
    <hyperlink ref="B23" location="投资!A1" display="投资" xr:uid="{00000000-0004-0000-0000-000008000000}"/>
    <hyperlink ref="B24" location="筹资!A1" display="筹资" xr:uid="{00000000-0004-0000-0000-000009000000}"/>
    <hyperlink ref="B25" location="预测利润表!A1" display="预测利润表" xr:uid="{00000000-0004-0000-0000-00000A000000}"/>
    <hyperlink ref="B26" location="预测资产负债表!A1" display="预测资产负债表" xr:uid="{00000000-0004-0000-0000-00000B000000}"/>
    <hyperlink ref="B27" location="预测现金流量表!A1" display="预测现金流量表" xr:uid="{00000000-0004-0000-0000-00000C000000}"/>
    <hyperlink ref="B31" location="绝对估值!A1" display="绝对估值" xr:uid="{00000000-0004-0000-0000-00000D000000}"/>
    <hyperlink ref="B32" location="绝对估值敏感性分析!A1" display="绝对估值敏感分析" xr:uid="{00000000-0004-0000-0000-00000E000000}"/>
    <hyperlink ref="B33" location="相对估值!A1" display="相对估值" xr:uid="{00000000-0004-0000-0000-00000F000000}"/>
    <hyperlink ref="B37" location="输出报告!A1" display="输出报告" xr:uid="{00000000-0004-0000-0000-000010000000}"/>
    <hyperlink ref="B35" location="'历史数据（单季）'!A1" display="历史数据（单季）" xr:uid="{00000000-0004-0000-0000-000011000000}"/>
    <hyperlink ref="B34" location="可比公司估值!A1" display="可比公司估值" xr:uid="{00000000-0004-0000-0000-000012000000}"/>
    <hyperlink ref="B36" location="杜邦分析!A1" display="杜邦分析" xr:uid="{00000000-0004-0000-0000-000013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33" r:id="rId4" name="Button 5">
              <controlPr defaultSize="0" print="0" autoPict="0" macro="[0]!BeginCalculate">
                <anchor moveWithCells="1" sizeWithCells="1">
                  <from>
                    <xdr:col>4</xdr:col>
                    <xdr:colOff>351026</xdr:colOff>
                    <xdr:row>15</xdr:row>
                    <xdr:rowOff>60671</xdr:rowOff>
                  </from>
                  <to>
                    <xdr:col>5</xdr:col>
                    <xdr:colOff>0</xdr:colOff>
                    <xdr:row>16</xdr:row>
                    <xdr:rowOff>173346</xdr:rowOff>
                  </to>
                </anchor>
              </controlPr>
            </control>
          </mc:Choice>
        </mc:AlternateContent>
        <mc:AlternateContent xmlns:mc="http://schemas.openxmlformats.org/markup-compatibility/2006">
          <mc:Choice Requires="x14">
            <control shapeId="48156" r:id="rId5" name="Drop Down 28">
              <controlPr defaultSize="0" autoPict="0">
                <anchor moveWithCells="1">
                  <from>
                    <xdr:col>1</xdr:col>
                    <xdr:colOff>1135416</xdr:colOff>
                    <xdr:row>12</xdr:row>
                    <xdr:rowOff>8667</xdr:rowOff>
                  </from>
                  <to>
                    <xdr:col>3</xdr:col>
                    <xdr:colOff>0</xdr:colOff>
                    <xdr:row>13</xdr:row>
                    <xdr:rowOff>0</xdr:rowOff>
                  </to>
                </anchor>
              </controlPr>
            </control>
          </mc:Choice>
        </mc:AlternateContent>
        <mc:AlternateContent xmlns:mc="http://schemas.openxmlformats.org/markup-compatibility/2006">
          <mc:Choice Requires="x14">
            <control shapeId="48158" r:id="rId6" name="Drop Down 30">
              <controlPr defaultSize="0" autoPict="0">
                <anchor moveWithCells="1">
                  <from>
                    <xdr:col>1</xdr:col>
                    <xdr:colOff>1135416</xdr:colOff>
                    <xdr:row>11</xdr:row>
                    <xdr:rowOff>21668</xdr:rowOff>
                  </from>
                  <to>
                    <xdr:col>2</xdr:col>
                    <xdr:colOff>1265426</xdr:colOff>
                    <xdr:row>12</xdr:row>
                    <xdr:rowOff>8667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2:C331"/>
  <sheetViews>
    <sheetView workbookViewId="0">
      <selection activeCell="C18" sqref="C18"/>
    </sheetView>
  </sheetViews>
  <sheetFormatPr defaultColWidth="9" defaultRowHeight="14.35"/>
  <cols>
    <col min="1" max="1" width="52.25" customWidth="1"/>
    <col min="2" max="2" width="26.25" customWidth="1"/>
    <col min="3" max="3" width="45.125" customWidth="1"/>
  </cols>
  <sheetData>
    <row r="2" spans="1:3">
      <c r="A2" t="s">
        <v>61</v>
      </c>
      <c r="C2" t="s">
        <v>62</v>
      </c>
    </row>
    <row r="3" spans="1:3">
      <c r="A3" t="s">
        <v>63</v>
      </c>
      <c r="C3" t="s">
        <v>64</v>
      </c>
    </row>
    <row r="4" spans="1:3">
      <c r="A4" t="s">
        <v>65</v>
      </c>
      <c r="C4" t="s">
        <v>66</v>
      </c>
    </row>
    <row r="5" spans="1:3">
      <c r="A5" t="s">
        <v>67</v>
      </c>
      <c r="C5" t="s">
        <v>68</v>
      </c>
    </row>
    <row r="6" spans="1:3">
      <c r="A6" t="s">
        <v>69</v>
      </c>
      <c r="C6" t="s">
        <v>70</v>
      </c>
    </row>
    <row r="7" spans="1:3">
      <c r="A7" s="1" t="s">
        <v>71</v>
      </c>
      <c r="B7" s="2"/>
      <c r="C7" s="1" t="s">
        <v>72</v>
      </c>
    </row>
    <row r="8" spans="1:3">
      <c r="A8" s="1" t="s">
        <v>73</v>
      </c>
      <c r="B8" s="2"/>
      <c r="C8" s="1" t="s">
        <v>74</v>
      </c>
    </row>
    <row r="9" spans="1:3">
      <c r="A9" t="s">
        <v>75</v>
      </c>
      <c r="C9" t="s">
        <v>76</v>
      </c>
    </row>
    <row r="10" spans="1:3">
      <c r="A10" t="s">
        <v>77</v>
      </c>
      <c r="C10" t="s">
        <v>78</v>
      </c>
    </row>
    <row r="11" spans="1:3">
      <c r="A11" t="s">
        <v>79</v>
      </c>
      <c r="C11" t="s">
        <v>80</v>
      </c>
    </row>
    <row r="12" spans="1:3">
      <c r="A12" t="s">
        <v>81</v>
      </c>
      <c r="C12" t="s">
        <v>82</v>
      </c>
    </row>
    <row r="13" spans="1:3">
      <c r="A13" s="1" t="s">
        <v>83</v>
      </c>
      <c r="C13" s="1" t="s">
        <v>84</v>
      </c>
    </row>
    <row r="14" spans="1:3">
      <c r="A14" t="s">
        <v>85</v>
      </c>
      <c r="C14" t="s">
        <v>86</v>
      </c>
    </row>
    <row r="15" spans="1:3">
      <c r="A15" t="s">
        <v>87</v>
      </c>
      <c r="C15" t="s">
        <v>88</v>
      </c>
    </row>
    <row r="16" spans="1:3">
      <c r="A16" t="s">
        <v>89</v>
      </c>
      <c r="C16" t="s">
        <v>90</v>
      </c>
    </row>
    <row r="17" spans="1:3">
      <c r="A17" t="s">
        <v>91</v>
      </c>
      <c r="C17" t="s">
        <v>92</v>
      </c>
    </row>
    <row r="18" spans="1:3">
      <c r="A18" t="s">
        <v>93</v>
      </c>
      <c r="C18" t="s">
        <v>94</v>
      </c>
    </row>
    <row r="19" spans="1:3">
      <c r="A19" s="1" t="s">
        <v>95</v>
      </c>
      <c r="C19" s="1" t="s">
        <v>96</v>
      </c>
    </row>
    <row r="20" spans="1:3">
      <c r="A20" t="s">
        <v>97</v>
      </c>
      <c r="C20" t="s">
        <v>98</v>
      </c>
    </row>
    <row r="21" spans="1:3">
      <c r="A21" t="s">
        <v>99</v>
      </c>
      <c r="C21" t="s">
        <v>100</v>
      </c>
    </row>
    <row r="22" spans="1:3">
      <c r="A22" t="s">
        <v>101</v>
      </c>
      <c r="C22" t="s">
        <v>102</v>
      </c>
    </row>
    <row r="23" spans="1:3">
      <c r="A23" t="s">
        <v>103</v>
      </c>
      <c r="C23" t="s">
        <v>104</v>
      </c>
    </row>
    <row r="24" spans="1:3">
      <c r="A24" s="1" t="s">
        <v>105</v>
      </c>
      <c r="C24" s="1" t="s">
        <v>106</v>
      </c>
    </row>
    <row r="25" spans="1:3" ht="15.05">
      <c r="A25" s="1" t="s">
        <v>107</v>
      </c>
      <c r="B25" s="9"/>
      <c r="C25" s="1" t="s">
        <v>108</v>
      </c>
    </row>
    <row r="26" spans="1:3">
      <c r="A26" t="s">
        <v>109</v>
      </c>
      <c r="C26" t="s">
        <v>110</v>
      </c>
    </row>
    <row r="27" spans="1:3">
      <c r="A27" s="1" t="s">
        <v>111</v>
      </c>
      <c r="C27" s="1" t="s">
        <v>112</v>
      </c>
    </row>
    <row r="28" spans="1:3">
      <c r="A28" s="1" t="s">
        <v>113</v>
      </c>
      <c r="C28" s="1" t="s">
        <v>114</v>
      </c>
    </row>
    <row r="30" spans="1:3">
      <c r="A30" t="s">
        <v>115</v>
      </c>
      <c r="C30" t="s">
        <v>116</v>
      </c>
    </row>
    <row r="31" spans="1:3">
      <c r="A31" t="s">
        <v>117</v>
      </c>
      <c r="C31" t="s">
        <v>118</v>
      </c>
    </row>
    <row r="32" spans="1:3">
      <c r="A32" t="s">
        <v>119</v>
      </c>
      <c r="C32" t="s">
        <v>120</v>
      </c>
    </row>
    <row r="33" spans="1:3">
      <c r="A33" s="1" t="s">
        <v>121</v>
      </c>
      <c r="C33" s="1" t="s">
        <v>122</v>
      </c>
    </row>
    <row r="34" spans="1:3">
      <c r="A34" t="s">
        <v>123</v>
      </c>
      <c r="C34" t="s">
        <v>124</v>
      </c>
    </row>
    <row r="35" spans="1:3">
      <c r="A35" s="2" t="s">
        <v>125</v>
      </c>
      <c r="C35" t="s">
        <v>126</v>
      </c>
    </row>
    <row r="36" spans="1:3">
      <c r="A36" s="2" t="s">
        <v>127</v>
      </c>
      <c r="C36" t="s">
        <v>128</v>
      </c>
    </row>
    <row r="37" spans="1:3">
      <c r="A37" t="s">
        <v>129</v>
      </c>
      <c r="C37" t="s">
        <v>130</v>
      </c>
    </row>
    <row r="38" spans="1:3">
      <c r="A38" t="s">
        <v>131</v>
      </c>
      <c r="C38" t="s">
        <v>132</v>
      </c>
    </row>
    <row r="39" spans="1:3">
      <c r="A39" t="s">
        <v>133</v>
      </c>
      <c r="C39" t="s">
        <v>134</v>
      </c>
    </row>
    <row r="40" spans="1:3">
      <c r="A40" t="s">
        <v>135</v>
      </c>
      <c r="C40" t="s">
        <v>136</v>
      </c>
    </row>
    <row r="41" spans="1:3">
      <c r="A41" s="1" t="s">
        <v>137</v>
      </c>
      <c r="C41" t="s">
        <v>138</v>
      </c>
    </row>
    <row r="42" spans="1:3">
      <c r="A42" t="s">
        <v>139</v>
      </c>
      <c r="C42" t="s">
        <v>140</v>
      </c>
    </row>
    <row r="43" spans="1:3">
      <c r="A43" t="s">
        <v>141</v>
      </c>
      <c r="C43" t="s">
        <v>142</v>
      </c>
    </row>
    <row r="44" spans="1:3">
      <c r="A44" t="s">
        <v>143</v>
      </c>
      <c r="C44" t="s">
        <v>144</v>
      </c>
    </row>
    <row r="45" spans="1:3">
      <c r="A45" t="s">
        <v>145</v>
      </c>
      <c r="C45" t="s">
        <v>146</v>
      </c>
    </row>
    <row r="46" spans="1:3">
      <c r="A46" t="s">
        <v>147</v>
      </c>
      <c r="C46" t="s">
        <v>148</v>
      </c>
    </row>
    <row r="47" spans="1:3">
      <c r="A47" t="s">
        <v>149</v>
      </c>
      <c r="C47" t="s">
        <v>150</v>
      </c>
    </row>
    <row r="48" spans="1:3">
      <c r="A48" t="s">
        <v>151</v>
      </c>
      <c r="C48" t="s">
        <v>152</v>
      </c>
    </row>
    <row r="49" spans="1:3">
      <c r="A49" t="s">
        <v>153</v>
      </c>
      <c r="C49" t="s">
        <v>154</v>
      </c>
    </row>
    <row r="50" spans="1:3">
      <c r="A50" t="s">
        <v>155</v>
      </c>
      <c r="C50" t="s">
        <v>156</v>
      </c>
    </row>
    <row r="51" spans="1:3">
      <c r="A51" t="s">
        <v>157</v>
      </c>
      <c r="C51" t="s">
        <v>158</v>
      </c>
    </row>
    <row r="52" spans="1:3">
      <c r="A52" t="s">
        <v>159</v>
      </c>
      <c r="C52" t="s">
        <v>160</v>
      </c>
    </row>
    <row r="53" spans="1:3">
      <c r="A53" t="s">
        <v>161</v>
      </c>
    </row>
    <row r="54" spans="1:3">
      <c r="C54" t="s">
        <v>162</v>
      </c>
    </row>
    <row r="55" spans="1:3">
      <c r="A55" t="s">
        <v>163</v>
      </c>
      <c r="C55" t="s">
        <v>164</v>
      </c>
    </row>
    <row r="56" spans="1:3">
      <c r="A56" t="s">
        <v>165</v>
      </c>
    </row>
    <row r="60" spans="1:3">
      <c r="A60" t="s">
        <v>166</v>
      </c>
    </row>
    <row r="61" spans="1:3">
      <c r="A61" t="s">
        <v>167</v>
      </c>
    </row>
    <row r="62" spans="1:3">
      <c r="A62" t="s">
        <v>168</v>
      </c>
    </row>
    <row r="63" spans="1:3">
      <c r="A63" s="1" t="s">
        <v>169</v>
      </c>
    </row>
    <row r="64" spans="1:3">
      <c r="A64" s="1" t="s">
        <v>170</v>
      </c>
    </row>
    <row r="65" spans="1:1">
      <c r="A65" t="s">
        <v>171</v>
      </c>
    </row>
    <row r="66" spans="1:1">
      <c r="A66" s="1" t="s">
        <v>172</v>
      </c>
    </row>
    <row r="67" spans="1:1">
      <c r="A67" s="1" t="s">
        <v>173</v>
      </c>
    </row>
    <row r="68" spans="1:1">
      <c r="A68" s="1" t="s">
        <v>174</v>
      </c>
    </row>
    <row r="69" spans="1:1">
      <c r="A69" t="s">
        <v>175</v>
      </c>
    </row>
    <row r="70" spans="1:1">
      <c r="A70" t="s">
        <v>176</v>
      </c>
    </row>
    <row r="71" spans="1:1">
      <c r="A71" t="s">
        <v>177</v>
      </c>
    </row>
    <row r="72" spans="1:1">
      <c r="A72" t="s">
        <v>178</v>
      </c>
    </row>
    <row r="73" spans="1:1">
      <c r="A73" t="s">
        <v>179</v>
      </c>
    </row>
    <row r="74" spans="1:1">
      <c r="A74" t="s">
        <v>180</v>
      </c>
    </row>
    <row r="75" spans="1:1">
      <c r="A75" t="s">
        <v>181</v>
      </c>
    </row>
    <row r="76" spans="1:1">
      <c r="A76" t="s">
        <v>182</v>
      </c>
    </row>
    <row r="77" spans="1:1">
      <c r="A77" t="s">
        <v>183</v>
      </c>
    </row>
    <row r="78" spans="1:1">
      <c r="A78" s="1" t="s">
        <v>184</v>
      </c>
    </row>
    <row r="79" spans="1:1">
      <c r="A79" s="1" t="s">
        <v>185</v>
      </c>
    </row>
    <row r="80" spans="1:1">
      <c r="A80" s="1" t="s">
        <v>186</v>
      </c>
    </row>
    <row r="81" spans="1:1">
      <c r="A81" t="s">
        <v>187</v>
      </c>
    </row>
    <row r="82" spans="1:1">
      <c r="A82" s="1" t="s">
        <v>188</v>
      </c>
    </row>
    <row r="83" spans="1:1">
      <c r="A83" s="1" t="s">
        <v>189</v>
      </c>
    </row>
    <row r="84" spans="1:1">
      <c r="A84" t="s">
        <v>190</v>
      </c>
    </row>
    <row r="85" spans="1:1">
      <c r="A85" s="1" t="s">
        <v>191</v>
      </c>
    </row>
    <row r="86" spans="1:1">
      <c r="A86" s="1" t="s">
        <v>192</v>
      </c>
    </row>
    <row r="87" spans="1:1">
      <c r="A87" t="s">
        <v>193</v>
      </c>
    </row>
    <row r="88" spans="1:1">
      <c r="A88" s="1" t="s">
        <v>194</v>
      </c>
    </row>
    <row r="89" spans="1:1">
      <c r="A89" t="s">
        <v>195</v>
      </c>
    </row>
    <row r="90" spans="1:1">
      <c r="A90" t="s">
        <v>196</v>
      </c>
    </row>
    <row r="91" spans="1:1">
      <c r="A91" t="s">
        <v>197</v>
      </c>
    </row>
    <row r="92" spans="1:1">
      <c r="A92" t="s">
        <v>198</v>
      </c>
    </row>
    <row r="94" spans="1:1">
      <c r="A94" t="s">
        <v>199</v>
      </c>
    </row>
    <row r="95" spans="1:1">
      <c r="A95" s="1" t="s">
        <v>200</v>
      </c>
    </row>
    <row r="96" spans="1:1">
      <c r="A96" s="1" t="s">
        <v>201</v>
      </c>
    </row>
    <row r="97" spans="1:1">
      <c r="A97" s="1" t="s">
        <v>202</v>
      </c>
    </row>
    <row r="98" spans="1:1">
      <c r="A98" s="1" t="s">
        <v>203</v>
      </c>
    </row>
    <row r="99" spans="1:1">
      <c r="A99" t="s">
        <v>204</v>
      </c>
    </row>
    <row r="100" spans="1:1">
      <c r="A100" t="s">
        <v>205</v>
      </c>
    </row>
    <row r="101" spans="1:1">
      <c r="A101" t="s">
        <v>206</v>
      </c>
    </row>
    <row r="102" spans="1:1">
      <c r="A102" t="s">
        <v>207</v>
      </c>
    </row>
    <row r="103" spans="1:1">
      <c r="A103" s="1" t="s">
        <v>208</v>
      </c>
    </row>
    <row r="104" spans="1:1">
      <c r="A104" s="1" t="s">
        <v>209</v>
      </c>
    </row>
    <row r="105" spans="1:1">
      <c r="A105" t="s">
        <v>210</v>
      </c>
    </row>
    <row r="106" spans="1:1">
      <c r="A106" t="s">
        <v>211</v>
      </c>
    </row>
    <row r="107" spans="1:1">
      <c r="A107" t="s">
        <v>212</v>
      </c>
    </row>
    <row r="108" spans="1:1">
      <c r="A108" t="s">
        <v>213</v>
      </c>
    </row>
    <row r="109" spans="1:1">
      <c r="A109" t="s">
        <v>214</v>
      </c>
    </row>
    <row r="110" spans="1:1">
      <c r="A110" t="s">
        <v>215</v>
      </c>
    </row>
    <row r="111" spans="1:1">
      <c r="A111" t="s">
        <v>216</v>
      </c>
    </row>
    <row r="112" spans="1:1">
      <c r="A112" t="s">
        <v>217</v>
      </c>
    </row>
    <row r="113" spans="1:1">
      <c r="A113" t="s">
        <v>218</v>
      </c>
    </row>
    <row r="114" spans="1:1">
      <c r="A114" t="s">
        <v>219</v>
      </c>
    </row>
    <row r="115" spans="1:1">
      <c r="A115" t="s">
        <v>220</v>
      </c>
    </row>
    <row r="116" spans="1:1">
      <c r="A116" t="s">
        <v>221</v>
      </c>
    </row>
    <row r="117" spans="1:1">
      <c r="A117" t="s">
        <v>222</v>
      </c>
    </row>
    <row r="118" spans="1:1">
      <c r="A118" t="s">
        <v>223</v>
      </c>
    </row>
    <row r="119" spans="1:1">
      <c r="A119" t="s">
        <v>224</v>
      </c>
    </row>
    <row r="120" spans="1:1">
      <c r="A120" t="s">
        <v>225</v>
      </c>
    </row>
    <row r="121" spans="1:1">
      <c r="A121" t="s">
        <v>226</v>
      </c>
    </row>
    <row r="122" spans="1:1">
      <c r="A122" t="s">
        <v>227</v>
      </c>
    </row>
    <row r="123" spans="1:1">
      <c r="A123" t="s">
        <v>228</v>
      </c>
    </row>
    <row r="125" spans="1:1">
      <c r="A125" t="s">
        <v>229</v>
      </c>
    </row>
    <row r="126" spans="1:1">
      <c r="A126" t="s">
        <v>230</v>
      </c>
    </row>
    <row r="127" spans="1:1">
      <c r="A127" t="s">
        <v>231</v>
      </c>
    </row>
    <row r="128" spans="1:1">
      <c r="A128" t="s">
        <v>232</v>
      </c>
    </row>
    <row r="129" spans="1:1">
      <c r="A129" s="1" t="s">
        <v>233</v>
      </c>
    </row>
    <row r="130" spans="1:1">
      <c r="A130" t="s">
        <v>234</v>
      </c>
    </row>
    <row r="131" spans="1:1">
      <c r="A131" s="1" t="s">
        <v>235</v>
      </c>
    </row>
    <row r="132" spans="1:1">
      <c r="A132" s="1" t="s">
        <v>236</v>
      </c>
    </row>
    <row r="133" spans="1:1">
      <c r="A133" s="1" t="s">
        <v>237</v>
      </c>
    </row>
    <row r="134" spans="1:1">
      <c r="A134" t="s">
        <v>238</v>
      </c>
    </row>
    <row r="135" spans="1:1">
      <c r="A135" t="s">
        <v>239</v>
      </c>
    </row>
    <row r="136" spans="1:1">
      <c r="A136" t="s">
        <v>240</v>
      </c>
    </row>
    <row r="137" spans="1:1">
      <c r="A137" s="1" t="s">
        <v>241</v>
      </c>
    </row>
    <row r="138" spans="1:1">
      <c r="A138" t="s">
        <v>242</v>
      </c>
    </row>
    <row r="139" spans="1:1">
      <c r="A139" t="s">
        <v>243</v>
      </c>
    </row>
    <row r="140" spans="1:1">
      <c r="A140" t="s">
        <v>244</v>
      </c>
    </row>
    <row r="141" spans="1:1">
      <c r="A141" t="s">
        <v>245</v>
      </c>
    </row>
    <row r="142" spans="1:1">
      <c r="A142" t="s">
        <v>246</v>
      </c>
    </row>
    <row r="143" spans="1:1">
      <c r="A143" t="s">
        <v>247</v>
      </c>
    </row>
    <row r="144" spans="1:1">
      <c r="A144" t="s">
        <v>248</v>
      </c>
    </row>
    <row r="145" spans="1:1">
      <c r="A145" s="1" t="s">
        <v>249</v>
      </c>
    </row>
    <row r="146" spans="1:1">
      <c r="A146" t="s">
        <v>250</v>
      </c>
    </row>
    <row r="147" spans="1:1">
      <c r="A147" s="1" t="s">
        <v>251</v>
      </c>
    </row>
    <row r="148" spans="1:1">
      <c r="A148" t="s">
        <v>252</v>
      </c>
    </row>
    <row r="149" spans="1:1">
      <c r="A149" t="s">
        <v>253</v>
      </c>
    </row>
    <row r="150" spans="1:1">
      <c r="A150" t="s">
        <v>254</v>
      </c>
    </row>
    <row r="151" spans="1:1">
      <c r="A151" t="s">
        <v>255</v>
      </c>
    </row>
    <row r="152" spans="1:1">
      <c r="A152" s="1" t="s">
        <v>256</v>
      </c>
    </row>
    <row r="153" spans="1:1">
      <c r="A153" s="1" t="s">
        <v>257</v>
      </c>
    </row>
    <row r="154" spans="1:1">
      <c r="A154" s="1" t="s">
        <v>258</v>
      </c>
    </row>
    <row r="155" spans="1:1">
      <c r="A155" t="s">
        <v>259</v>
      </c>
    </row>
    <row r="156" spans="1:1">
      <c r="A156" s="1" t="s">
        <v>260</v>
      </c>
    </row>
    <row r="157" spans="1:1">
      <c r="A157" t="s">
        <v>261</v>
      </c>
    </row>
    <row r="158" spans="1:1">
      <c r="A158" t="s">
        <v>262</v>
      </c>
    </row>
    <row r="159" spans="1:1">
      <c r="A159" t="s">
        <v>263</v>
      </c>
    </row>
    <row r="160" spans="1:1">
      <c r="A160" t="s">
        <v>264</v>
      </c>
    </row>
    <row r="162" spans="1:3">
      <c r="A162" t="s">
        <v>265</v>
      </c>
    </row>
    <row r="163" spans="1:3">
      <c r="A163" s="1" t="s">
        <v>266</v>
      </c>
    </row>
    <row r="164" spans="1:3">
      <c r="A164" t="s">
        <v>267</v>
      </c>
    </row>
    <row r="165" spans="1:3">
      <c r="A165" s="1" t="s">
        <v>268</v>
      </c>
    </row>
    <row r="166" spans="1:3">
      <c r="A166" s="1" t="s">
        <v>269</v>
      </c>
    </row>
    <row r="167" spans="1:3">
      <c r="A167" t="s">
        <v>270</v>
      </c>
    </row>
    <row r="168" spans="1:3">
      <c r="A168" s="1" t="s">
        <v>271</v>
      </c>
    </row>
    <row r="169" spans="1:3">
      <c r="A169" t="s">
        <v>272</v>
      </c>
    </row>
    <row r="170" spans="1:3">
      <c r="A170" t="s">
        <v>273</v>
      </c>
      <c r="C170" t="s">
        <v>274</v>
      </c>
    </row>
    <row r="171" spans="1:3">
      <c r="A171" t="s">
        <v>275</v>
      </c>
      <c r="C171" s="1" t="s">
        <v>276</v>
      </c>
    </row>
    <row r="172" spans="1:3">
      <c r="A172" t="s">
        <v>277</v>
      </c>
      <c r="C172" s="1" t="s">
        <v>278</v>
      </c>
    </row>
    <row r="173" spans="1:3">
      <c r="A173" t="s">
        <v>279</v>
      </c>
      <c r="C173" s="1" t="s">
        <v>280</v>
      </c>
    </row>
    <row r="174" spans="1:3">
      <c r="A174" t="s">
        <v>281</v>
      </c>
      <c r="C174" s="1" t="s">
        <v>282</v>
      </c>
    </row>
    <row r="175" spans="1:3">
      <c r="A175" t="s">
        <v>283</v>
      </c>
      <c r="C175" s="1" t="s">
        <v>284</v>
      </c>
    </row>
    <row r="176" spans="1:3">
      <c r="A176" t="s">
        <v>285</v>
      </c>
      <c r="C176" s="1" t="s">
        <v>286</v>
      </c>
    </row>
    <row r="177" spans="1:3">
      <c r="A177" t="s">
        <v>287</v>
      </c>
      <c r="C177" s="1" t="s">
        <v>288</v>
      </c>
    </row>
    <row r="178" spans="1:3">
      <c r="A178" t="s">
        <v>289</v>
      </c>
      <c r="C178" s="1" t="s">
        <v>290</v>
      </c>
    </row>
    <row r="179" spans="1:3">
      <c r="A179" t="s">
        <v>291</v>
      </c>
      <c r="C179" s="1" t="s">
        <v>292</v>
      </c>
    </row>
    <row r="180" spans="1:3">
      <c r="C180" s="1" t="s">
        <v>293</v>
      </c>
    </row>
    <row r="181" spans="1:3">
      <c r="A181" t="s">
        <v>294</v>
      </c>
      <c r="C181" s="1" t="s">
        <v>295</v>
      </c>
    </row>
    <row r="182" spans="1:3">
      <c r="A182" s="1" t="s">
        <v>296</v>
      </c>
      <c r="C182" t="s">
        <v>297</v>
      </c>
    </row>
    <row r="183" spans="1:3">
      <c r="A183" s="1" t="s">
        <v>298</v>
      </c>
      <c r="C183" t="s">
        <v>299</v>
      </c>
    </row>
    <row r="184" spans="1:3">
      <c r="A184" s="1" t="s">
        <v>300</v>
      </c>
      <c r="C184" t="s">
        <v>301</v>
      </c>
    </row>
    <row r="185" spans="1:3">
      <c r="A185" s="1" t="s">
        <v>302</v>
      </c>
      <c r="C185" t="s">
        <v>303</v>
      </c>
    </row>
    <row r="186" spans="1:3">
      <c r="A186" t="s">
        <v>304</v>
      </c>
      <c r="C186" t="s">
        <v>305</v>
      </c>
    </row>
    <row r="187" spans="1:3">
      <c r="A187" t="s">
        <v>306</v>
      </c>
      <c r="C187" t="s">
        <v>307</v>
      </c>
    </row>
    <row r="188" spans="1:3">
      <c r="A188" s="1" t="s">
        <v>308</v>
      </c>
      <c r="C188" s="1" t="s">
        <v>309</v>
      </c>
    </row>
    <row r="189" spans="1:3">
      <c r="A189" s="1" t="s">
        <v>310</v>
      </c>
      <c r="C189" s="1" t="s">
        <v>311</v>
      </c>
    </row>
    <row r="190" spans="1:3">
      <c r="A190" t="s">
        <v>312</v>
      </c>
      <c r="C190" s="1" t="s">
        <v>313</v>
      </c>
    </row>
    <row r="191" spans="1:3">
      <c r="A191" t="s">
        <v>314</v>
      </c>
      <c r="C191" s="1" t="s">
        <v>315</v>
      </c>
    </row>
    <row r="192" spans="1:3">
      <c r="A192" t="s">
        <v>316</v>
      </c>
      <c r="C192" s="1" t="s">
        <v>317</v>
      </c>
    </row>
    <row r="193" spans="1:3">
      <c r="A193" t="s">
        <v>318</v>
      </c>
      <c r="C193" t="s">
        <v>319</v>
      </c>
    </row>
    <row r="194" spans="1:3">
      <c r="A194" s="1" t="s">
        <v>320</v>
      </c>
      <c r="C194" t="s">
        <v>321</v>
      </c>
    </row>
    <row r="195" spans="1:3">
      <c r="A195" t="s">
        <v>322</v>
      </c>
      <c r="C195" t="s">
        <v>323</v>
      </c>
    </row>
    <row r="196" spans="1:3">
      <c r="A196" s="1" t="s">
        <v>324</v>
      </c>
      <c r="C196" t="s">
        <v>325</v>
      </c>
    </row>
    <row r="197" spans="1:3">
      <c r="A197" s="1" t="s">
        <v>326</v>
      </c>
      <c r="C197" t="s">
        <v>327</v>
      </c>
    </row>
    <row r="198" spans="1:3">
      <c r="A198" t="s">
        <v>328</v>
      </c>
      <c r="C198" t="s">
        <v>329</v>
      </c>
    </row>
    <row r="199" spans="1:3">
      <c r="A199" t="s">
        <v>330</v>
      </c>
      <c r="C199" s="1" t="s">
        <v>331</v>
      </c>
    </row>
    <row r="200" spans="1:3">
      <c r="A200" t="s">
        <v>332</v>
      </c>
      <c r="C200" t="s">
        <v>333</v>
      </c>
    </row>
    <row r="201" spans="1:3">
      <c r="A201" t="s">
        <v>334</v>
      </c>
      <c r="C201" t="s">
        <v>335</v>
      </c>
    </row>
    <row r="202" spans="1:3">
      <c r="A202" t="s">
        <v>336</v>
      </c>
    </row>
    <row r="203" spans="1:3">
      <c r="A203" t="s">
        <v>337</v>
      </c>
      <c r="C203" t="s">
        <v>338</v>
      </c>
    </row>
    <row r="204" spans="1:3">
      <c r="A204" t="s">
        <v>339</v>
      </c>
      <c r="C204" t="s">
        <v>340</v>
      </c>
    </row>
    <row r="205" spans="1:3">
      <c r="A205" t="s">
        <v>341</v>
      </c>
      <c r="C205" t="s">
        <v>342</v>
      </c>
    </row>
    <row r="206" spans="1:3">
      <c r="C206" t="s">
        <v>343</v>
      </c>
    </row>
    <row r="207" spans="1:3">
      <c r="C207" s="1" t="s">
        <v>344</v>
      </c>
    </row>
    <row r="208" spans="1:3">
      <c r="C208" t="s">
        <v>345</v>
      </c>
    </row>
    <row r="209" spans="1:3">
      <c r="A209" t="s">
        <v>346</v>
      </c>
      <c r="C209" t="s">
        <v>347</v>
      </c>
    </row>
    <row r="210" spans="1:3">
      <c r="A210" s="1" t="s">
        <v>348</v>
      </c>
      <c r="C210" t="s">
        <v>349</v>
      </c>
    </row>
    <row r="211" spans="1:3">
      <c r="A211" s="1" t="s">
        <v>350</v>
      </c>
      <c r="C211" t="s">
        <v>351</v>
      </c>
    </row>
    <row r="212" spans="1:3">
      <c r="A212" s="1" t="s">
        <v>352</v>
      </c>
      <c r="C212" t="s">
        <v>353</v>
      </c>
    </row>
    <row r="213" spans="1:3">
      <c r="A213" s="1" t="s">
        <v>354</v>
      </c>
      <c r="C213" t="s">
        <v>355</v>
      </c>
    </row>
    <row r="214" spans="1:3">
      <c r="A214" s="1" t="s">
        <v>356</v>
      </c>
      <c r="C214" s="1" t="s">
        <v>357</v>
      </c>
    </row>
    <row r="215" spans="1:3">
      <c r="A215" s="1" t="s">
        <v>358</v>
      </c>
      <c r="C215" t="s">
        <v>359</v>
      </c>
    </row>
    <row r="216" spans="1:3">
      <c r="A216" s="1" t="s">
        <v>360</v>
      </c>
      <c r="C216" s="1" t="s">
        <v>361</v>
      </c>
    </row>
    <row r="217" spans="1:3">
      <c r="A217" s="1" t="s">
        <v>362</v>
      </c>
      <c r="C217" t="s">
        <v>363</v>
      </c>
    </row>
    <row r="218" spans="1:3">
      <c r="A218" s="1" t="s">
        <v>364</v>
      </c>
      <c r="C218" t="s">
        <v>365</v>
      </c>
    </row>
    <row r="219" spans="1:3">
      <c r="A219" s="1" t="s">
        <v>366</v>
      </c>
      <c r="C219" t="s">
        <v>367</v>
      </c>
    </row>
    <row r="220" spans="1:3">
      <c r="A220" s="1" t="s">
        <v>368</v>
      </c>
      <c r="C220" t="s">
        <v>369</v>
      </c>
    </row>
    <row r="221" spans="1:3">
      <c r="A221" t="s">
        <v>370</v>
      </c>
      <c r="C221" s="1" t="s">
        <v>371</v>
      </c>
    </row>
    <row r="222" spans="1:3">
      <c r="A222" t="s">
        <v>372</v>
      </c>
      <c r="C222" t="s">
        <v>373</v>
      </c>
    </row>
    <row r="223" spans="1:3">
      <c r="A223" t="s">
        <v>374</v>
      </c>
      <c r="C223" t="s">
        <v>375</v>
      </c>
    </row>
    <row r="224" spans="1:3">
      <c r="A224" t="s">
        <v>376</v>
      </c>
    </row>
    <row r="225" spans="1:3">
      <c r="A225" t="s">
        <v>377</v>
      </c>
      <c r="C225" t="s">
        <v>378</v>
      </c>
    </row>
    <row r="226" spans="1:3">
      <c r="A226" t="s">
        <v>379</v>
      </c>
      <c r="C226" t="s">
        <v>380</v>
      </c>
    </row>
    <row r="227" spans="1:3">
      <c r="A227" s="1" t="s">
        <v>381</v>
      </c>
      <c r="C227" t="s">
        <v>382</v>
      </c>
    </row>
    <row r="228" spans="1:3">
      <c r="A228" s="1" t="s">
        <v>383</v>
      </c>
      <c r="C228" t="s">
        <v>384</v>
      </c>
    </row>
    <row r="229" spans="1:3">
      <c r="A229" s="1" t="s">
        <v>385</v>
      </c>
      <c r="C229" t="s">
        <v>386</v>
      </c>
    </row>
    <row r="230" spans="1:3">
      <c r="A230" s="1" t="s">
        <v>387</v>
      </c>
      <c r="C230" t="s">
        <v>388</v>
      </c>
    </row>
    <row r="231" spans="1:3">
      <c r="A231" s="1" t="s">
        <v>389</v>
      </c>
      <c r="C231" t="s">
        <v>390</v>
      </c>
    </row>
    <row r="232" spans="1:3">
      <c r="A232" t="s">
        <v>391</v>
      </c>
      <c r="C232" t="s">
        <v>392</v>
      </c>
    </row>
    <row r="233" spans="1:3">
      <c r="A233" t="s">
        <v>393</v>
      </c>
      <c r="C233" t="s">
        <v>394</v>
      </c>
    </row>
    <row r="234" spans="1:3">
      <c r="A234" t="s">
        <v>395</v>
      </c>
      <c r="C234" t="s">
        <v>396</v>
      </c>
    </row>
    <row r="235" spans="1:3">
      <c r="A235" t="s">
        <v>397</v>
      </c>
      <c r="C235" t="s">
        <v>398</v>
      </c>
    </row>
    <row r="236" spans="1:3">
      <c r="A236" t="s">
        <v>399</v>
      </c>
      <c r="C236" s="1" t="s">
        <v>400</v>
      </c>
    </row>
    <row r="237" spans="1:3">
      <c r="A237" t="s">
        <v>401</v>
      </c>
      <c r="C237" t="s">
        <v>402</v>
      </c>
    </row>
    <row r="238" spans="1:3">
      <c r="A238" s="1" t="s">
        <v>403</v>
      </c>
      <c r="C238" s="1" t="s">
        <v>404</v>
      </c>
    </row>
    <row r="239" spans="1:3">
      <c r="A239" t="s">
        <v>405</v>
      </c>
      <c r="C239" t="s">
        <v>406</v>
      </c>
    </row>
    <row r="240" spans="1:3">
      <c r="A240" t="s">
        <v>407</v>
      </c>
      <c r="C240" t="s">
        <v>408</v>
      </c>
    </row>
    <row r="241" spans="1:3">
      <c r="C241" t="s">
        <v>409</v>
      </c>
    </row>
    <row r="242" spans="1:3">
      <c r="A242" t="s">
        <v>410</v>
      </c>
      <c r="C242" s="1" t="s">
        <v>411</v>
      </c>
    </row>
    <row r="243" spans="1:3">
      <c r="A243" t="s">
        <v>412</v>
      </c>
      <c r="C243" t="s">
        <v>413</v>
      </c>
    </row>
    <row r="244" spans="1:3">
      <c r="A244" t="s">
        <v>414</v>
      </c>
      <c r="C244" t="s">
        <v>415</v>
      </c>
    </row>
    <row r="245" spans="1:3">
      <c r="A245" t="s">
        <v>416</v>
      </c>
    </row>
    <row r="246" spans="1:3">
      <c r="A246" s="1" t="s">
        <v>417</v>
      </c>
      <c r="C246" t="s">
        <v>418</v>
      </c>
    </row>
    <row r="247" spans="1:3">
      <c r="A247" t="s">
        <v>419</v>
      </c>
      <c r="C247" t="s">
        <v>420</v>
      </c>
    </row>
    <row r="248" spans="1:3">
      <c r="A248" t="s">
        <v>421</v>
      </c>
      <c r="C248" t="s">
        <v>422</v>
      </c>
    </row>
    <row r="249" spans="1:3">
      <c r="A249" t="s">
        <v>423</v>
      </c>
      <c r="C249" t="s">
        <v>424</v>
      </c>
    </row>
    <row r="250" spans="1:3">
      <c r="A250" t="s">
        <v>425</v>
      </c>
      <c r="C250" t="s">
        <v>426</v>
      </c>
    </row>
    <row r="251" spans="1:3">
      <c r="A251" t="s">
        <v>427</v>
      </c>
      <c r="C251" s="1" t="s">
        <v>428</v>
      </c>
    </row>
    <row r="252" spans="1:3">
      <c r="A252" t="s">
        <v>429</v>
      </c>
      <c r="C252" s="1" t="s">
        <v>430</v>
      </c>
    </row>
    <row r="253" spans="1:3">
      <c r="A253" s="1" t="s">
        <v>431</v>
      </c>
      <c r="C253" t="s">
        <v>432</v>
      </c>
    </row>
    <row r="254" spans="1:3">
      <c r="A254" t="s">
        <v>433</v>
      </c>
    </row>
    <row r="255" spans="1:3">
      <c r="A255" s="1" t="s">
        <v>434</v>
      </c>
    </row>
    <row r="256" spans="1:3">
      <c r="A256" t="s">
        <v>435</v>
      </c>
    </row>
    <row r="257" spans="1:1">
      <c r="A257" t="s">
        <v>436</v>
      </c>
    </row>
    <row r="258" spans="1:1">
      <c r="A258" t="s">
        <v>437</v>
      </c>
    </row>
    <row r="259" spans="1:1">
      <c r="A259" t="s">
        <v>438</v>
      </c>
    </row>
    <row r="260" spans="1:1">
      <c r="A260" s="1" t="s">
        <v>439</v>
      </c>
    </row>
    <row r="261" spans="1:1">
      <c r="A261" t="s">
        <v>440</v>
      </c>
    </row>
    <row r="262" spans="1:1">
      <c r="A262" t="s">
        <v>441</v>
      </c>
    </row>
    <row r="264" spans="1:1">
      <c r="A264" t="s">
        <v>442</v>
      </c>
    </row>
    <row r="265" spans="1:1">
      <c r="A265" t="s">
        <v>443</v>
      </c>
    </row>
    <row r="266" spans="1:1">
      <c r="A266" t="s">
        <v>444</v>
      </c>
    </row>
    <row r="267" spans="1:1">
      <c r="A267" t="s">
        <v>445</v>
      </c>
    </row>
    <row r="268" spans="1:1">
      <c r="A268" t="s">
        <v>446</v>
      </c>
    </row>
    <row r="269" spans="1:1">
      <c r="A269" t="s">
        <v>447</v>
      </c>
    </row>
    <row r="270" spans="1:1">
      <c r="A270" t="s">
        <v>448</v>
      </c>
    </row>
    <row r="271" spans="1:1">
      <c r="A271" t="s">
        <v>449</v>
      </c>
    </row>
    <row r="272" spans="1:1">
      <c r="A272" t="s">
        <v>450</v>
      </c>
    </row>
    <row r="273" spans="1:1">
      <c r="A273" t="s">
        <v>451</v>
      </c>
    </row>
    <row r="274" spans="1:1">
      <c r="A274" t="s">
        <v>452</v>
      </c>
    </row>
    <row r="275" spans="1:1">
      <c r="A275" s="1" t="s">
        <v>453</v>
      </c>
    </row>
    <row r="276" spans="1:1">
      <c r="A276" t="s">
        <v>454</v>
      </c>
    </row>
    <row r="277" spans="1:1">
      <c r="A277" s="1" t="s">
        <v>455</v>
      </c>
    </row>
    <row r="278" spans="1:1">
      <c r="A278" t="s">
        <v>456</v>
      </c>
    </row>
    <row r="279" spans="1:1">
      <c r="A279" t="s">
        <v>457</v>
      </c>
    </row>
    <row r="280" spans="1:1">
      <c r="A280" t="s">
        <v>458</v>
      </c>
    </row>
    <row r="281" spans="1:1">
      <c r="A281" s="1" t="s">
        <v>459</v>
      </c>
    </row>
    <row r="282" spans="1:1">
      <c r="A282" t="s">
        <v>460</v>
      </c>
    </row>
    <row r="283" spans="1:1">
      <c r="A283" t="s">
        <v>461</v>
      </c>
    </row>
    <row r="285" spans="1:1">
      <c r="A285" t="s">
        <v>462</v>
      </c>
    </row>
    <row r="286" spans="1:1">
      <c r="A286" t="s">
        <v>463</v>
      </c>
    </row>
    <row r="287" spans="1:1">
      <c r="A287" t="s">
        <v>464</v>
      </c>
    </row>
    <row r="288" spans="1:1">
      <c r="A288" t="s">
        <v>465</v>
      </c>
    </row>
    <row r="289" spans="1:1">
      <c r="A289" t="s">
        <v>466</v>
      </c>
    </row>
    <row r="290" spans="1:1">
      <c r="A290" s="1" t="s">
        <v>467</v>
      </c>
    </row>
    <row r="291" spans="1:1">
      <c r="A291" s="1" t="s">
        <v>468</v>
      </c>
    </row>
    <row r="292" spans="1:1">
      <c r="A292" t="s">
        <v>469</v>
      </c>
    </row>
    <row r="294" spans="1:1">
      <c r="A294" t="s">
        <v>470</v>
      </c>
    </row>
    <row r="295" spans="1:1">
      <c r="A295" t="s">
        <v>471</v>
      </c>
    </row>
    <row r="296" spans="1:1">
      <c r="A296" s="1" t="s">
        <v>472</v>
      </c>
    </row>
    <row r="297" spans="1:1">
      <c r="A297" t="s">
        <v>473</v>
      </c>
    </row>
    <row r="298" spans="1:1">
      <c r="A298" s="1" t="s">
        <v>474</v>
      </c>
    </row>
    <row r="299" spans="1:1">
      <c r="A299" t="s">
        <v>475</v>
      </c>
    </row>
    <row r="300" spans="1:1">
      <c r="A300" t="s">
        <v>476</v>
      </c>
    </row>
    <row r="301" spans="1:1">
      <c r="A301" s="1" t="s">
        <v>477</v>
      </c>
    </row>
    <row r="302" spans="1:1">
      <c r="A302" t="s">
        <v>478</v>
      </c>
    </row>
    <row r="303" spans="1:1">
      <c r="A303" t="s">
        <v>479</v>
      </c>
    </row>
    <row r="304" spans="1:1">
      <c r="A304" t="s">
        <v>480</v>
      </c>
    </row>
    <row r="305" spans="1:1">
      <c r="A305" t="s">
        <v>481</v>
      </c>
    </row>
    <row r="306" spans="1:1">
      <c r="A306" t="s">
        <v>482</v>
      </c>
    </row>
    <row r="307" spans="1:1">
      <c r="A307" t="s">
        <v>483</v>
      </c>
    </row>
    <row r="308" spans="1:1">
      <c r="A308" t="s">
        <v>484</v>
      </c>
    </row>
    <row r="309" spans="1:1">
      <c r="A309" s="1" t="s">
        <v>485</v>
      </c>
    </row>
    <row r="310" spans="1:1">
      <c r="A310" t="s">
        <v>486</v>
      </c>
    </row>
    <row r="311" spans="1:1">
      <c r="A311" t="s">
        <v>487</v>
      </c>
    </row>
    <row r="312" spans="1:1">
      <c r="A312" s="1" t="s">
        <v>488</v>
      </c>
    </row>
    <row r="313" spans="1:1">
      <c r="A313" t="s">
        <v>489</v>
      </c>
    </row>
    <row r="314" spans="1:1">
      <c r="A314" t="s">
        <v>490</v>
      </c>
    </row>
    <row r="315" spans="1:1">
      <c r="A315" t="s">
        <v>491</v>
      </c>
    </row>
    <row r="316" spans="1:1">
      <c r="A316" t="s">
        <v>151</v>
      </c>
    </row>
    <row r="317" spans="1:1">
      <c r="A317" t="s">
        <v>492</v>
      </c>
    </row>
    <row r="318" spans="1:1">
      <c r="A318" t="s">
        <v>493</v>
      </c>
    </row>
    <row r="319" spans="1:1">
      <c r="A319" t="s">
        <v>494</v>
      </c>
    </row>
    <row r="320" spans="1:1">
      <c r="A320" t="s">
        <v>495</v>
      </c>
    </row>
    <row r="321" spans="1:1">
      <c r="A321" t="s">
        <v>496</v>
      </c>
    </row>
    <row r="322" spans="1:1">
      <c r="A322" t="s">
        <v>497</v>
      </c>
    </row>
    <row r="323" spans="1:1">
      <c r="A323" t="s">
        <v>498</v>
      </c>
    </row>
    <row r="324" spans="1:1">
      <c r="A324" s="1" t="s">
        <v>499</v>
      </c>
    </row>
    <row r="325" spans="1:1">
      <c r="A325" t="s">
        <v>500</v>
      </c>
    </row>
    <row r="326" spans="1:1">
      <c r="A326" t="s">
        <v>501</v>
      </c>
    </row>
    <row r="327" spans="1:1">
      <c r="A327" t="s">
        <v>502</v>
      </c>
    </row>
    <row r="328" spans="1:1">
      <c r="A328" t="s">
        <v>503</v>
      </c>
    </row>
    <row r="329" spans="1:1">
      <c r="A329" t="s">
        <v>504</v>
      </c>
    </row>
    <row r="330" spans="1:1">
      <c r="A330" t="s">
        <v>505</v>
      </c>
    </row>
    <row r="331" spans="1:1">
      <c r="A331" t="s">
        <v>506</v>
      </c>
    </row>
  </sheetData>
  <phoneticPr fontId="9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B5:Q42"/>
  <sheetViews>
    <sheetView topLeftCell="A7" workbookViewId="0">
      <selection activeCell="B31" sqref="B31:E34"/>
    </sheetView>
  </sheetViews>
  <sheetFormatPr defaultColWidth="9" defaultRowHeight="14.35"/>
  <cols>
    <col min="1" max="1" width="2.125" style="5" customWidth="1"/>
    <col min="2" max="3" width="9" style="5"/>
    <col min="4" max="4" width="37.25" style="5" customWidth="1"/>
    <col min="5" max="5" width="16.5625" style="5" customWidth="1"/>
    <col min="6" max="16384" width="9" style="5"/>
  </cols>
  <sheetData>
    <row r="5" spans="2:5" ht="17.75">
      <c r="B5" s="994" t="s">
        <v>507</v>
      </c>
      <c r="C5" s="994"/>
      <c r="D5" s="994"/>
      <c r="E5" s="912"/>
    </row>
    <row r="6" spans="2:5">
      <c r="B6" s="913" t="s">
        <v>508</v>
      </c>
      <c r="C6" s="914"/>
      <c r="D6" s="914"/>
      <c r="E6" s="915"/>
    </row>
    <row r="7" spans="2:5">
      <c r="B7" s="916" t="s">
        <v>509</v>
      </c>
      <c r="C7" s="917"/>
      <c r="D7" s="917"/>
      <c r="E7" s="918"/>
    </row>
    <row r="8" spans="2:5">
      <c r="B8" s="919" t="s">
        <v>510</v>
      </c>
      <c r="C8" s="920"/>
      <c r="D8" s="920"/>
      <c r="E8" s="921"/>
    </row>
    <row r="9" spans="2:5">
      <c r="B9" s="922" t="s">
        <v>511</v>
      </c>
      <c r="C9" s="923"/>
      <c r="D9" s="923"/>
      <c r="E9" s="924"/>
    </row>
    <row r="10" spans="2:5">
      <c r="B10" s="1012" t="s">
        <v>512</v>
      </c>
      <c r="C10" s="1013"/>
      <c r="D10" s="1013"/>
      <c r="E10" s="1014"/>
    </row>
    <row r="11" spans="2:5">
      <c r="B11" s="1015"/>
      <c r="C11" s="1013"/>
      <c r="D11" s="1013"/>
      <c r="E11" s="1014"/>
    </row>
    <row r="12" spans="2:5">
      <c r="B12" s="1015"/>
      <c r="C12" s="1013"/>
      <c r="D12" s="1013"/>
      <c r="E12" s="1014"/>
    </row>
    <row r="13" spans="2:5">
      <c r="B13" s="1015"/>
      <c r="C13" s="1013"/>
      <c r="D13" s="1013"/>
      <c r="E13" s="1014"/>
    </row>
    <row r="14" spans="2:5">
      <c r="B14" s="1016"/>
      <c r="C14" s="1017"/>
      <c r="D14" s="1017"/>
      <c r="E14" s="1018"/>
    </row>
    <row r="15" spans="2:5">
      <c r="B15" s="995" t="s">
        <v>513</v>
      </c>
      <c r="C15" s="996"/>
      <c r="D15" s="996"/>
      <c r="E15" s="997"/>
    </row>
    <row r="16" spans="2:5">
      <c r="B16" s="1019" t="s">
        <v>514</v>
      </c>
      <c r="C16" s="1020"/>
      <c r="D16" s="1020"/>
      <c r="E16" s="1021"/>
    </row>
    <row r="17" spans="2:17">
      <c r="B17" s="1012"/>
      <c r="C17" s="1022"/>
      <c r="D17" s="1022"/>
      <c r="E17" s="1023"/>
    </row>
    <row r="18" spans="2:17">
      <c r="B18" s="1012"/>
      <c r="C18" s="1022"/>
      <c r="D18" s="1022"/>
      <c r="E18" s="1023"/>
    </row>
    <row r="19" spans="2:17">
      <c r="B19" s="1012"/>
      <c r="C19" s="1022"/>
      <c r="D19" s="1022"/>
      <c r="E19" s="1023"/>
    </row>
    <row r="20" spans="2:17">
      <c r="B20" s="1012"/>
      <c r="C20" s="1022"/>
      <c r="D20" s="1022"/>
      <c r="E20" s="1023"/>
    </row>
    <row r="21" spans="2:17">
      <c r="B21" s="1024"/>
      <c r="C21" s="1025"/>
      <c r="D21" s="1025"/>
      <c r="E21" s="1026"/>
    </row>
    <row r="22" spans="2:17">
      <c r="B22" s="995" t="s">
        <v>515</v>
      </c>
      <c r="C22" s="996"/>
      <c r="D22" s="996"/>
      <c r="E22" s="997"/>
      <c r="F22" s="998"/>
      <c r="G22" s="999"/>
      <c r="H22" s="999"/>
      <c r="I22" s="999"/>
      <c r="J22" s="999"/>
      <c r="K22" s="999"/>
      <c r="L22" s="999"/>
      <c r="M22" s="999"/>
      <c r="N22" s="999"/>
      <c r="O22" s="999"/>
      <c r="P22" s="999"/>
      <c r="Q22" s="999"/>
    </row>
    <row r="23" spans="2:17">
      <c r="B23" s="1003" t="s">
        <v>516</v>
      </c>
      <c r="C23" s="1004"/>
      <c r="D23" s="1004"/>
      <c r="E23" s="1005"/>
    </row>
    <row r="24" spans="2:17">
      <c r="B24" s="1006"/>
      <c r="C24" s="1007"/>
      <c r="D24" s="1007"/>
      <c r="E24" s="1008"/>
    </row>
    <row r="25" spans="2:17">
      <c r="B25" s="1006"/>
      <c r="C25" s="1007"/>
      <c r="D25" s="1007"/>
      <c r="E25" s="1008"/>
    </row>
    <row r="26" spans="2:17">
      <c r="B26" s="1006"/>
      <c r="C26" s="1007"/>
      <c r="D26" s="1007"/>
      <c r="E26" s="1008"/>
    </row>
    <row r="27" spans="2:17">
      <c r="B27" s="1006"/>
      <c r="C27" s="1007"/>
      <c r="D27" s="1007"/>
      <c r="E27" s="1008"/>
    </row>
    <row r="28" spans="2:17">
      <c r="B28" s="1006"/>
      <c r="C28" s="1007"/>
      <c r="D28" s="1007"/>
      <c r="E28" s="1008"/>
    </row>
    <row r="29" spans="2:17">
      <c r="B29" s="1009"/>
      <c r="C29" s="1010"/>
      <c r="D29" s="1010"/>
      <c r="E29" s="1011"/>
    </row>
    <row r="30" spans="2:17">
      <c r="B30" s="1000" t="s">
        <v>517</v>
      </c>
      <c r="C30" s="1001"/>
      <c r="D30" s="1001"/>
      <c r="E30" s="1002"/>
    </row>
    <row r="31" spans="2:17">
      <c r="B31" s="1003" t="s">
        <v>518</v>
      </c>
      <c r="C31" s="1004"/>
      <c r="D31" s="1004"/>
      <c r="E31" s="1005"/>
    </row>
    <row r="32" spans="2:17">
      <c r="B32" s="1006"/>
      <c r="C32" s="1007"/>
      <c r="D32" s="1007"/>
      <c r="E32" s="1008"/>
    </row>
    <row r="33" spans="2:5">
      <c r="B33" s="1006"/>
      <c r="C33" s="1007"/>
      <c r="D33" s="1007"/>
      <c r="E33" s="1008"/>
    </row>
    <row r="34" spans="2:5">
      <c r="B34" s="1009"/>
      <c r="C34" s="1010"/>
      <c r="D34" s="1010"/>
      <c r="E34" s="1011"/>
    </row>
    <row r="35" spans="2:5">
      <c r="B35" s="925" t="s">
        <v>519</v>
      </c>
      <c r="C35" s="926"/>
      <c r="D35" s="926"/>
      <c r="E35" s="927"/>
    </row>
    <row r="36" spans="2:5">
      <c r="B36" s="928" t="s">
        <v>520</v>
      </c>
      <c r="C36" s="929"/>
      <c r="D36" s="929"/>
      <c r="E36" s="930"/>
    </row>
    <row r="37" spans="2:5">
      <c r="B37" s="928" t="s">
        <v>521</v>
      </c>
      <c r="C37" s="929"/>
      <c r="D37" s="929"/>
      <c r="E37" s="930"/>
    </row>
    <row r="38" spans="2:5">
      <c r="B38" s="928" t="s">
        <v>522</v>
      </c>
      <c r="C38" s="929"/>
      <c r="D38" s="929"/>
      <c r="E38" s="930"/>
    </row>
    <row r="39" spans="2:5">
      <c r="B39" s="928" t="s">
        <v>523</v>
      </c>
      <c r="C39" s="929"/>
      <c r="D39" s="929"/>
      <c r="E39" s="930"/>
    </row>
    <row r="40" spans="2:5">
      <c r="B40" s="928" t="s">
        <v>524</v>
      </c>
      <c r="C40" s="931"/>
      <c r="D40" s="931"/>
      <c r="E40" s="932"/>
    </row>
    <row r="41" spans="2:5">
      <c r="B41" s="928" t="s">
        <v>525</v>
      </c>
      <c r="C41" s="931"/>
      <c r="D41" s="931"/>
      <c r="E41" s="932"/>
    </row>
    <row r="42" spans="2:5">
      <c r="B42" s="933" t="s">
        <v>526</v>
      </c>
      <c r="C42" s="934"/>
      <c r="D42" s="934"/>
      <c r="E42" s="935"/>
    </row>
  </sheetData>
  <mergeCells count="9">
    <mergeCell ref="B31:E34"/>
    <mergeCell ref="B10:E14"/>
    <mergeCell ref="B16:E21"/>
    <mergeCell ref="B23:E29"/>
    <mergeCell ref="B5:D5"/>
    <mergeCell ref="B15:E15"/>
    <mergeCell ref="B22:E22"/>
    <mergeCell ref="F22:Q22"/>
    <mergeCell ref="B30:E30"/>
  </mergeCells>
  <phoneticPr fontId="96"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0" tint="-0.14996795556505021"/>
  </sheetPr>
  <dimension ref="A1:CL1999"/>
  <sheetViews>
    <sheetView workbookViewId="0">
      <pane xSplit="1" ySplit="4" topLeftCell="B5" activePane="bottomRight" state="frozen"/>
      <selection pane="topRight"/>
      <selection pane="bottomLeft"/>
      <selection pane="bottomRight" activeCell="F45" sqref="F45"/>
    </sheetView>
  </sheetViews>
  <sheetFormatPr defaultColWidth="9.125" defaultRowHeight="14.35" outlineLevelRow="1"/>
  <cols>
    <col min="1" max="1" width="48.4375" style="884" customWidth="1"/>
    <col min="2" max="5" width="7.9375" style="884" bestFit="1" customWidth="1"/>
    <col min="6" max="6" width="23.75" style="883" customWidth="1"/>
    <col min="7" max="7" width="15.4375" style="883" customWidth="1"/>
    <col min="8" max="68" width="9.125" style="883"/>
    <col min="69" max="90" width="9.125" style="885"/>
    <col min="91" max="16384" width="9.125" style="884"/>
  </cols>
  <sheetData>
    <row r="1" spans="1:90" ht="19.649999999999999" customHeight="1">
      <c r="A1" s="886" t="s">
        <v>527</v>
      </c>
      <c r="B1" s="887"/>
      <c r="C1" s="887"/>
      <c r="D1" s="887"/>
      <c r="E1" s="887"/>
      <c r="BQ1" s="892"/>
      <c r="BR1" s="892"/>
      <c r="BS1" s="892"/>
      <c r="BT1" s="892"/>
      <c r="BU1" s="892"/>
      <c r="BV1" s="892"/>
      <c r="BW1" s="892"/>
      <c r="BX1" s="892"/>
      <c r="BY1" s="892"/>
      <c r="BZ1" s="892"/>
      <c r="CA1" s="892"/>
      <c r="CB1" s="892"/>
      <c r="CC1" s="892"/>
      <c r="CD1" s="892"/>
      <c r="CE1" s="892"/>
      <c r="CF1" s="892"/>
      <c r="CG1" s="892"/>
      <c r="CH1" s="892"/>
      <c r="CI1" s="892"/>
      <c r="CJ1" s="892"/>
      <c r="CK1" s="892"/>
      <c r="CL1" s="892"/>
    </row>
    <row r="2" spans="1:90">
      <c r="A2" s="888" t="str">
        <f>"单位："&amp;单位</f>
        <v>单位：亿元</v>
      </c>
      <c r="B2" s="887"/>
      <c r="C2" s="887"/>
      <c r="D2" s="887"/>
      <c r="E2" s="887"/>
    </row>
    <row r="3" spans="1:90">
      <c r="B3" s="889">
        <v>42369</v>
      </c>
      <c r="C3" s="889">
        <v>42735</v>
      </c>
      <c r="D3" s="889">
        <v>43100</v>
      </c>
      <c r="E3" s="889">
        <v>43465</v>
      </c>
    </row>
    <row r="4" spans="1:90">
      <c r="A4" s="890" t="s">
        <v>17</v>
      </c>
      <c r="B4" s="891"/>
      <c r="C4" s="891"/>
      <c r="D4" s="891"/>
      <c r="E4" s="891"/>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c r="AM4" s="892"/>
      <c r="AN4" s="892"/>
      <c r="AO4" s="892"/>
      <c r="AP4" s="892"/>
      <c r="AQ4" s="892"/>
      <c r="AR4" s="892"/>
      <c r="AS4" s="892"/>
      <c r="AT4" s="892"/>
      <c r="AU4" s="892"/>
      <c r="AV4" s="892"/>
      <c r="AW4" s="892"/>
      <c r="AX4" s="892"/>
      <c r="AY4" s="892"/>
      <c r="AZ4" s="892"/>
      <c r="BA4" s="892"/>
      <c r="BB4" s="892"/>
      <c r="BC4" s="892"/>
      <c r="BD4" s="892"/>
      <c r="BE4" s="892"/>
      <c r="BF4" s="892"/>
      <c r="BG4" s="892"/>
      <c r="BH4" s="892"/>
      <c r="BI4" s="892"/>
      <c r="BJ4" s="892"/>
      <c r="BK4" s="892"/>
      <c r="BL4" s="892"/>
      <c r="BM4" s="892"/>
      <c r="BN4" s="892"/>
      <c r="BO4" s="892"/>
      <c r="BP4" s="892"/>
    </row>
    <row r="5" spans="1:90" s="882" customFormat="1">
      <c r="A5" s="893" t="s">
        <v>528</v>
      </c>
      <c r="B5" s="894"/>
      <c r="C5" s="894"/>
      <c r="D5" s="894"/>
      <c r="E5" s="894"/>
      <c r="F5" s="895"/>
      <c r="G5" s="895"/>
      <c r="H5" s="895"/>
      <c r="I5" s="895"/>
      <c r="J5" s="895"/>
      <c r="K5" s="895"/>
      <c r="L5" s="895"/>
      <c r="M5" s="895"/>
      <c r="N5" s="895"/>
      <c r="O5" s="895"/>
      <c r="P5" s="895"/>
      <c r="Q5" s="895"/>
      <c r="R5" s="895"/>
      <c r="S5" s="895"/>
      <c r="T5" s="895"/>
      <c r="U5" s="895"/>
      <c r="V5" s="895"/>
      <c r="W5" s="895"/>
      <c r="X5" s="895"/>
      <c r="Y5" s="895"/>
      <c r="Z5" s="895"/>
      <c r="AA5" s="895"/>
      <c r="AB5" s="895"/>
      <c r="AC5" s="895"/>
      <c r="AD5" s="895"/>
      <c r="AE5" s="895"/>
      <c r="AF5" s="895"/>
      <c r="AG5" s="895"/>
      <c r="AH5" s="895"/>
      <c r="AI5" s="895"/>
      <c r="AJ5" s="895"/>
      <c r="AK5" s="895"/>
      <c r="AL5" s="895"/>
      <c r="AM5" s="895"/>
      <c r="AN5" s="895"/>
      <c r="AO5" s="895"/>
      <c r="AP5" s="895"/>
      <c r="AQ5" s="895"/>
      <c r="AR5" s="895"/>
      <c r="AS5" s="895"/>
      <c r="AT5" s="895"/>
      <c r="AU5" s="895"/>
      <c r="AV5" s="895"/>
      <c r="AW5" s="895"/>
      <c r="AX5" s="895"/>
      <c r="AY5" s="895"/>
      <c r="AZ5" s="895"/>
      <c r="BA5" s="895"/>
      <c r="BB5" s="895"/>
      <c r="BC5" s="895"/>
      <c r="BD5" s="895"/>
      <c r="BE5" s="895"/>
      <c r="BF5" s="895"/>
      <c r="BG5" s="895"/>
      <c r="BH5" s="895"/>
      <c r="BI5" s="895"/>
      <c r="BJ5" s="895"/>
      <c r="BK5" s="895"/>
      <c r="BL5" s="895"/>
      <c r="BM5" s="895"/>
      <c r="BN5" s="895"/>
      <c r="BO5" s="895"/>
      <c r="BP5" s="895"/>
      <c r="BQ5" s="905"/>
      <c r="BR5" s="905"/>
      <c r="BS5" s="905"/>
      <c r="BT5" s="905"/>
      <c r="BU5" s="905"/>
      <c r="BV5" s="905"/>
      <c r="BW5" s="905"/>
      <c r="BX5" s="905"/>
      <c r="BY5" s="905"/>
      <c r="BZ5" s="905"/>
      <c r="CA5" s="905"/>
      <c r="CB5" s="905"/>
      <c r="CC5" s="905"/>
      <c r="CD5" s="905"/>
      <c r="CE5" s="905"/>
      <c r="CF5" s="905"/>
      <c r="CG5" s="905"/>
      <c r="CH5" s="905"/>
      <c r="CI5" s="905"/>
      <c r="CJ5" s="905"/>
      <c r="CK5" s="905"/>
      <c r="CL5" s="905"/>
    </row>
    <row r="6" spans="1:90" outlineLevel="1">
      <c r="A6" s="896" t="s">
        <v>529</v>
      </c>
      <c r="B6" s="867">
        <f>1319276021.49/unit</f>
        <v>13.1927602149</v>
      </c>
      <c r="C6" s="867">
        <f>1736258766.5/unit</f>
        <v>17.362587665</v>
      </c>
      <c r="D6" s="867">
        <f>1987557913.8/unit</f>
        <v>19.875579137999999</v>
      </c>
      <c r="E6" s="867">
        <f>2362042839.62/unit</f>
        <v>23.620428396199998</v>
      </c>
    </row>
    <row r="7" spans="1:90" outlineLevel="1">
      <c r="A7" s="897" t="s">
        <v>530</v>
      </c>
      <c r="B7" s="868">
        <f>1319276021.49/unit</f>
        <v>13.1927602149</v>
      </c>
      <c r="C7" s="868">
        <f>1736258766.5/unit</f>
        <v>17.362587665</v>
      </c>
      <c r="D7" s="868">
        <f>1987557913.8/unit</f>
        <v>19.875579137999999</v>
      </c>
      <c r="E7" s="868">
        <f>2362042839.62/unit</f>
        <v>23.620428396199998</v>
      </c>
    </row>
    <row r="8" spans="1:90" outlineLevel="1">
      <c r="A8" s="897" t="s">
        <v>531</v>
      </c>
      <c r="B8" s="868">
        <f>0/unit</f>
        <v>0</v>
      </c>
      <c r="C8" s="868">
        <f>0/unit</f>
        <v>0</v>
      </c>
      <c r="D8" s="868">
        <f>0/unit</f>
        <v>0</v>
      </c>
      <c r="E8" s="868">
        <f>0/unit</f>
        <v>0</v>
      </c>
    </row>
    <row r="9" spans="1:90" outlineLevel="1">
      <c r="A9" s="897" t="s">
        <v>532</v>
      </c>
      <c r="B9" s="868">
        <f>0/unit</f>
        <v>0</v>
      </c>
      <c r="C9" s="868">
        <f>0/unit</f>
        <v>0</v>
      </c>
      <c r="D9" s="868">
        <f>0/unit</f>
        <v>0</v>
      </c>
      <c r="E9" s="868">
        <f>0/unit</f>
        <v>0</v>
      </c>
    </row>
    <row r="10" spans="1:90" outlineLevel="1">
      <c r="A10" s="897" t="s">
        <v>533</v>
      </c>
      <c r="B10" s="868">
        <f>0/unit</f>
        <v>0</v>
      </c>
      <c r="C10" s="868">
        <f>0/unit</f>
        <v>0</v>
      </c>
      <c r="D10" s="868">
        <f>0/unit</f>
        <v>0</v>
      </c>
      <c r="E10" s="868">
        <f>0/unit</f>
        <v>0</v>
      </c>
    </row>
    <row r="11" spans="1:90" outlineLevel="1">
      <c r="A11" s="897" t="s">
        <v>534</v>
      </c>
      <c r="B11" s="868">
        <f>0/unit</f>
        <v>0</v>
      </c>
      <c r="C11" s="868">
        <f>0/unit</f>
        <v>0</v>
      </c>
      <c r="D11" s="868">
        <f>0/unit</f>
        <v>0</v>
      </c>
      <c r="E11" s="868">
        <f>0/unit</f>
        <v>0</v>
      </c>
    </row>
    <row r="12" spans="1:90" outlineLevel="1">
      <c r="A12" s="898" t="s">
        <v>535</v>
      </c>
      <c r="B12" s="868">
        <f>0/unit</f>
        <v>0</v>
      </c>
      <c r="C12" s="868">
        <f>0/unit</f>
        <v>0</v>
      </c>
      <c r="D12" s="868">
        <f>0/unit</f>
        <v>0</v>
      </c>
      <c r="E12" s="868">
        <f>0/unit</f>
        <v>0</v>
      </c>
    </row>
    <row r="13" spans="1:90" outlineLevel="1">
      <c r="A13" s="896" t="s">
        <v>536</v>
      </c>
      <c r="B13" s="867">
        <f>1050591126.25/unit</f>
        <v>10.5059112625</v>
      </c>
      <c r="C13" s="867">
        <f>1373993619.75/unit</f>
        <v>13.739936197500001</v>
      </c>
      <c r="D13" s="867">
        <f>1700586959.1/unit</f>
        <v>17.005869591</v>
      </c>
      <c r="E13" s="867">
        <f>1926304341.33/unit</f>
        <v>19.2630434133</v>
      </c>
    </row>
    <row r="14" spans="1:90" outlineLevel="1">
      <c r="A14" s="897" t="s">
        <v>537</v>
      </c>
      <c r="B14" s="868">
        <f>837744691.38/unit</f>
        <v>8.3774469138000001</v>
      </c>
      <c r="C14" s="868">
        <f>1093738524.6/unit</f>
        <v>10.937385246</v>
      </c>
      <c r="D14" s="868">
        <f>1322171809.49/unit</f>
        <v>13.2217180949</v>
      </c>
      <c r="E14" s="868">
        <f>1543794281.83/unit</f>
        <v>15.4379428183</v>
      </c>
    </row>
    <row r="15" spans="1:90" outlineLevel="1">
      <c r="A15" s="897" t="s">
        <v>538</v>
      </c>
      <c r="B15" s="868">
        <f>0/unit</f>
        <v>0</v>
      </c>
      <c r="C15" s="868">
        <f>0/unit</f>
        <v>0</v>
      </c>
      <c r="D15" s="868">
        <f>0/unit</f>
        <v>0</v>
      </c>
      <c r="E15" s="868">
        <f>0/unit</f>
        <v>0</v>
      </c>
    </row>
    <row r="16" spans="1:90" outlineLevel="1">
      <c r="A16" s="897" t="s">
        <v>539</v>
      </c>
      <c r="B16" s="868">
        <f>0/unit</f>
        <v>0</v>
      </c>
      <c r="C16" s="868">
        <f>0/unit</f>
        <v>0</v>
      </c>
      <c r="D16" s="868">
        <f>0/unit</f>
        <v>0</v>
      </c>
      <c r="E16" s="868">
        <f>0/unit</f>
        <v>0</v>
      </c>
    </row>
    <row r="17" spans="1:5" outlineLevel="1">
      <c r="A17" s="898" t="s">
        <v>540</v>
      </c>
      <c r="B17" s="868">
        <f>0/unit</f>
        <v>0</v>
      </c>
      <c r="C17" s="868">
        <f>0/unit</f>
        <v>0</v>
      </c>
      <c r="D17" s="868">
        <f>0/unit</f>
        <v>0</v>
      </c>
      <c r="E17" s="868">
        <f>133424622.73/unit</f>
        <v>1.3342462273</v>
      </c>
    </row>
    <row r="18" spans="1:5" outlineLevel="1">
      <c r="A18" s="897" t="s">
        <v>541</v>
      </c>
      <c r="B18" s="868">
        <f>0/unit</f>
        <v>0</v>
      </c>
      <c r="C18" s="868">
        <f>0/unit</f>
        <v>0</v>
      </c>
      <c r="D18" s="868">
        <f>0/unit</f>
        <v>0</v>
      </c>
      <c r="E18" s="868">
        <f>0/unit</f>
        <v>0</v>
      </c>
    </row>
    <row r="19" spans="1:5" outlineLevel="1">
      <c r="A19" s="897" t="s">
        <v>542</v>
      </c>
      <c r="B19" s="868">
        <f>0/unit</f>
        <v>0</v>
      </c>
      <c r="C19" s="868">
        <f>0/unit</f>
        <v>0</v>
      </c>
      <c r="D19" s="868">
        <f>0/unit</f>
        <v>0</v>
      </c>
      <c r="E19" s="868">
        <f>0/unit</f>
        <v>0</v>
      </c>
    </row>
    <row r="20" spans="1:5" outlineLevel="1">
      <c r="A20" s="897" t="s">
        <v>543</v>
      </c>
      <c r="B20" s="868">
        <f>0/unit</f>
        <v>0</v>
      </c>
      <c r="C20" s="868">
        <f>0/unit</f>
        <v>0</v>
      </c>
      <c r="D20" s="868">
        <f>0/unit</f>
        <v>0</v>
      </c>
      <c r="E20" s="868">
        <f>0/unit</f>
        <v>0</v>
      </c>
    </row>
    <row r="21" spans="1:5" outlineLevel="1">
      <c r="A21" s="897" t="s">
        <v>544</v>
      </c>
      <c r="B21" s="868">
        <f>0/unit</f>
        <v>0</v>
      </c>
      <c r="C21" s="868">
        <f>0/unit</f>
        <v>0</v>
      </c>
      <c r="D21" s="868">
        <f>0/unit</f>
        <v>0</v>
      </c>
      <c r="E21" s="868">
        <f>0/unit</f>
        <v>0</v>
      </c>
    </row>
    <row r="22" spans="1:5" outlineLevel="1">
      <c r="A22" s="897" t="s">
        <v>545</v>
      </c>
      <c r="B22" s="868">
        <f>0/unit</f>
        <v>0</v>
      </c>
      <c r="C22" s="868">
        <f>0/unit</f>
        <v>0</v>
      </c>
      <c r="D22" s="868">
        <f>0/unit</f>
        <v>0</v>
      </c>
      <c r="E22" s="868">
        <f>0/unit</f>
        <v>0</v>
      </c>
    </row>
    <row r="23" spans="1:5" outlineLevel="1">
      <c r="A23" s="898" t="s">
        <v>546</v>
      </c>
      <c r="B23" s="868">
        <f>0/unit</f>
        <v>0</v>
      </c>
      <c r="C23" s="868">
        <f>0/unit</f>
        <v>0</v>
      </c>
      <c r="D23" s="868">
        <f>0/unit</f>
        <v>0</v>
      </c>
      <c r="E23" s="868">
        <f>0/unit</f>
        <v>0</v>
      </c>
    </row>
    <row r="24" spans="1:5" outlineLevel="1">
      <c r="A24" s="897" t="s">
        <v>547</v>
      </c>
      <c r="B24" s="868">
        <f>4920065.69/unit</f>
        <v>4.9200656900000007E-2</v>
      </c>
      <c r="C24" s="868">
        <f>12651449.77/unit</f>
        <v>0.12651449770000001</v>
      </c>
      <c r="D24" s="868">
        <f>28420940.04/unit</f>
        <v>0.28420940039999998</v>
      </c>
      <c r="E24" s="868">
        <f>32729466.51/unit</f>
        <v>0.32729466509999999</v>
      </c>
    </row>
    <row r="25" spans="1:5" outlineLevel="1">
      <c r="A25" s="897" t="s">
        <v>548</v>
      </c>
      <c r="B25" s="868">
        <f>43013140.07/unit</f>
        <v>0.4301314007</v>
      </c>
      <c r="C25" s="868">
        <f>51447692.55/unit</f>
        <v>0.51447692550000002</v>
      </c>
      <c r="D25" s="868">
        <f>68345308.09/unit</f>
        <v>0.68345308090000001</v>
      </c>
      <c r="E25" s="868">
        <f>67827201.18/unit</f>
        <v>0.67827201180000007</v>
      </c>
    </row>
    <row r="26" spans="1:5" outlineLevel="1">
      <c r="A26" s="897" t="s">
        <v>549</v>
      </c>
      <c r="B26" s="868">
        <f>143646577.04/unit</f>
        <v>1.4364657703999999</v>
      </c>
      <c r="C26" s="868">
        <f>189181005.95/unit</f>
        <v>1.8918100594999998</v>
      </c>
      <c r="D26" s="868">
        <f>244346396.91/unit</f>
        <v>2.4434639690999997</v>
      </c>
      <c r="E26" s="868">
        <f>138485968.79/unit</f>
        <v>1.3848596878999999</v>
      </c>
    </row>
    <row r="27" spans="1:5" outlineLevel="1">
      <c r="A27" s="897" t="s">
        <v>550</v>
      </c>
      <c r="B27" s="868">
        <f>13135139.62/unit</f>
        <v>0.1313513962</v>
      </c>
      <c r="C27" s="868">
        <f>21130264.47/unit</f>
        <v>0.21130264469999999</v>
      </c>
      <c r="D27" s="868">
        <f>31728154.46/unit</f>
        <v>0.31728154460000002</v>
      </c>
      <c r="E27" s="868">
        <f>-16055908.81/unit</f>
        <v>-0.1605590881</v>
      </c>
    </row>
    <row r="28" spans="1:5" outlineLevel="1">
      <c r="A28" s="897" t="s">
        <v>551</v>
      </c>
      <c r="B28" s="868">
        <f>0/unit</f>
        <v>0</v>
      </c>
      <c r="C28" s="868">
        <f>0/unit</f>
        <v>0</v>
      </c>
      <c r="D28" s="868">
        <f>0/unit</f>
        <v>0</v>
      </c>
      <c r="E28" s="868">
        <f>1913423.05/unit</f>
        <v>1.9134230500000002E-2</v>
      </c>
    </row>
    <row r="29" spans="1:5" outlineLevel="1">
      <c r="A29" s="898" t="s">
        <v>552</v>
      </c>
      <c r="B29" s="868">
        <f>0/unit</f>
        <v>0</v>
      </c>
      <c r="C29" s="868">
        <f>0/unit</f>
        <v>0</v>
      </c>
      <c r="D29" s="868">
        <f>0/unit</f>
        <v>0</v>
      </c>
      <c r="E29" s="868">
        <f>4821465.54/unit</f>
        <v>4.82146554E-2</v>
      </c>
    </row>
    <row r="30" spans="1:5" outlineLevel="1">
      <c r="A30" s="897" t="s">
        <v>553</v>
      </c>
      <c r="B30" s="868">
        <f>8131512.45/unit</f>
        <v>8.1315124500000002E-2</v>
      </c>
      <c r="C30" s="868">
        <f>5844682.41/unit</f>
        <v>5.8446824100000003E-2</v>
      </c>
      <c r="D30" s="868">
        <f>5574350.11/unit</f>
        <v>5.5743501100000002E-2</v>
      </c>
      <c r="E30" s="868">
        <f>26098709.1/unit</f>
        <v>0.260987091</v>
      </c>
    </row>
    <row r="31" spans="1:5" outlineLevel="1">
      <c r="A31" s="897" t="s">
        <v>554</v>
      </c>
      <c r="B31" s="868">
        <f>0/unit</f>
        <v>0</v>
      </c>
      <c r="C31" s="868">
        <f>0/unit</f>
        <v>0</v>
      </c>
      <c r="D31" s="868">
        <f>0/unit</f>
        <v>0</v>
      </c>
      <c r="E31" s="868">
        <f>0/unit</f>
        <v>0</v>
      </c>
    </row>
    <row r="32" spans="1:5" outlineLevel="1">
      <c r="A32" s="898" t="s">
        <v>555</v>
      </c>
      <c r="B32" s="868">
        <f>0/unit</f>
        <v>0</v>
      </c>
      <c r="C32" s="868">
        <f>0/unit</f>
        <v>0</v>
      </c>
      <c r="D32" s="868">
        <f>0/unit</f>
        <v>0</v>
      </c>
      <c r="E32" s="868">
        <f>0/unit</f>
        <v>0</v>
      </c>
    </row>
    <row r="33" spans="1:6" outlineLevel="1">
      <c r="A33" s="896" t="s">
        <v>556</v>
      </c>
      <c r="B33" s="868"/>
      <c r="C33" s="868"/>
      <c r="D33" s="868"/>
      <c r="E33" s="868"/>
    </row>
    <row r="34" spans="1:6" outlineLevel="1">
      <c r="A34" s="897" t="s">
        <v>557</v>
      </c>
      <c r="B34" s="868">
        <f>0/unit</f>
        <v>0</v>
      </c>
      <c r="C34" s="868">
        <f>0/unit</f>
        <v>0</v>
      </c>
      <c r="D34" s="868">
        <f>0/unit</f>
        <v>0</v>
      </c>
      <c r="E34" s="868">
        <f>0/unit</f>
        <v>0</v>
      </c>
      <c r="F34" s="899"/>
    </row>
    <row r="35" spans="1:6" outlineLevel="1">
      <c r="A35" s="897" t="s">
        <v>558</v>
      </c>
      <c r="B35" s="868">
        <f>-905815.91/unit</f>
        <v>-9.058159100000001E-3</v>
      </c>
      <c r="C35" s="868">
        <f>5946694.46/unit</f>
        <v>5.9466944600000002E-2</v>
      </c>
      <c r="D35" s="868">
        <f>74276574.74/unit</f>
        <v>0.7427657473999999</v>
      </c>
      <c r="E35" s="868">
        <f>28354211.44/unit</f>
        <v>0.28354211439999999</v>
      </c>
    </row>
    <row r="36" spans="1:6" outlineLevel="1">
      <c r="A36" s="897" t="s">
        <v>559</v>
      </c>
      <c r="B36" s="868">
        <f>-1768709.28/unit</f>
        <v>-1.7687092800000002E-2</v>
      </c>
      <c r="C36" s="868">
        <f>5946694.46/unit</f>
        <v>5.9466944600000002E-2</v>
      </c>
      <c r="D36" s="868">
        <f>-1083095.43/unit</f>
        <v>-1.0830954299999999E-2</v>
      </c>
      <c r="E36" s="868">
        <f>-3118888.15/unit</f>
        <v>-3.1188881499999998E-2</v>
      </c>
    </row>
    <row r="37" spans="1:6" outlineLevel="1">
      <c r="A37" s="898" t="s">
        <v>560</v>
      </c>
      <c r="B37" s="868">
        <f>0/unit</f>
        <v>0</v>
      </c>
      <c r="C37" s="868">
        <f>0/unit</f>
        <v>0</v>
      </c>
      <c r="D37" s="868">
        <f>0/unit</f>
        <v>0</v>
      </c>
      <c r="E37" s="868">
        <f>0/unit</f>
        <v>0</v>
      </c>
    </row>
    <row r="38" spans="1:6" outlineLevel="1">
      <c r="A38" s="897" t="s">
        <v>561</v>
      </c>
      <c r="B38" s="868">
        <f>0/unit</f>
        <v>0</v>
      </c>
      <c r="C38" s="868">
        <f>0/unit</f>
        <v>0</v>
      </c>
      <c r="D38" s="868">
        <f>0/unit</f>
        <v>0</v>
      </c>
      <c r="E38" s="868">
        <f>0/unit</f>
        <v>0</v>
      </c>
    </row>
    <row r="39" spans="1:6" outlineLevel="1">
      <c r="A39" s="897" t="s">
        <v>562</v>
      </c>
      <c r="B39" s="868">
        <f>0/unit</f>
        <v>0</v>
      </c>
      <c r="C39" s="868">
        <f>0/unit</f>
        <v>0</v>
      </c>
      <c r="D39" s="868">
        <f>0/unit</f>
        <v>0</v>
      </c>
      <c r="E39" s="868">
        <f>-509477.78/unit</f>
        <v>-5.0947778000000003E-3</v>
      </c>
    </row>
    <row r="40" spans="1:6" outlineLevel="1">
      <c r="A40" s="897" t="s">
        <v>563</v>
      </c>
      <c r="B40" s="868">
        <f>0/unit</f>
        <v>0</v>
      </c>
      <c r="C40" s="868">
        <f>0/unit</f>
        <v>0</v>
      </c>
      <c r="D40" s="868">
        <f>23305206.22/unit</f>
        <v>0.23305206219999999</v>
      </c>
      <c r="E40" s="868">
        <f>34368275.31/unit</f>
        <v>0.34368275310000002</v>
      </c>
    </row>
    <row r="41" spans="1:6" outlineLevel="1">
      <c r="A41" s="900" t="s">
        <v>564</v>
      </c>
      <c r="B41" s="868">
        <f>0/unit</f>
        <v>0</v>
      </c>
      <c r="C41" s="868">
        <f>0/unit</f>
        <v>0</v>
      </c>
      <c r="D41" s="868">
        <f>0/unit</f>
        <v>0</v>
      </c>
      <c r="E41" s="868">
        <f>0/unit</f>
        <v>0</v>
      </c>
    </row>
    <row r="42" spans="1:6" outlineLevel="1">
      <c r="A42" s="900" t="s">
        <v>565</v>
      </c>
      <c r="B42" s="868">
        <f>0/unit</f>
        <v>0</v>
      </c>
      <c r="C42" s="868">
        <f>0/unit</f>
        <v>0</v>
      </c>
      <c r="D42" s="868">
        <f>0/unit</f>
        <v>0</v>
      </c>
      <c r="E42" s="868">
        <f>0/unit</f>
        <v>0</v>
      </c>
    </row>
    <row r="43" spans="1:6" outlineLevel="1">
      <c r="A43" s="896" t="s">
        <v>566</v>
      </c>
      <c r="B43" s="867">
        <f>267779079.33/unit</f>
        <v>2.6777907933000002</v>
      </c>
      <c r="C43" s="867">
        <f>368211841.21/unit</f>
        <v>3.6821184120999999</v>
      </c>
      <c r="D43" s="867">
        <f>384552735.66/unit</f>
        <v>3.8455273566000003</v>
      </c>
      <c r="E43" s="867">
        <f>497951507.26/unit</f>
        <v>4.9795150725999999</v>
      </c>
    </row>
    <row r="44" spans="1:6" outlineLevel="1">
      <c r="A44" s="897" t="s">
        <v>567</v>
      </c>
      <c r="B44" s="868">
        <f>23262440.34/unit</f>
        <v>0.23262440339999998</v>
      </c>
      <c r="C44" s="868">
        <f>22743353.46/unit</f>
        <v>0.22743353460000001</v>
      </c>
      <c r="D44" s="868">
        <f>570015.76/unit</f>
        <v>5.7001576000000002E-3</v>
      </c>
      <c r="E44" s="868">
        <f>59448859.2/unit</f>
        <v>0.59448859200000004</v>
      </c>
    </row>
    <row r="45" spans="1:6" outlineLevel="1">
      <c r="A45" s="901" t="s">
        <v>568</v>
      </c>
      <c r="B45" s="868">
        <f>0/unit</f>
        <v>0</v>
      </c>
      <c r="C45" s="868">
        <f>0/unit</f>
        <v>0</v>
      </c>
      <c r="D45" s="868">
        <f>0/unit</f>
        <v>0</v>
      </c>
      <c r="E45" s="868">
        <f>0/unit</f>
        <v>0</v>
      </c>
    </row>
    <row r="46" spans="1:6" outlineLevel="1">
      <c r="A46" s="897" t="s">
        <v>569</v>
      </c>
      <c r="B46" s="868">
        <f>1476216.53/unit</f>
        <v>1.47621653E-2</v>
      </c>
      <c r="C46" s="868">
        <f>931320.87/unit</f>
        <v>9.3132087000000006E-3</v>
      </c>
      <c r="D46" s="868">
        <f>680523.96/unit</f>
        <v>6.8052395999999996E-3</v>
      </c>
      <c r="E46" s="868">
        <f>2552944.66/unit</f>
        <v>2.5529446600000002E-2</v>
      </c>
    </row>
    <row r="47" spans="1:6" outlineLevel="1">
      <c r="A47" s="897" t="s">
        <v>570</v>
      </c>
      <c r="B47" s="868">
        <f>1476216.53/unit</f>
        <v>1.47621653E-2</v>
      </c>
      <c r="C47" s="868">
        <f>931320.87/unit</f>
        <v>9.3132087000000006E-3</v>
      </c>
      <c r="D47" s="868">
        <f>0/unit</f>
        <v>0</v>
      </c>
      <c r="E47" s="868">
        <f>0/unit</f>
        <v>0</v>
      </c>
    </row>
    <row r="48" spans="1:6" outlineLevel="1">
      <c r="A48" s="897" t="s">
        <v>571</v>
      </c>
      <c r="B48" s="868">
        <f>0/unit</f>
        <v>0</v>
      </c>
      <c r="C48" s="868">
        <f>0/unit</f>
        <v>0</v>
      </c>
      <c r="D48" s="868">
        <f>0/unit</f>
        <v>0</v>
      </c>
      <c r="E48" s="868">
        <f>0/unit</f>
        <v>0</v>
      </c>
    </row>
    <row r="49" spans="1:5" outlineLevel="1">
      <c r="A49" s="897" t="s">
        <v>572</v>
      </c>
      <c r="B49" s="868">
        <f>0/unit</f>
        <v>0</v>
      </c>
      <c r="C49" s="868">
        <f>0/unit</f>
        <v>0</v>
      </c>
      <c r="D49" s="868">
        <f>0/unit</f>
        <v>0</v>
      </c>
      <c r="E49" s="868">
        <f>0/unit</f>
        <v>0</v>
      </c>
    </row>
    <row r="50" spans="1:5" outlineLevel="1">
      <c r="A50" s="896" t="s">
        <v>573</v>
      </c>
      <c r="B50" s="867">
        <f>289565303.14/unit</f>
        <v>2.8956530313999997</v>
      </c>
      <c r="C50" s="867">
        <f>390023873.8/unit</f>
        <v>3.9002387380000001</v>
      </c>
      <c r="D50" s="867">
        <f>384442227.46/unit</f>
        <v>3.8444222745999999</v>
      </c>
      <c r="E50" s="867">
        <f>554847421.8/unit</f>
        <v>5.548474218</v>
      </c>
    </row>
    <row r="51" spans="1:5" outlineLevel="1">
      <c r="A51" s="897" t="s">
        <v>574</v>
      </c>
      <c r="B51" s="868">
        <f>28029606.33/unit</f>
        <v>0.28029606330000001</v>
      </c>
      <c r="C51" s="868">
        <f>31972441.04/unit</f>
        <v>0.31972441039999999</v>
      </c>
      <c r="D51" s="868">
        <f>40398423.63/unit</f>
        <v>0.40398423630000002</v>
      </c>
      <c r="E51" s="868">
        <f>71877464.81/unit</f>
        <v>0.71877464810000002</v>
      </c>
    </row>
    <row r="52" spans="1:5" outlineLevel="1">
      <c r="A52" s="897" t="s">
        <v>575</v>
      </c>
      <c r="B52" s="868">
        <f>0/unit</f>
        <v>0</v>
      </c>
      <c r="C52" s="868">
        <f>0/unit</f>
        <v>0</v>
      </c>
      <c r="D52" s="868">
        <f>0/unit</f>
        <v>0</v>
      </c>
      <c r="E52" s="868">
        <f>0/unit</f>
        <v>0</v>
      </c>
    </row>
    <row r="53" spans="1:5" outlineLevel="1">
      <c r="A53" s="897" t="s">
        <v>576</v>
      </c>
      <c r="B53" s="868">
        <f>0/unit</f>
        <v>0</v>
      </c>
      <c r="C53" s="868">
        <f>0/unit</f>
        <v>0</v>
      </c>
      <c r="D53" s="868">
        <f>0/unit</f>
        <v>0</v>
      </c>
      <c r="E53" s="868">
        <f>0/unit</f>
        <v>0</v>
      </c>
    </row>
    <row r="54" spans="1:5" outlineLevel="1">
      <c r="A54" s="897" t="s">
        <v>577</v>
      </c>
      <c r="B54" s="868">
        <f>0/unit</f>
        <v>0</v>
      </c>
      <c r="C54" s="868">
        <f>0/unit</f>
        <v>0</v>
      </c>
      <c r="D54" s="868">
        <f>0/unit</f>
        <v>0</v>
      </c>
      <c r="E54" s="868">
        <f>0/unit</f>
        <v>0</v>
      </c>
    </row>
    <row r="55" spans="1:5" outlineLevel="1">
      <c r="A55" s="896" t="s">
        <v>578</v>
      </c>
      <c r="B55" s="867">
        <f>261535696.81/unit</f>
        <v>2.6153569681</v>
      </c>
      <c r="C55" s="867">
        <f>358051432.76/unit</f>
        <v>3.5805143276</v>
      </c>
      <c r="D55" s="867">
        <f>344043803.83/unit</f>
        <v>3.4404380382999999</v>
      </c>
      <c r="E55" s="867">
        <f>482969956.99/unit</f>
        <v>4.8296995698999998</v>
      </c>
    </row>
    <row r="56" spans="1:5" outlineLevel="1">
      <c r="A56" s="897" t="s">
        <v>579</v>
      </c>
      <c r="B56" s="868">
        <f>-1842225.44/unit</f>
        <v>-1.8422254400000001E-2</v>
      </c>
      <c r="C56" s="868">
        <f>-1080025.32/unit</f>
        <v>-1.08002532E-2</v>
      </c>
      <c r="D56" s="868">
        <f>2769770.81/unit</f>
        <v>2.7697708099999999E-2</v>
      </c>
      <c r="E56" s="868">
        <f>4385586.3/unit</f>
        <v>4.3855862999999995E-2</v>
      </c>
    </row>
    <row r="57" spans="1:5" outlineLevel="1">
      <c r="A57" s="896" t="s">
        <v>580</v>
      </c>
      <c r="B57" s="867">
        <f>263377922.25/unit</f>
        <v>2.6337792224999999</v>
      </c>
      <c r="C57" s="867">
        <f>359131458.08/unit</f>
        <v>3.5913145807999998</v>
      </c>
      <c r="D57" s="867">
        <f>341274033.02/unit</f>
        <v>3.4127403301999997</v>
      </c>
      <c r="E57" s="867">
        <f>478584370.69/unit</f>
        <v>4.7858437068999997</v>
      </c>
    </row>
    <row r="58" spans="1:5" outlineLevel="1">
      <c r="A58" s="896" t="s">
        <v>581</v>
      </c>
      <c r="B58" s="868"/>
      <c r="C58" s="868"/>
      <c r="D58" s="868"/>
      <c r="E58" s="868"/>
    </row>
    <row r="59" spans="1:5" outlineLevel="1">
      <c r="A59" s="897" t="s">
        <v>582</v>
      </c>
      <c r="B59" s="868">
        <f>0.36/unit</f>
        <v>3.6E-9</v>
      </c>
      <c r="C59" s="868">
        <f>0.48/unit</f>
        <v>4.8E-9</v>
      </c>
      <c r="D59" s="868">
        <f>0.44/unit</f>
        <v>4.3999999999999997E-9</v>
      </c>
      <c r="E59" s="868">
        <f>0.59/unit</f>
        <v>5.8999999999999999E-9</v>
      </c>
    </row>
    <row r="60" spans="1:5" outlineLevel="1">
      <c r="A60" s="897" t="s">
        <v>583</v>
      </c>
      <c r="B60" s="868">
        <f>0.36/unit</f>
        <v>3.6E-9</v>
      </c>
      <c r="C60" s="868">
        <f>0.48/unit</f>
        <v>4.8E-9</v>
      </c>
      <c r="D60" s="868">
        <f>0.44/unit</f>
        <v>4.3999999999999997E-9</v>
      </c>
      <c r="E60" s="868">
        <f>0.59/unit</f>
        <v>5.8999999999999999E-9</v>
      </c>
    </row>
    <row r="61" spans="1:5" outlineLevel="1">
      <c r="A61" s="900"/>
      <c r="B61" s="868"/>
      <c r="C61" s="868"/>
      <c r="D61" s="868"/>
      <c r="E61" s="868"/>
    </row>
    <row r="62" spans="1:5">
      <c r="A62" s="902" t="s">
        <v>584</v>
      </c>
      <c r="B62" s="868"/>
      <c r="C62" s="868"/>
      <c r="D62" s="868"/>
      <c r="E62" s="868"/>
    </row>
    <row r="63" spans="1:5">
      <c r="A63" s="903" t="s">
        <v>585</v>
      </c>
      <c r="B63" s="904"/>
      <c r="C63" s="904"/>
      <c r="D63" s="904"/>
      <c r="E63" s="904"/>
    </row>
    <row r="64" spans="1:5" outlineLevel="1">
      <c r="A64" s="897" t="s">
        <v>586</v>
      </c>
      <c r="B64" s="868">
        <f>201707053.7/unit</f>
        <v>2.0170705369999999</v>
      </c>
      <c r="C64" s="868">
        <f>302874654.8/unit</f>
        <v>3.028746548</v>
      </c>
      <c r="D64" s="868">
        <f>409810881.99/unit</f>
        <v>4.0981088199000002</v>
      </c>
      <c r="E64" s="868">
        <f>471451732.17/unit</f>
        <v>4.7145173216999998</v>
      </c>
    </row>
    <row r="65" spans="1:90" outlineLevel="1">
      <c r="A65" s="897" t="s">
        <v>587</v>
      </c>
      <c r="B65" s="868">
        <f>0/unit</f>
        <v>0</v>
      </c>
      <c r="C65" s="868">
        <f>0/unit</f>
        <v>0</v>
      </c>
      <c r="D65" s="868">
        <f>0/unit</f>
        <v>0</v>
      </c>
      <c r="E65" s="868">
        <f>0/unit</f>
        <v>0</v>
      </c>
    </row>
    <row r="66" spans="1:90" outlineLevel="1">
      <c r="A66" s="897" t="s">
        <v>588</v>
      </c>
      <c r="B66" s="868">
        <f>0/unit</f>
        <v>0</v>
      </c>
      <c r="C66" s="868">
        <f>0/unit</f>
        <v>0</v>
      </c>
      <c r="D66" s="868">
        <f>0/unit</f>
        <v>0</v>
      </c>
      <c r="E66" s="868">
        <f>0/unit</f>
        <v>0</v>
      </c>
    </row>
    <row r="67" spans="1:90" outlineLevel="1">
      <c r="A67" s="897" t="s">
        <v>589</v>
      </c>
      <c r="B67" s="868">
        <f>0/unit</f>
        <v>0</v>
      </c>
      <c r="C67" s="868">
        <f>0/unit</f>
        <v>0</v>
      </c>
      <c r="D67" s="868">
        <f>0/unit</f>
        <v>0</v>
      </c>
      <c r="E67" s="868">
        <f>0/unit</f>
        <v>0</v>
      </c>
    </row>
    <row r="68" spans="1:90" outlineLevel="1">
      <c r="A68" s="901" t="s">
        <v>590</v>
      </c>
      <c r="B68" s="868">
        <f>0/unit</f>
        <v>0</v>
      </c>
      <c r="C68" s="868">
        <f>0/unit</f>
        <v>0</v>
      </c>
      <c r="D68" s="868">
        <f>0/unit</f>
        <v>0</v>
      </c>
      <c r="E68" s="868">
        <f>0/unit</f>
        <v>0</v>
      </c>
    </row>
    <row r="69" spans="1:90" outlineLevel="1">
      <c r="A69" s="897" t="s">
        <v>591</v>
      </c>
      <c r="B69" s="868">
        <f>0/unit</f>
        <v>0</v>
      </c>
      <c r="C69" s="868">
        <f>0/unit</f>
        <v>0</v>
      </c>
      <c r="D69" s="868">
        <f>0/unit</f>
        <v>0</v>
      </c>
      <c r="E69" s="868">
        <f>0/unit</f>
        <v>0</v>
      </c>
    </row>
    <row r="70" spans="1:90" outlineLevel="1">
      <c r="A70" s="897" t="s">
        <v>592</v>
      </c>
      <c r="B70" s="868">
        <f>0/unit</f>
        <v>0</v>
      </c>
      <c r="C70" s="868">
        <f>0/unit</f>
        <v>0</v>
      </c>
      <c r="D70" s="868">
        <f>0/unit</f>
        <v>0</v>
      </c>
      <c r="E70" s="868">
        <f>0/unit</f>
        <v>0</v>
      </c>
      <c r="BP70" s="885"/>
      <c r="CL70" s="884"/>
    </row>
    <row r="71" spans="1:90" outlineLevel="1">
      <c r="A71" s="897" t="s">
        <v>593</v>
      </c>
      <c r="B71" s="868">
        <f>0/unit</f>
        <v>0</v>
      </c>
      <c r="C71" s="868">
        <f>0/unit</f>
        <v>0</v>
      </c>
      <c r="D71" s="868">
        <f>0/unit</f>
        <v>0</v>
      </c>
      <c r="E71" s="868">
        <f>0/unit</f>
        <v>0</v>
      </c>
      <c r="BP71" s="885"/>
      <c r="CL71" s="884"/>
    </row>
    <row r="72" spans="1:90" outlineLevel="1">
      <c r="A72" s="898" t="s">
        <v>594</v>
      </c>
      <c r="B72" s="868">
        <f>597320569.92/unit</f>
        <v>5.9732056991999993</v>
      </c>
      <c r="C72" s="868">
        <f>824834198.16/unit</f>
        <v>8.2483419815999994</v>
      </c>
      <c r="D72" s="868">
        <f>910532789.84/unit</f>
        <v>9.1053278984000006</v>
      </c>
      <c r="E72" s="868">
        <f>974678083.43/unit</f>
        <v>9.7467808342999991</v>
      </c>
      <c r="BP72" s="885"/>
      <c r="CL72" s="884"/>
    </row>
    <row r="73" spans="1:90" outlineLevel="1">
      <c r="A73" s="897" t="s">
        <v>595</v>
      </c>
      <c r="B73" s="868">
        <f>103919176.85/unit</f>
        <v>1.0391917684999998</v>
      </c>
      <c r="C73" s="868">
        <f>149465762.35/unit</f>
        <v>1.4946576235</v>
      </c>
      <c r="D73" s="868">
        <f>174311230.75/unit</f>
        <v>1.7431123074999999</v>
      </c>
      <c r="E73" s="868">
        <f>186313646.53/unit</f>
        <v>1.8631364653</v>
      </c>
    </row>
    <row r="74" spans="1:90" outlineLevel="1">
      <c r="A74" s="897" t="s">
        <v>596</v>
      </c>
      <c r="B74" s="868">
        <f>493401393.07/unit</f>
        <v>4.9340139306999999</v>
      </c>
      <c r="C74" s="868">
        <f>675368435.81/unit</f>
        <v>6.7536843580999992</v>
      </c>
      <c r="D74" s="868">
        <f>736221559.09/unit</f>
        <v>7.3622155909</v>
      </c>
      <c r="E74" s="868">
        <f>788364436.9/unit</f>
        <v>7.8836443689999998</v>
      </c>
    </row>
    <row r="75" spans="1:90" outlineLevel="1">
      <c r="A75" s="897" t="s">
        <v>597</v>
      </c>
      <c r="B75" s="868">
        <f>6498314.94/unit</f>
        <v>6.4983149400000009E-2</v>
      </c>
      <c r="C75" s="868">
        <f>7411950.33/unit</f>
        <v>7.41195033E-2</v>
      </c>
      <c r="D75" s="868">
        <f>20613596.91/unit</f>
        <v>0.20613596910000001</v>
      </c>
      <c r="E75" s="868">
        <f>11745877.51/unit</f>
        <v>0.1174587751</v>
      </c>
    </row>
    <row r="76" spans="1:90" outlineLevel="1">
      <c r="A76" s="897" t="s">
        <v>598</v>
      </c>
      <c r="B76" s="868">
        <f>0/unit</f>
        <v>0</v>
      </c>
      <c r="C76" s="868">
        <f>0/unit</f>
        <v>0</v>
      </c>
      <c r="D76" s="868">
        <f>0/unit</f>
        <v>0</v>
      </c>
      <c r="E76" s="868">
        <f>0/unit</f>
        <v>0</v>
      </c>
    </row>
    <row r="77" spans="1:90" outlineLevel="1">
      <c r="A77" s="897" t="s">
        <v>599</v>
      </c>
      <c r="B77" s="868">
        <f>0/unit</f>
        <v>0</v>
      </c>
      <c r="C77" s="868">
        <f>0/unit</f>
        <v>0</v>
      </c>
      <c r="D77" s="868">
        <f>0/unit</f>
        <v>0</v>
      </c>
      <c r="E77" s="868">
        <f>0/unit</f>
        <v>0</v>
      </c>
    </row>
    <row r="78" spans="1:90" outlineLevel="1">
      <c r="A78" s="897" t="s">
        <v>600</v>
      </c>
      <c r="B78" s="868">
        <f>0/unit</f>
        <v>0</v>
      </c>
      <c r="C78" s="868">
        <f>0/unit</f>
        <v>0</v>
      </c>
      <c r="D78" s="868">
        <f>0/unit</f>
        <v>0</v>
      </c>
      <c r="E78" s="868">
        <f>0/unit</f>
        <v>0</v>
      </c>
    </row>
    <row r="79" spans="1:90" outlineLevel="1">
      <c r="A79" s="897" t="s">
        <v>601</v>
      </c>
      <c r="B79" s="868">
        <f>0/unit</f>
        <v>0</v>
      </c>
      <c r="C79" s="868">
        <f>0/unit</f>
        <v>0</v>
      </c>
      <c r="D79" s="868">
        <f>0/unit</f>
        <v>0</v>
      </c>
      <c r="E79" s="868">
        <f>0/unit</f>
        <v>0</v>
      </c>
    </row>
    <row r="80" spans="1:90" ht="15.05" outlineLevel="1">
      <c r="A80" s="897" t="s">
        <v>602</v>
      </c>
      <c r="B80" s="868">
        <f>0/unit</f>
        <v>0</v>
      </c>
      <c r="C80" s="868">
        <f>0/unit</f>
        <v>0</v>
      </c>
      <c r="D80" s="868">
        <f>0/unit</f>
        <v>0</v>
      </c>
      <c r="E80" s="868">
        <f>0/unit</f>
        <v>0</v>
      </c>
      <c r="F80" s="906"/>
      <c r="G80" s="906"/>
    </row>
    <row r="81" spans="1:7" ht="15.05" outlineLevel="1">
      <c r="A81" s="897" t="s">
        <v>603</v>
      </c>
      <c r="B81" s="868">
        <f>6153667.02/unit</f>
        <v>6.1536670199999997E-2</v>
      </c>
      <c r="C81" s="868">
        <f>13204210.56/unit</f>
        <v>0.13204210560000001</v>
      </c>
      <c r="D81" s="868">
        <f>4267532.7/unit</f>
        <v>4.2675326999999999E-2</v>
      </c>
      <c r="E81" s="868">
        <f>18944407.56/unit</f>
        <v>0.18944407559999998</v>
      </c>
      <c r="F81" s="906"/>
      <c r="G81" s="906"/>
    </row>
    <row r="82" spans="1:7" outlineLevel="1">
      <c r="A82" s="897" t="s">
        <v>604</v>
      </c>
      <c r="B82" s="868">
        <f>0/unit</f>
        <v>0</v>
      </c>
      <c r="C82" s="868">
        <f>0/unit</f>
        <v>0</v>
      </c>
      <c r="D82" s="868">
        <f>0/unit</f>
        <v>0</v>
      </c>
      <c r="E82" s="868">
        <f>0/unit</f>
        <v>0</v>
      </c>
    </row>
    <row r="83" spans="1:7" outlineLevel="1">
      <c r="A83" s="897" t="s">
        <v>605</v>
      </c>
      <c r="B83" s="868">
        <f>0/unit</f>
        <v>0</v>
      </c>
      <c r="C83" s="868">
        <f>0/unit</f>
        <v>0</v>
      </c>
      <c r="D83" s="868">
        <f>0/unit</f>
        <v>0</v>
      </c>
      <c r="E83" s="868">
        <f>0/unit</f>
        <v>0</v>
      </c>
    </row>
    <row r="84" spans="1:7" outlineLevel="1">
      <c r="A84" s="897" t="s">
        <v>606</v>
      </c>
      <c r="B84" s="868">
        <f>0/unit</f>
        <v>0</v>
      </c>
      <c r="C84" s="868">
        <f>0/unit</f>
        <v>0</v>
      </c>
      <c r="D84" s="868">
        <f>0/unit</f>
        <v>0</v>
      </c>
      <c r="E84" s="868">
        <f>0/unit</f>
        <v>0</v>
      </c>
    </row>
    <row r="85" spans="1:7" outlineLevel="1">
      <c r="A85" s="897" t="s">
        <v>607</v>
      </c>
      <c r="B85" s="868">
        <f>0/unit</f>
        <v>0</v>
      </c>
      <c r="C85" s="868">
        <f>0/unit</f>
        <v>0</v>
      </c>
      <c r="D85" s="868">
        <f>0/unit</f>
        <v>0</v>
      </c>
      <c r="E85" s="868">
        <f>0/unit</f>
        <v>0</v>
      </c>
    </row>
    <row r="86" spans="1:7" outlineLevel="1">
      <c r="A86" s="897" t="s">
        <v>608</v>
      </c>
      <c r="B86" s="868">
        <f>0/unit</f>
        <v>0</v>
      </c>
      <c r="C86" s="868">
        <f>0/unit</f>
        <v>0</v>
      </c>
      <c r="D86" s="868">
        <f>0/unit</f>
        <v>0</v>
      </c>
      <c r="E86" s="868">
        <f>0/unit</f>
        <v>0</v>
      </c>
    </row>
    <row r="87" spans="1:7" outlineLevel="1">
      <c r="A87" s="897" t="s">
        <v>609</v>
      </c>
      <c r="B87" s="868">
        <f>0/unit</f>
        <v>0</v>
      </c>
      <c r="C87" s="868">
        <f>0/unit</f>
        <v>0</v>
      </c>
      <c r="D87" s="868">
        <f>0/unit</f>
        <v>0</v>
      </c>
      <c r="E87" s="868">
        <f>0/unit</f>
        <v>0</v>
      </c>
    </row>
    <row r="88" spans="1:7" outlineLevel="1">
      <c r="A88" s="897" t="s">
        <v>610</v>
      </c>
      <c r="B88" s="868">
        <f>206595632.19/unit</f>
        <v>2.0659563218999999</v>
      </c>
      <c r="C88" s="868">
        <f>266313895.58/unit</f>
        <v>2.6631389558</v>
      </c>
      <c r="D88" s="868">
        <f>382223557.63/unit</f>
        <v>3.8222355762999998</v>
      </c>
      <c r="E88" s="868">
        <f>456655143.29/unit</f>
        <v>4.5665514328999999</v>
      </c>
    </row>
    <row r="89" spans="1:7" outlineLevel="1">
      <c r="A89" s="897" t="s">
        <v>611</v>
      </c>
      <c r="B89" s="868">
        <f>0/unit</f>
        <v>0</v>
      </c>
      <c r="C89" s="868">
        <f>0/unit</f>
        <v>0</v>
      </c>
      <c r="D89" s="868">
        <f>0/unit</f>
        <v>0</v>
      </c>
      <c r="E89" s="868">
        <f>0/unit</f>
        <v>0</v>
      </c>
    </row>
    <row r="90" spans="1:7" outlineLevel="1">
      <c r="A90" s="897" t="s">
        <v>612</v>
      </c>
      <c r="B90" s="868">
        <f>0/unit</f>
        <v>0</v>
      </c>
      <c r="C90" s="868">
        <f>0/unit</f>
        <v>0</v>
      </c>
      <c r="D90" s="868">
        <f>0/unit</f>
        <v>0</v>
      </c>
      <c r="E90" s="907">
        <f>0/unit</f>
        <v>0</v>
      </c>
    </row>
    <row r="91" spans="1:7" outlineLevel="1">
      <c r="A91" s="897" t="s">
        <v>613</v>
      </c>
      <c r="B91" s="868">
        <f>124638.46/unit</f>
        <v>1.2463846000000001E-3</v>
      </c>
      <c r="C91" s="868">
        <f>2144853.58/unit</f>
        <v>2.1448535800000001E-2</v>
      </c>
      <c r="D91" s="868">
        <f>2245754.4/unit</f>
        <v>2.2457543999999999E-2</v>
      </c>
      <c r="E91" s="868">
        <f>0/unit</f>
        <v>0</v>
      </c>
    </row>
    <row r="92" spans="1:7" outlineLevel="1">
      <c r="A92" s="897" t="s">
        <v>614</v>
      </c>
      <c r="B92" s="868">
        <f>0/unit</f>
        <v>0</v>
      </c>
      <c r="C92" s="868">
        <f>0/unit</f>
        <v>0</v>
      </c>
      <c r="D92" s="868">
        <f>0/unit</f>
        <v>0</v>
      </c>
      <c r="E92" s="868">
        <f>0/unit</f>
        <v>0</v>
      </c>
    </row>
    <row r="93" spans="1:7" outlineLevel="1">
      <c r="A93" s="897" t="s">
        <v>615</v>
      </c>
      <c r="B93" s="868">
        <f>17728415.95/unit</f>
        <v>0.17728415949999998</v>
      </c>
      <c r="C93" s="868">
        <f>21148580.87/unit</f>
        <v>0.2114858087</v>
      </c>
      <c r="D93" s="868">
        <f>18659007.83/unit</f>
        <v>0.18659007829999999</v>
      </c>
      <c r="E93" s="868">
        <f>37058940.39/unit</f>
        <v>0.3705894039</v>
      </c>
    </row>
    <row r="94" spans="1:7" outlineLevel="1">
      <c r="A94" s="897" t="s">
        <v>616</v>
      </c>
      <c r="B94" s="868">
        <f>0/unit</f>
        <v>0</v>
      </c>
      <c r="C94" s="868">
        <f>0/unit</f>
        <v>0</v>
      </c>
      <c r="D94" s="868">
        <f>0/unit</f>
        <v>0</v>
      </c>
      <c r="E94" s="868">
        <f>0/unit</f>
        <v>0</v>
      </c>
    </row>
    <row r="95" spans="1:7" outlineLevel="1">
      <c r="A95" s="897" t="s">
        <v>617</v>
      </c>
      <c r="B95" s="868">
        <f>0/unit</f>
        <v>0</v>
      </c>
      <c r="C95" s="868">
        <f>0/unit</f>
        <v>0</v>
      </c>
      <c r="D95" s="868">
        <f>0/unit</f>
        <v>0</v>
      </c>
      <c r="E95" s="907">
        <f>0/unit</f>
        <v>0</v>
      </c>
    </row>
    <row r="96" spans="1:7" outlineLevel="1">
      <c r="A96" s="896" t="s">
        <v>618</v>
      </c>
      <c r="B96" s="868">
        <f>1036128292.18/unit</f>
        <v>10.361282921799999</v>
      </c>
      <c r="C96" s="868">
        <f>1437932343.88/unit</f>
        <v>14.379323438800002</v>
      </c>
      <c r="D96" s="868">
        <f>1748353121.3/unit</f>
        <v>17.483531212999999</v>
      </c>
      <c r="E96" s="868">
        <f>1970534184.35/unit</f>
        <v>19.705341843499998</v>
      </c>
      <c r="F96" s="908"/>
      <c r="G96" s="908"/>
    </row>
    <row r="97" spans="1:5" outlineLevel="1">
      <c r="A97" s="896" t="s">
        <v>619</v>
      </c>
      <c r="B97" s="867"/>
      <c r="C97" s="867"/>
      <c r="D97" s="867"/>
      <c r="E97" s="867"/>
    </row>
    <row r="98" spans="1:5" outlineLevel="1">
      <c r="A98" s="897" t="s">
        <v>620</v>
      </c>
      <c r="B98" s="868">
        <f>0/unit</f>
        <v>0</v>
      </c>
      <c r="C98" s="868">
        <f>0/unit</f>
        <v>0</v>
      </c>
      <c r="D98" s="868">
        <f>0/unit</f>
        <v>0</v>
      </c>
      <c r="E98" s="868">
        <f>0/unit</f>
        <v>0</v>
      </c>
    </row>
    <row r="99" spans="1:5" outlineLevel="1">
      <c r="A99" s="897" t="s">
        <v>621</v>
      </c>
      <c r="B99" s="868">
        <f>0/unit</f>
        <v>0</v>
      </c>
      <c r="C99" s="868">
        <f>0/unit</f>
        <v>0</v>
      </c>
      <c r="D99" s="868">
        <f>0/unit</f>
        <v>0</v>
      </c>
      <c r="E99" s="868">
        <f>0/unit</f>
        <v>0</v>
      </c>
    </row>
    <row r="100" spans="1:5" outlineLevel="1">
      <c r="A100" s="897" t="s">
        <v>622</v>
      </c>
      <c r="B100" s="868">
        <f>0/unit</f>
        <v>0</v>
      </c>
      <c r="C100" s="868">
        <f>0/unit</f>
        <v>0</v>
      </c>
      <c r="D100" s="868">
        <f>0/unit</f>
        <v>0</v>
      </c>
      <c r="E100" s="868">
        <f>0/unit</f>
        <v>0</v>
      </c>
    </row>
    <row r="101" spans="1:5" outlineLevel="1">
      <c r="A101" s="897" t="s">
        <v>623</v>
      </c>
      <c r="B101" s="868">
        <f>0/unit</f>
        <v>0</v>
      </c>
      <c r="C101" s="868">
        <f>0/unit</f>
        <v>0</v>
      </c>
      <c r="D101" s="868">
        <f>0/unit</f>
        <v>0</v>
      </c>
      <c r="E101" s="868">
        <f>0/unit</f>
        <v>0</v>
      </c>
    </row>
    <row r="102" spans="1:5" outlineLevel="1">
      <c r="A102" s="897" t="s">
        <v>624</v>
      </c>
      <c r="B102" s="868">
        <f>0/unit</f>
        <v>0</v>
      </c>
      <c r="C102" s="868">
        <f>0/unit</f>
        <v>0</v>
      </c>
      <c r="D102" s="868">
        <f>0/unit</f>
        <v>0</v>
      </c>
      <c r="E102" s="868">
        <f>0/unit</f>
        <v>0</v>
      </c>
    </row>
    <row r="103" spans="1:5" outlineLevel="1">
      <c r="A103" s="897" t="s">
        <v>625</v>
      </c>
      <c r="B103" s="868">
        <f>20000000/unit</f>
        <v>0.2</v>
      </c>
      <c r="C103" s="868">
        <f>20000000/unit</f>
        <v>0.2</v>
      </c>
      <c r="D103" s="868">
        <f>23600000/unit</f>
        <v>0.23599999999999999</v>
      </c>
      <c r="E103" s="868">
        <f>3600000/unit</f>
        <v>3.5999999999999997E-2</v>
      </c>
    </row>
    <row r="104" spans="1:5" outlineLevel="1">
      <c r="A104" s="897" t="s">
        <v>626</v>
      </c>
      <c r="B104" s="868">
        <f>0/unit</f>
        <v>0</v>
      </c>
      <c r="C104" s="868">
        <f>0/unit</f>
        <v>0</v>
      </c>
      <c r="D104" s="868">
        <f>0/unit</f>
        <v>0</v>
      </c>
      <c r="E104" s="868">
        <f>0/unit</f>
        <v>0</v>
      </c>
    </row>
    <row r="105" spans="1:5" outlineLevel="1">
      <c r="A105" s="897" t="s">
        <v>627</v>
      </c>
      <c r="B105" s="868">
        <f>0/unit</f>
        <v>0</v>
      </c>
      <c r="C105" s="868">
        <f>0/unit</f>
        <v>0</v>
      </c>
      <c r="D105" s="868">
        <f>0/unit</f>
        <v>0</v>
      </c>
      <c r="E105" s="868">
        <f>0/unit</f>
        <v>0</v>
      </c>
    </row>
    <row r="106" spans="1:5" outlineLevel="1">
      <c r="A106" s="897" t="s">
        <v>628</v>
      </c>
      <c r="B106" s="868">
        <f>55489486.09/unit</f>
        <v>0.55489486090000006</v>
      </c>
      <c r="C106" s="868">
        <f>60760757.55/unit</f>
        <v>0.6076075755</v>
      </c>
      <c r="D106" s="868">
        <f>29220969.23/unit</f>
        <v>0.29220969229999999</v>
      </c>
      <c r="E106" s="868">
        <f>26102081.08/unit</f>
        <v>0.2610208108</v>
      </c>
    </row>
    <row r="107" spans="1:5" outlineLevel="1">
      <c r="A107" s="897" t="s">
        <v>629</v>
      </c>
      <c r="B107" s="868">
        <f>0/unit</f>
        <v>0</v>
      </c>
      <c r="C107" s="868">
        <f>0/unit</f>
        <v>0</v>
      </c>
      <c r="D107" s="868">
        <f>0/unit</f>
        <v>0</v>
      </c>
      <c r="E107" s="868">
        <f>0/unit</f>
        <v>0</v>
      </c>
    </row>
    <row r="108" spans="1:5" outlineLevel="1">
      <c r="A108" s="898" t="s">
        <v>630</v>
      </c>
      <c r="B108" s="868">
        <f>0/unit</f>
        <v>0</v>
      </c>
      <c r="C108" s="868">
        <f>0/unit</f>
        <v>0</v>
      </c>
      <c r="D108" s="868">
        <f>0/unit</f>
        <v>0</v>
      </c>
      <c r="E108" s="868">
        <f>0/unit</f>
        <v>0</v>
      </c>
    </row>
    <row r="109" spans="1:5" outlineLevel="1">
      <c r="A109" s="897" t="s">
        <v>631</v>
      </c>
      <c r="B109" s="868">
        <f>0/unit</f>
        <v>0</v>
      </c>
      <c r="C109" s="868">
        <f>0/unit</f>
        <v>0</v>
      </c>
      <c r="D109" s="868">
        <f>0/unit</f>
        <v>0</v>
      </c>
      <c r="E109" s="868">
        <f>0/unit</f>
        <v>0</v>
      </c>
    </row>
    <row r="110" spans="1:5" outlineLevel="1">
      <c r="A110" s="897" t="s">
        <v>632</v>
      </c>
      <c r="B110" s="868">
        <f>1727230673.07/unit</f>
        <v>17.272306730699999</v>
      </c>
      <c r="C110" s="868">
        <f>2066586895.38/unit</f>
        <v>20.6658689538</v>
      </c>
      <c r="D110" s="868">
        <f>2244043341.25/unit</f>
        <v>22.440433412499999</v>
      </c>
      <c r="E110" s="868">
        <f>2462991966.98/unit</f>
        <v>24.6299196698</v>
      </c>
    </row>
    <row r="111" spans="1:5" outlineLevel="1">
      <c r="A111" s="897" t="s">
        <v>633</v>
      </c>
      <c r="B111" s="868">
        <f>217786024.2/unit</f>
        <v>2.1778602419999999</v>
      </c>
      <c r="C111" s="868">
        <f>275107817.61/unit</f>
        <v>2.7510781761000001</v>
      </c>
      <c r="D111" s="868">
        <f>202368127.94/unit</f>
        <v>2.0236812793999999</v>
      </c>
      <c r="E111" s="868">
        <f>208659824.42/unit</f>
        <v>2.0865982441999997</v>
      </c>
    </row>
    <row r="112" spans="1:5" outlineLevel="1">
      <c r="A112" s="897" t="s">
        <v>634</v>
      </c>
      <c r="B112" s="868">
        <f>0/unit</f>
        <v>0</v>
      </c>
      <c r="C112" s="868">
        <f>0/unit</f>
        <v>0</v>
      </c>
      <c r="D112" s="868">
        <f>0/unit</f>
        <v>0</v>
      </c>
      <c r="E112" s="868">
        <f>0/unit</f>
        <v>0</v>
      </c>
    </row>
    <row r="113" spans="1:6" outlineLevel="1">
      <c r="A113" s="897" t="s">
        <v>635</v>
      </c>
      <c r="B113" s="868">
        <f>0/unit</f>
        <v>0</v>
      </c>
      <c r="C113" s="868">
        <f>0/unit</f>
        <v>0</v>
      </c>
      <c r="D113" s="868">
        <f>0/unit</f>
        <v>0</v>
      </c>
      <c r="E113" s="868">
        <f>0/unit</f>
        <v>0</v>
      </c>
    </row>
    <row r="114" spans="1:6" outlineLevel="1">
      <c r="A114" s="897" t="s">
        <v>636</v>
      </c>
      <c r="B114" s="868">
        <f>0/unit</f>
        <v>0</v>
      </c>
      <c r="C114" s="868">
        <f>0/unit</f>
        <v>0</v>
      </c>
      <c r="D114" s="868">
        <f>0/unit</f>
        <v>0</v>
      </c>
      <c r="E114" s="868">
        <f>0/unit</f>
        <v>0</v>
      </c>
    </row>
    <row r="115" spans="1:6" outlineLevel="1">
      <c r="A115" s="897" t="s">
        <v>637</v>
      </c>
      <c r="B115" s="868">
        <f>0/unit</f>
        <v>0</v>
      </c>
      <c r="C115" s="868">
        <f>0/unit</f>
        <v>0</v>
      </c>
      <c r="D115" s="868">
        <f>0/unit</f>
        <v>0</v>
      </c>
      <c r="E115" s="868">
        <f>0/unit</f>
        <v>0</v>
      </c>
    </row>
    <row r="116" spans="1:6" outlineLevel="1">
      <c r="A116" s="897" t="s">
        <v>638</v>
      </c>
      <c r="B116" s="868">
        <f>87847352.77/unit</f>
        <v>0.87847352769999998</v>
      </c>
      <c r="C116" s="868">
        <f>91476143.19/unit</f>
        <v>0.91476143189999992</v>
      </c>
      <c r="D116" s="868">
        <f>107118349.44/unit</f>
        <v>1.0711834944</v>
      </c>
      <c r="E116" s="868">
        <f>106505120.71/unit</f>
        <v>1.0650512071</v>
      </c>
    </row>
    <row r="117" spans="1:6" outlineLevel="1">
      <c r="A117" s="897" t="s">
        <v>639</v>
      </c>
      <c r="B117" s="868">
        <f>0/unit</f>
        <v>0</v>
      </c>
      <c r="C117" s="868">
        <f>0/unit</f>
        <v>0</v>
      </c>
      <c r="D117" s="868">
        <f>0/unit</f>
        <v>0</v>
      </c>
      <c r="E117" s="868">
        <f>0/unit</f>
        <v>0</v>
      </c>
    </row>
    <row r="118" spans="1:6" outlineLevel="1">
      <c r="A118" s="897" t="s">
        <v>640</v>
      </c>
      <c r="B118" s="868">
        <f>41805607.89/unit</f>
        <v>0.41805607890000002</v>
      </c>
      <c r="C118" s="868">
        <f>41805607.89/unit</f>
        <v>0.41805607890000002</v>
      </c>
      <c r="D118" s="868">
        <f>330305451.01/unit</f>
        <v>3.3030545101</v>
      </c>
      <c r="E118" s="868">
        <f>330305451.01/unit</f>
        <v>3.3030545101</v>
      </c>
    </row>
    <row r="119" spans="1:6" outlineLevel="1">
      <c r="A119" s="897" t="s">
        <v>641</v>
      </c>
      <c r="B119" s="868">
        <f>19962215.74/unit</f>
        <v>0.19962215739999997</v>
      </c>
      <c r="C119" s="868">
        <f>16973872.6/unit</f>
        <v>0.16973872600000001</v>
      </c>
      <c r="D119" s="868">
        <f>15180597.03/unit</f>
        <v>0.15180597029999998</v>
      </c>
      <c r="E119" s="868">
        <f>20955090.52/unit</f>
        <v>0.2095509052</v>
      </c>
    </row>
    <row r="120" spans="1:6" outlineLevel="1">
      <c r="A120" s="897" t="s">
        <v>642</v>
      </c>
      <c r="B120" s="868">
        <f>16180391.32/unit</f>
        <v>0.16180391320000001</v>
      </c>
      <c r="C120" s="868">
        <f>18812716.03/unit</f>
        <v>0.18812716030000001</v>
      </c>
      <c r="D120" s="868">
        <f>22974593.73/unit</f>
        <v>0.22974593730000001</v>
      </c>
      <c r="E120" s="868">
        <f>30692576.22/unit</f>
        <v>0.30692576220000001</v>
      </c>
    </row>
    <row r="121" spans="1:6" outlineLevel="1">
      <c r="A121" s="897" t="s">
        <v>643</v>
      </c>
      <c r="B121" s="868">
        <f>17193834.79/unit</f>
        <v>0.17193834789999998</v>
      </c>
      <c r="C121" s="868">
        <f>11867901.1/unit</f>
        <v>0.118679011</v>
      </c>
      <c r="D121" s="868">
        <f>45159087.64/unit</f>
        <v>0.45159087640000001</v>
      </c>
      <c r="E121" s="868">
        <f>77012401.79/unit</f>
        <v>0.77012401790000007</v>
      </c>
    </row>
    <row r="122" spans="1:6" outlineLevel="1">
      <c r="A122" s="897" t="s">
        <v>644</v>
      </c>
      <c r="B122" s="868">
        <f>0/unit</f>
        <v>0</v>
      </c>
      <c r="C122" s="868">
        <f>0/unit</f>
        <v>0</v>
      </c>
      <c r="D122" s="868">
        <f>0/unit</f>
        <v>0</v>
      </c>
      <c r="E122" s="868">
        <f>0/unit</f>
        <v>0</v>
      </c>
    </row>
    <row r="123" spans="1:6" outlineLevel="1">
      <c r="A123" s="897" t="s">
        <v>645</v>
      </c>
      <c r="B123" s="868">
        <f>0/unit</f>
        <v>0</v>
      </c>
      <c r="C123" s="868">
        <f>0/unit</f>
        <v>0</v>
      </c>
      <c r="D123" s="868">
        <f>0/unit</f>
        <v>0</v>
      </c>
      <c r="E123" s="868">
        <f>0/unit</f>
        <v>0</v>
      </c>
    </row>
    <row r="124" spans="1:6" outlineLevel="1">
      <c r="A124" s="896" t="s">
        <v>646</v>
      </c>
      <c r="B124" s="868">
        <f>2203495585.87/unit</f>
        <v>22.034955858699998</v>
      </c>
      <c r="C124" s="868">
        <f>2603391711.35/unit</f>
        <v>26.033917113499999</v>
      </c>
      <c r="D124" s="868">
        <f>3019970517.27/unit</f>
        <v>30.1997051727</v>
      </c>
      <c r="E124" s="868">
        <f>3266824512.73/unit</f>
        <v>32.668245127299997</v>
      </c>
      <c r="F124" s="908"/>
    </row>
    <row r="125" spans="1:6" outlineLevel="1">
      <c r="A125" s="897" t="s">
        <v>647</v>
      </c>
      <c r="B125" s="867">
        <f>0/unit</f>
        <v>0</v>
      </c>
      <c r="C125" s="867">
        <f>0/unit</f>
        <v>0</v>
      </c>
      <c r="D125" s="867">
        <f>0/unit</f>
        <v>0</v>
      </c>
      <c r="E125" s="867">
        <f>0/unit</f>
        <v>0</v>
      </c>
    </row>
    <row r="126" spans="1:6" outlineLevel="1">
      <c r="A126" s="897" t="s">
        <v>648</v>
      </c>
      <c r="B126" s="868">
        <f>0/unit</f>
        <v>0</v>
      </c>
      <c r="C126" s="868">
        <f>0/unit</f>
        <v>0</v>
      </c>
      <c r="D126" s="868">
        <f>0/unit</f>
        <v>0</v>
      </c>
      <c r="E126" s="868">
        <f>0/unit</f>
        <v>0</v>
      </c>
    </row>
    <row r="127" spans="1:6" outlineLevel="1">
      <c r="A127" s="896" t="s">
        <v>649</v>
      </c>
      <c r="B127" s="868">
        <f>3239623878.05/unit</f>
        <v>32.396238780499999</v>
      </c>
      <c r="C127" s="868">
        <f>4041324055.23/unit</f>
        <v>40.413240552300003</v>
      </c>
      <c r="D127" s="868">
        <f>4768323638.57/unit</f>
        <v>47.683236385699999</v>
      </c>
      <c r="E127" s="868">
        <f>5237358697.08/unit</f>
        <v>52.373586970799998</v>
      </c>
      <c r="F127" s="908"/>
    </row>
    <row r="128" spans="1:6" outlineLevel="1">
      <c r="A128" s="896" t="s">
        <v>650</v>
      </c>
      <c r="B128" s="867"/>
      <c r="C128" s="867"/>
      <c r="D128" s="867"/>
      <c r="E128" s="867"/>
    </row>
    <row r="129" spans="1:5" outlineLevel="1">
      <c r="A129" s="897" t="s">
        <v>651</v>
      </c>
      <c r="B129" s="868">
        <f>206564445.16/unit</f>
        <v>2.0656444515999999</v>
      </c>
      <c r="C129" s="868">
        <f>601299078.85/unit</f>
        <v>6.0129907884999998</v>
      </c>
      <c r="D129" s="868">
        <f>4100000/unit</f>
        <v>4.1000000000000002E-2</v>
      </c>
      <c r="E129" s="868">
        <f>60194173.89/unit</f>
        <v>0.60194173890000002</v>
      </c>
    </row>
    <row r="130" spans="1:5" outlineLevel="1">
      <c r="A130" s="897" t="s">
        <v>652</v>
      </c>
      <c r="B130" s="868">
        <f>0/unit</f>
        <v>0</v>
      </c>
      <c r="C130" s="868">
        <f>0/unit</f>
        <v>0</v>
      </c>
      <c r="D130" s="868">
        <f>0/unit</f>
        <v>0</v>
      </c>
      <c r="E130" s="868">
        <f>0/unit</f>
        <v>0</v>
      </c>
    </row>
    <row r="131" spans="1:5" outlineLevel="1">
      <c r="A131" s="897" t="s">
        <v>653</v>
      </c>
      <c r="B131" s="868">
        <f>0/unit</f>
        <v>0</v>
      </c>
      <c r="C131" s="868">
        <f>0/unit</f>
        <v>0</v>
      </c>
      <c r="D131" s="868">
        <f>0/unit</f>
        <v>0</v>
      </c>
      <c r="E131" s="868">
        <f>0/unit</f>
        <v>0</v>
      </c>
    </row>
    <row r="132" spans="1:5" outlineLevel="1">
      <c r="A132" s="897" t="s">
        <v>654</v>
      </c>
      <c r="B132" s="868">
        <f>0/unit</f>
        <v>0</v>
      </c>
      <c r="C132" s="868">
        <f>0/unit</f>
        <v>0</v>
      </c>
      <c r="D132" s="868">
        <f>0/unit</f>
        <v>0</v>
      </c>
      <c r="E132" s="868">
        <f>0/unit</f>
        <v>0</v>
      </c>
    </row>
    <row r="133" spans="1:5" outlineLevel="1">
      <c r="A133" s="897" t="s">
        <v>655</v>
      </c>
      <c r="B133" s="868">
        <f>0/unit</f>
        <v>0</v>
      </c>
      <c r="C133" s="868">
        <f>0/unit</f>
        <v>0</v>
      </c>
      <c r="D133" s="868">
        <f>0/unit</f>
        <v>0</v>
      </c>
      <c r="E133" s="868">
        <f>0/unit</f>
        <v>0</v>
      </c>
    </row>
    <row r="134" spans="1:5" outlineLevel="1">
      <c r="A134" s="897" t="s">
        <v>656</v>
      </c>
      <c r="B134" s="868">
        <f>0/unit</f>
        <v>0</v>
      </c>
      <c r="C134" s="868">
        <f>0/unit</f>
        <v>0</v>
      </c>
      <c r="D134" s="868">
        <f>0/unit</f>
        <v>0</v>
      </c>
      <c r="E134" s="868">
        <f>0/unit</f>
        <v>0</v>
      </c>
    </row>
    <row r="135" spans="1:5" outlineLevel="1">
      <c r="A135" s="897" t="s">
        <v>657</v>
      </c>
      <c r="B135" s="868">
        <f>0/unit</f>
        <v>0</v>
      </c>
      <c r="C135" s="868">
        <f>0/unit</f>
        <v>0</v>
      </c>
      <c r="D135" s="868">
        <f>0/unit</f>
        <v>0</v>
      </c>
      <c r="E135" s="868">
        <f>0/unit</f>
        <v>0</v>
      </c>
    </row>
    <row r="136" spans="1:5" outlineLevel="1">
      <c r="A136" s="897" t="s">
        <v>658</v>
      </c>
      <c r="B136" s="868">
        <f>0/unit</f>
        <v>0</v>
      </c>
      <c r="C136" s="868">
        <f>0/unit</f>
        <v>0</v>
      </c>
      <c r="D136" s="868">
        <f>0/unit</f>
        <v>0</v>
      </c>
      <c r="E136" s="868">
        <f>0/unit</f>
        <v>0</v>
      </c>
    </row>
    <row r="137" spans="1:5" outlineLevel="1">
      <c r="A137" s="897" t="s">
        <v>659</v>
      </c>
      <c r="B137" s="868">
        <f>191415568.23/unit</f>
        <v>1.9141556822999999</v>
      </c>
      <c r="C137" s="868">
        <f>268508360.88/unit</f>
        <v>2.6850836087999999</v>
      </c>
      <c r="D137" s="868">
        <f>302552333.04/unit</f>
        <v>3.0255233304000004</v>
      </c>
      <c r="E137" s="868">
        <f>346349358.03/unit</f>
        <v>3.4634935802999998</v>
      </c>
    </row>
    <row r="138" spans="1:5" outlineLevel="1">
      <c r="A138" s="897" t="s">
        <v>660</v>
      </c>
      <c r="B138" s="868">
        <f>64691484.13/unit</f>
        <v>0.64691484129999999</v>
      </c>
      <c r="C138" s="868">
        <f>87830339.72/unit</f>
        <v>0.87830339719999995</v>
      </c>
      <c r="D138" s="868">
        <f>130138004.4/unit</f>
        <v>1.3013800440000001</v>
      </c>
      <c r="E138" s="868">
        <f>146449905.27/unit</f>
        <v>1.4644990527000001</v>
      </c>
    </row>
    <row r="139" spans="1:5" outlineLevel="1">
      <c r="A139" s="897" t="s">
        <v>661</v>
      </c>
      <c r="B139" s="868">
        <f>126724084.1/unit</f>
        <v>1.267240841</v>
      </c>
      <c r="C139" s="868">
        <f>180678021.16/unit</f>
        <v>1.8067802116</v>
      </c>
      <c r="D139" s="868">
        <f>172414328.64/unit</f>
        <v>1.7241432863999999</v>
      </c>
      <c r="E139" s="868">
        <f>199899452.76/unit</f>
        <v>1.9989945275999998</v>
      </c>
    </row>
    <row r="140" spans="1:5" outlineLevel="1">
      <c r="A140" s="897" t="s">
        <v>662</v>
      </c>
      <c r="B140" s="868">
        <f>5221869.95/unit</f>
        <v>5.22186995E-2</v>
      </c>
      <c r="C140" s="868">
        <f>3573168.08/unit</f>
        <v>3.5731680799999999E-2</v>
      </c>
      <c r="D140" s="868">
        <f>7091099.04/unit</f>
        <v>7.0910990399999999E-2</v>
      </c>
      <c r="E140" s="868">
        <f>4926937.65/unit</f>
        <v>4.9269376500000003E-2</v>
      </c>
    </row>
    <row r="141" spans="1:5" outlineLevel="1">
      <c r="A141" s="897" t="s">
        <v>663</v>
      </c>
      <c r="B141" s="868">
        <f>0/unit</f>
        <v>0</v>
      </c>
      <c r="C141" s="868">
        <f>0/unit</f>
        <v>0</v>
      </c>
      <c r="D141" s="868">
        <f>0/unit</f>
        <v>0</v>
      </c>
      <c r="E141" s="868">
        <f>0/unit</f>
        <v>0</v>
      </c>
    </row>
    <row r="142" spans="1:5" outlineLevel="1">
      <c r="A142" s="897" t="s">
        <v>664</v>
      </c>
      <c r="B142" s="868">
        <f>0/unit</f>
        <v>0</v>
      </c>
      <c r="C142" s="868">
        <f>0/unit</f>
        <v>0</v>
      </c>
      <c r="D142" s="868">
        <f>0/unit</f>
        <v>0</v>
      </c>
      <c r="E142" s="868">
        <f>0/unit</f>
        <v>0</v>
      </c>
    </row>
    <row r="143" spans="1:5" outlineLevel="1">
      <c r="A143" s="897" t="s">
        <v>665</v>
      </c>
      <c r="B143" s="868">
        <f>0/unit</f>
        <v>0</v>
      </c>
      <c r="C143" s="868">
        <f>0/unit</f>
        <v>0</v>
      </c>
      <c r="D143" s="868">
        <f>0/unit</f>
        <v>0</v>
      </c>
      <c r="E143" s="868">
        <f>0/unit</f>
        <v>0</v>
      </c>
    </row>
    <row r="144" spans="1:5" outlineLevel="1">
      <c r="A144" s="897" t="s">
        <v>666</v>
      </c>
      <c r="B144" s="868">
        <f>44226360.95/unit</f>
        <v>0.44226360950000004</v>
      </c>
      <c r="C144" s="868">
        <f>61188680.12/unit</f>
        <v>0.61188680119999994</v>
      </c>
      <c r="D144" s="868">
        <f>62109195.8/unit</f>
        <v>0.62109195799999994</v>
      </c>
      <c r="E144" s="868">
        <f>75030511.51/unit</f>
        <v>0.75030511510000009</v>
      </c>
    </row>
    <row r="145" spans="1:5" outlineLevel="1">
      <c r="A145" s="897" t="s">
        <v>667</v>
      </c>
      <c r="B145" s="868">
        <f>20612302.19/unit</f>
        <v>0.20612302190000001</v>
      </c>
      <c r="C145" s="868">
        <f>37091243.75/unit</f>
        <v>0.37091243750000003</v>
      </c>
      <c r="D145" s="868">
        <f>47012825.69/unit</f>
        <v>0.47012825689999999</v>
      </c>
      <c r="E145" s="868">
        <f>31883040.05/unit</f>
        <v>0.3188304005</v>
      </c>
    </row>
    <row r="146" spans="1:5" outlineLevel="1">
      <c r="A146" s="897" t="s">
        <v>668</v>
      </c>
      <c r="B146" s="868">
        <f>1156407.58/unit</f>
        <v>1.15640758E-2</v>
      </c>
      <c r="C146" s="868">
        <f>2671541/unit</f>
        <v>2.6715409999999998E-2</v>
      </c>
      <c r="D146" s="868">
        <f>0/unit</f>
        <v>0</v>
      </c>
      <c r="E146" s="868">
        <f>86414.47/unit</f>
        <v>8.6414469999999998E-4</v>
      </c>
    </row>
    <row r="147" spans="1:5" outlineLevel="1">
      <c r="A147" s="897" t="s">
        <v>669</v>
      </c>
      <c r="B147" s="868">
        <f>0/unit</f>
        <v>0</v>
      </c>
      <c r="C147" s="868">
        <f>0/unit</f>
        <v>0</v>
      </c>
      <c r="D147" s="868">
        <f>0/unit</f>
        <v>0</v>
      </c>
      <c r="E147" s="868">
        <f>0/unit</f>
        <v>0</v>
      </c>
    </row>
    <row r="148" spans="1:5" outlineLevel="1">
      <c r="A148" s="897" t="s">
        <v>670</v>
      </c>
      <c r="B148" s="868">
        <f>0/unit</f>
        <v>0</v>
      </c>
      <c r="C148" s="868">
        <f>0/unit</f>
        <v>0</v>
      </c>
      <c r="D148" s="868">
        <f>0/unit</f>
        <v>0</v>
      </c>
      <c r="E148" s="868">
        <f>0/unit</f>
        <v>0</v>
      </c>
    </row>
    <row r="149" spans="1:5" outlineLevel="1">
      <c r="A149" s="897" t="s">
        <v>671</v>
      </c>
      <c r="B149" s="868">
        <f>0/unit</f>
        <v>0</v>
      </c>
      <c r="C149" s="868">
        <f>0/unit</f>
        <v>0</v>
      </c>
      <c r="D149" s="868">
        <f>0/unit</f>
        <v>0</v>
      </c>
      <c r="E149" s="868">
        <f>0/unit</f>
        <v>0</v>
      </c>
    </row>
    <row r="150" spans="1:5" outlineLevel="1">
      <c r="A150" s="897" t="s">
        <v>672</v>
      </c>
      <c r="B150" s="868">
        <f>183144477.12/unit</f>
        <v>1.8314447712000002</v>
      </c>
      <c r="C150" s="868">
        <f>236262257.76/unit</f>
        <v>2.3626225775999998</v>
      </c>
      <c r="D150" s="868">
        <f>227684429.52/unit</f>
        <v>2.2768442952000001</v>
      </c>
      <c r="E150" s="868">
        <f>219302581.55/unit</f>
        <v>2.1930258155</v>
      </c>
    </row>
    <row r="151" spans="1:5" outlineLevel="1">
      <c r="A151" s="897" t="s">
        <v>673</v>
      </c>
      <c r="B151" s="868">
        <f>0/unit</f>
        <v>0</v>
      </c>
      <c r="C151" s="868">
        <f>0/unit</f>
        <v>0</v>
      </c>
      <c r="D151" s="868">
        <f>0/unit</f>
        <v>0</v>
      </c>
      <c r="E151" s="868">
        <f>0/unit</f>
        <v>0</v>
      </c>
    </row>
    <row r="152" spans="1:5" outlineLevel="1">
      <c r="A152" s="897" t="s">
        <v>674</v>
      </c>
      <c r="B152" s="868">
        <f>0/unit</f>
        <v>0</v>
      </c>
      <c r="C152" s="868">
        <f>0/unit</f>
        <v>0</v>
      </c>
      <c r="D152" s="868">
        <f>0/unit</f>
        <v>0</v>
      </c>
      <c r="E152" s="868">
        <f>0/unit</f>
        <v>0</v>
      </c>
    </row>
    <row r="153" spans="1:5" outlineLevel="1">
      <c r="A153" s="897" t="s">
        <v>675</v>
      </c>
      <c r="B153" s="868">
        <f>0/unit</f>
        <v>0</v>
      </c>
      <c r="C153" s="868">
        <f>0/unit</f>
        <v>0</v>
      </c>
      <c r="D153" s="868">
        <f>0/unit</f>
        <v>0</v>
      </c>
      <c r="E153" s="868">
        <f>0/unit</f>
        <v>0</v>
      </c>
    </row>
    <row r="154" spans="1:5" outlineLevel="1">
      <c r="A154" s="897" t="s">
        <v>676</v>
      </c>
      <c r="B154" s="868">
        <f>0/unit</f>
        <v>0</v>
      </c>
      <c r="C154" s="868">
        <f>0/unit</f>
        <v>0</v>
      </c>
      <c r="D154" s="868">
        <f>0/unit</f>
        <v>0</v>
      </c>
      <c r="E154" s="868">
        <f>0/unit</f>
        <v>0</v>
      </c>
    </row>
    <row r="155" spans="1:5" outlineLevel="1">
      <c r="A155" s="897" t="s">
        <v>677</v>
      </c>
      <c r="B155" s="868">
        <f>0/unit</f>
        <v>0</v>
      </c>
      <c r="C155" s="868">
        <f>0/unit</f>
        <v>0</v>
      </c>
      <c r="D155" s="868">
        <f>0/unit</f>
        <v>0</v>
      </c>
      <c r="E155" s="868">
        <f>0/unit</f>
        <v>0</v>
      </c>
    </row>
    <row r="156" spans="1:5" outlineLevel="1">
      <c r="A156" s="897" t="s">
        <v>678</v>
      </c>
      <c r="B156" s="868">
        <f>0/unit</f>
        <v>0</v>
      </c>
      <c r="C156" s="868">
        <f>0/unit</f>
        <v>0</v>
      </c>
      <c r="D156" s="868">
        <f>0/unit</f>
        <v>0</v>
      </c>
      <c r="E156" s="868">
        <f>0/unit</f>
        <v>0</v>
      </c>
    </row>
    <row r="157" spans="1:5" outlineLevel="1">
      <c r="A157" s="901" t="s">
        <v>679</v>
      </c>
      <c r="B157" s="868">
        <f>0/unit</f>
        <v>0</v>
      </c>
      <c r="C157" s="868">
        <f>0/unit</f>
        <v>0</v>
      </c>
      <c r="D157" s="868">
        <f>0/unit</f>
        <v>0</v>
      </c>
      <c r="E157" s="868">
        <f>0/unit</f>
        <v>0</v>
      </c>
    </row>
    <row r="158" spans="1:5" outlineLevel="1">
      <c r="A158" s="897" t="s">
        <v>680</v>
      </c>
      <c r="B158" s="868">
        <f>0/unit</f>
        <v>0</v>
      </c>
      <c r="C158" s="868">
        <f>0/unit</f>
        <v>0</v>
      </c>
      <c r="D158" s="868">
        <f>0/unit</f>
        <v>0</v>
      </c>
      <c r="E158" s="868">
        <f>0/unit</f>
        <v>0</v>
      </c>
    </row>
    <row r="159" spans="1:5" outlineLevel="1">
      <c r="A159" s="897" t="s">
        <v>681</v>
      </c>
      <c r="B159" s="868">
        <f>16953980.71/unit</f>
        <v>0.1695398071</v>
      </c>
      <c r="C159" s="868">
        <f>19965858.21/unit</f>
        <v>0.19965858210000001</v>
      </c>
      <c r="D159" s="868">
        <f>0/unit</f>
        <v>0</v>
      </c>
      <c r="E159" s="868">
        <f>0/unit</f>
        <v>0</v>
      </c>
    </row>
    <row r="160" spans="1:5" outlineLevel="1">
      <c r="A160" s="897" t="s">
        <v>682</v>
      </c>
      <c r="B160" s="868">
        <f>0/unit</f>
        <v>0</v>
      </c>
      <c r="C160" s="868">
        <f>0/unit</f>
        <v>0</v>
      </c>
      <c r="D160" s="868">
        <f>0/unit</f>
        <v>0</v>
      </c>
      <c r="E160" s="868">
        <f>0/unit</f>
        <v>0</v>
      </c>
    </row>
    <row r="161" spans="1:5" outlineLevel="1">
      <c r="A161" s="897" t="s">
        <v>683</v>
      </c>
      <c r="B161" s="868">
        <f>0/unit</f>
        <v>0</v>
      </c>
      <c r="C161" s="868">
        <f>0/unit</f>
        <v>0</v>
      </c>
      <c r="D161" s="868">
        <f>0/unit</f>
        <v>0</v>
      </c>
      <c r="E161" s="868">
        <f>0/unit</f>
        <v>0</v>
      </c>
    </row>
    <row r="162" spans="1:5" outlineLevel="1">
      <c r="A162" s="897" t="s">
        <v>684</v>
      </c>
      <c r="B162" s="868">
        <f>0/unit</f>
        <v>0</v>
      </c>
      <c r="C162" s="868">
        <f>0/unit</f>
        <v>0</v>
      </c>
      <c r="D162" s="868">
        <f>0/unit</f>
        <v>0</v>
      </c>
      <c r="E162" s="868">
        <f>0/unit</f>
        <v>0</v>
      </c>
    </row>
    <row r="163" spans="1:5" outlineLevel="1">
      <c r="A163" s="897" t="s">
        <v>685</v>
      </c>
      <c r="B163" s="868">
        <f>0/unit</f>
        <v>0</v>
      </c>
      <c r="C163" s="868">
        <f>0/unit</f>
        <v>0</v>
      </c>
      <c r="D163" s="868">
        <f>0/unit</f>
        <v>0</v>
      </c>
      <c r="E163" s="868">
        <f>0/unit</f>
        <v>0</v>
      </c>
    </row>
    <row r="164" spans="1:5" outlineLevel="1">
      <c r="A164" s="896" t="s">
        <v>686</v>
      </c>
      <c r="B164" s="868">
        <f>669295411.89/unit</f>
        <v>6.6929541188999995</v>
      </c>
      <c r="C164" s="868">
        <f>1230560188.65/unit</f>
        <v>12.305601886500002</v>
      </c>
      <c r="D164" s="868">
        <f>650549883.09/unit</f>
        <v>6.5054988309000006</v>
      </c>
      <c r="E164" s="868">
        <f>737773017.15/unit</f>
        <v>7.3777301714999997</v>
      </c>
    </row>
    <row r="165" spans="1:5" outlineLevel="1">
      <c r="A165" s="896" t="s">
        <v>687</v>
      </c>
      <c r="B165" s="867"/>
      <c r="C165" s="867"/>
      <c r="D165" s="867"/>
      <c r="E165" s="867"/>
    </row>
    <row r="166" spans="1:5" outlineLevel="1">
      <c r="A166" s="897" t="s">
        <v>688</v>
      </c>
      <c r="B166" s="868">
        <f>12000000/unit</f>
        <v>0.12</v>
      </c>
      <c r="C166" s="868">
        <f>82563432.86/unit</f>
        <v>0.82563432859999997</v>
      </c>
      <c r="D166" s="868">
        <f>0/unit</f>
        <v>0</v>
      </c>
      <c r="E166" s="868">
        <f>0/unit</f>
        <v>0</v>
      </c>
    </row>
    <row r="167" spans="1:5" outlineLevel="1">
      <c r="A167" s="897" t="s">
        <v>689</v>
      </c>
      <c r="B167" s="868">
        <f>0/unit</f>
        <v>0</v>
      </c>
      <c r="C167" s="868">
        <f>0/unit</f>
        <v>0</v>
      </c>
      <c r="D167" s="868">
        <f>0/unit</f>
        <v>0</v>
      </c>
      <c r="E167" s="868">
        <f>0/unit</f>
        <v>0</v>
      </c>
    </row>
    <row r="168" spans="1:5" outlineLevel="1">
      <c r="A168" s="897" t="s">
        <v>690</v>
      </c>
      <c r="B168" s="868">
        <f>0/unit</f>
        <v>0</v>
      </c>
      <c r="C168" s="868">
        <f>0/unit</f>
        <v>0</v>
      </c>
      <c r="D168" s="868">
        <f>0/unit</f>
        <v>0</v>
      </c>
      <c r="E168" s="868">
        <f>0/unit</f>
        <v>0</v>
      </c>
    </row>
    <row r="169" spans="1:5" outlineLevel="1">
      <c r="A169" s="897" t="s">
        <v>691</v>
      </c>
      <c r="B169" s="868">
        <f>0/unit</f>
        <v>0</v>
      </c>
      <c r="C169" s="868">
        <f>0/unit</f>
        <v>0</v>
      </c>
      <c r="D169" s="868">
        <f>0/unit</f>
        <v>0</v>
      </c>
      <c r="E169" s="868">
        <f>0/unit</f>
        <v>0</v>
      </c>
    </row>
    <row r="170" spans="1:5" outlineLevel="1">
      <c r="A170" s="897" t="s">
        <v>692</v>
      </c>
      <c r="B170" s="868">
        <f>0/unit</f>
        <v>0</v>
      </c>
      <c r="C170" s="868">
        <f>0/unit</f>
        <v>0</v>
      </c>
      <c r="D170" s="868">
        <f>0/unit</f>
        <v>0</v>
      </c>
      <c r="E170" s="868">
        <f>0/unit</f>
        <v>0</v>
      </c>
    </row>
    <row r="171" spans="1:5" outlineLevel="1">
      <c r="A171" s="897" t="s">
        <v>693</v>
      </c>
      <c r="B171" s="868">
        <f>94477768/unit</f>
        <v>0.94477767999999995</v>
      </c>
      <c r="C171" s="868">
        <f>0/unit</f>
        <v>0</v>
      </c>
      <c r="D171" s="868">
        <f>0/unit</f>
        <v>0</v>
      </c>
      <c r="E171" s="868">
        <f>0/unit</f>
        <v>0</v>
      </c>
    </row>
    <row r="172" spans="1:5" outlineLevel="1">
      <c r="A172" s="897" t="s">
        <v>694</v>
      </c>
      <c r="B172" s="868">
        <f>0/unit</f>
        <v>0</v>
      </c>
      <c r="C172" s="868">
        <f>0/unit</f>
        <v>0</v>
      </c>
      <c r="D172" s="868">
        <f>0/unit</f>
        <v>0</v>
      </c>
      <c r="E172" s="868">
        <f>0/unit</f>
        <v>0</v>
      </c>
    </row>
    <row r="173" spans="1:5" outlineLevel="1">
      <c r="A173" s="897" t="s">
        <v>695</v>
      </c>
      <c r="B173" s="868">
        <f>0/unit</f>
        <v>0</v>
      </c>
      <c r="C173" s="868">
        <f>0/unit</f>
        <v>0</v>
      </c>
      <c r="D173" s="868">
        <f>0/unit</f>
        <v>0</v>
      </c>
      <c r="E173" s="868">
        <f>0/unit</f>
        <v>0</v>
      </c>
    </row>
    <row r="174" spans="1:5" outlineLevel="1">
      <c r="A174" s="897" t="s">
        <v>696</v>
      </c>
      <c r="B174" s="868">
        <f>0/unit</f>
        <v>0</v>
      </c>
      <c r="C174" s="868">
        <f>0/unit</f>
        <v>0</v>
      </c>
      <c r="D174" s="868">
        <f>0/unit</f>
        <v>0</v>
      </c>
      <c r="E174" s="868">
        <f>0/unit</f>
        <v>0</v>
      </c>
    </row>
    <row r="175" spans="1:5" outlineLevel="1">
      <c r="A175" s="897" t="s">
        <v>697</v>
      </c>
      <c r="B175" s="868">
        <f>7972531.44/unit</f>
        <v>7.9725314400000011E-2</v>
      </c>
      <c r="C175" s="868">
        <f>8720436.37/unit</f>
        <v>8.7204363699999995E-2</v>
      </c>
      <c r="D175" s="868">
        <f>11676518.26/unit</f>
        <v>0.1167651826</v>
      </c>
      <c r="E175" s="868">
        <f>37169111.91/unit</f>
        <v>0.37169111909999997</v>
      </c>
    </row>
    <row r="176" spans="1:5" outlineLevel="1">
      <c r="A176" s="897" t="s">
        <v>698</v>
      </c>
      <c r="B176" s="868">
        <f>47251968.03/unit</f>
        <v>0.47251968030000002</v>
      </c>
      <c r="C176" s="868">
        <f>54077530.09/unit</f>
        <v>0.54077530090000003</v>
      </c>
      <c r="D176" s="868">
        <f>55389590.21/unit</f>
        <v>0.55389590210000006</v>
      </c>
      <c r="E176" s="868">
        <f>104760807.15/unit</f>
        <v>1.0476080715</v>
      </c>
    </row>
    <row r="177" spans="1:5" outlineLevel="1">
      <c r="A177" s="897" t="s">
        <v>699</v>
      </c>
      <c r="B177" s="868">
        <f>0/unit</f>
        <v>0</v>
      </c>
      <c r="C177" s="868">
        <f>0/unit</f>
        <v>0</v>
      </c>
      <c r="D177" s="868">
        <f>0/unit</f>
        <v>0</v>
      </c>
      <c r="E177" s="868">
        <f>0/unit</f>
        <v>0</v>
      </c>
    </row>
    <row r="178" spans="1:5" ht="15.1" customHeight="1" outlineLevel="1">
      <c r="A178" s="897" t="s">
        <v>700</v>
      </c>
      <c r="B178" s="868">
        <f>0/unit</f>
        <v>0</v>
      </c>
      <c r="C178" s="868">
        <f>0/unit</f>
        <v>0</v>
      </c>
      <c r="D178" s="868">
        <f>0/unit</f>
        <v>0</v>
      </c>
      <c r="E178" s="868">
        <f>0/unit</f>
        <v>0</v>
      </c>
    </row>
    <row r="179" spans="1:5" outlineLevel="1">
      <c r="A179" s="897" t="s">
        <v>701</v>
      </c>
      <c r="B179" s="868">
        <f>0/unit</f>
        <v>0</v>
      </c>
      <c r="C179" s="868">
        <f>0/unit</f>
        <v>0</v>
      </c>
      <c r="D179" s="868">
        <f>0/unit</f>
        <v>0</v>
      </c>
      <c r="E179" s="868">
        <f>0/unit</f>
        <v>0</v>
      </c>
    </row>
    <row r="180" spans="1:5" outlineLevel="1">
      <c r="A180" s="896" t="s">
        <v>702</v>
      </c>
      <c r="B180" s="868">
        <f>161702267.47/unit</f>
        <v>1.6170226747000001</v>
      </c>
      <c r="C180" s="868">
        <f>145361399.32/unit</f>
        <v>1.4536139931999998</v>
      </c>
      <c r="D180" s="868">
        <f>67066108.47/unit</f>
        <v>0.67066108469999997</v>
      </c>
      <c r="E180" s="868">
        <f>141929919.06/unit</f>
        <v>1.4192991906000001</v>
      </c>
    </row>
    <row r="181" spans="1:5" outlineLevel="1">
      <c r="A181" s="897" t="s">
        <v>703</v>
      </c>
      <c r="B181" s="867">
        <f>0/unit</f>
        <v>0</v>
      </c>
      <c r="C181" s="867">
        <f>0/unit</f>
        <v>0</v>
      </c>
      <c r="D181" s="867">
        <f>0/unit</f>
        <v>0</v>
      </c>
      <c r="E181" s="867">
        <f>0/unit</f>
        <v>0</v>
      </c>
    </row>
    <row r="182" spans="1:5" outlineLevel="1">
      <c r="A182" s="897" t="s">
        <v>704</v>
      </c>
      <c r="B182" s="868">
        <f>0/unit</f>
        <v>0</v>
      </c>
      <c r="C182" s="868">
        <f>0/unit</f>
        <v>0</v>
      </c>
      <c r="D182" s="868">
        <f>0/unit</f>
        <v>0</v>
      </c>
      <c r="E182" s="868">
        <f>0/unit</f>
        <v>0</v>
      </c>
    </row>
    <row r="183" spans="1:5" outlineLevel="1">
      <c r="A183" s="896" t="s">
        <v>705</v>
      </c>
      <c r="B183" s="868">
        <f>830997679.36/unit</f>
        <v>8.3099767936000006</v>
      </c>
      <c r="C183" s="868">
        <f>1375921587.97/unit</f>
        <v>13.759215879700001</v>
      </c>
      <c r="D183" s="868">
        <f>717615991.56/unit</f>
        <v>7.1761599155999996</v>
      </c>
      <c r="E183" s="868">
        <f>879702936.21/unit</f>
        <v>8.7970293621</v>
      </c>
    </row>
    <row r="184" spans="1:5" outlineLevel="1">
      <c r="A184" s="896" t="s">
        <v>706</v>
      </c>
      <c r="B184" s="867"/>
      <c r="C184" s="867"/>
      <c r="D184" s="867"/>
      <c r="E184" s="867"/>
    </row>
    <row r="185" spans="1:5" outlineLevel="1">
      <c r="A185" s="897" t="s">
        <v>707</v>
      </c>
      <c r="B185" s="868">
        <f>740938814/unit</f>
        <v>7.4093881399999999</v>
      </c>
      <c r="C185" s="868">
        <f>755474814/unit</f>
        <v>7.5547481400000001</v>
      </c>
      <c r="D185" s="868">
        <f>816615354/unit</f>
        <v>8.1661535399999998</v>
      </c>
      <c r="E185" s="868">
        <f>812037354/unit</f>
        <v>8.1203735399999992</v>
      </c>
    </row>
    <row r="186" spans="1:5" outlineLevel="1">
      <c r="A186" s="897" t="s">
        <v>708</v>
      </c>
      <c r="B186" s="868">
        <f>0/unit</f>
        <v>0</v>
      </c>
      <c r="C186" s="868">
        <f>0/unit</f>
        <v>0</v>
      </c>
      <c r="D186" s="868">
        <f>0/unit</f>
        <v>0</v>
      </c>
      <c r="E186" s="868">
        <f>0/unit</f>
        <v>0</v>
      </c>
    </row>
    <row r="187" spans="1:5" outlineLevel="1">
      <c r="A187" s="897" t="s">
        <v>709</v>
      </c>
      <c r="B187" s="868">
        <f>0/unit</f>
        <v>0</v>
      </c>
      <c r="C187" s="868">
        <f>0/unit</f>
        <v>0</v>
      </c>
      <c r="D187" s="868">
        <f>0/unit</f>
        <v>0</v>
      </c>
      <c r="E187" s="868">
        <f>0/unit</f>
        <v>0</v>
      </c>
    </row>
    <row r="188" spans="1:5" outlineLevel="1">
      <c r="A188" s="897" t="s">
        <v>710</v>
      </c>
      <c r="B188" s="868">
        <f>0/unit</f>
        <v>0</v>
      </c>
      <c r="C188" s="868">
        <f>0/unit</f>
        <v>0</v>
      </c>
      <c r="D188" s="868">
        <f>0/unit</f>
        <v>0</v>
      </c>
      <c r="E188" s="868">
        <f>0/unit</f>
        <v>0</v>
      </c>
    </row>
    <row r="189" spans="1:5" outlineLevel="1">
      <c r="A189" s="897" t="s">
        <v>711</v>
      </c>
      <c r="B189" s="868">
        <f>0/unit</f>
        <v>0</v>
      </c>
      <c r="C189" s="868">
        <f>0/unit</f>
        <v>0</v>
      </c>
      <c r="D189" s="868">
        <f>0/unit</f>
        <v>0</v>
      </c>
      <c r="E189" s="868">
        <f>0/unit</f>
        <v>0</v>
      </c>
    </row>
    <row r="190" spans="1:5" outlineLevel="1">
      <c r="A190" s="897" t="s">
        <v>712</v>
      </c>
      <c r="B190" s="868">
        <f>878886435.68/unit</f>
        <v>8.7888643567999996</v>
      </c>
      <c r="C190" s="868">
        <f>1007007671.41/unit</f>
        <v>10.070076714099999</v>
      </c>
      <c r="D190" s="868">
        <f>2065729391.37/unit</f>
        <v>20.657293913699998</v>
      </c>
      <c r="E190" s="868">
        <f>2025771604.02/unit</f>
        <v>20.257716040199998</v>
      </c>
    </row>
    <row r="191" spans="1:5" outlineLevel="1">
      <c r="A191" s="897" t="s">
        <v>713</v>
      </c>
      <c r="B191" s="868">
        <f>36272500/unit</f>
        <v>0.36272500000000002</v>
      </c>
      <c r="C191" s="868">
        <f>132932800/unit</f>
        <v>1.3293280000000001</v>
      </c>
      <c r="D191" s="868">
        <f>93052960/unit</f>
        <v>0.93052959999999996</v>
      </c>
      <c r="E191" s="868">
        <f>69593522.5/unit</f>
        <v>0.69593522500000005</v>
      </c>
    </row>
    <row r="192" spans="1:5" outlineLevel="1">
      <c r="A192" s="897" t="s">
        <v>714</v>
      </c>
      <c r="B192" s="868">
        <f>39903.09/unit</f>
        <v>3.9903089999999996E-4</v>
      </c>
      <c r="C192" s="868">
        <f>955565.97/unit</f>
        <v>9.5556597E-3</v>
      </c>
      <c r="D192" s="868">
        <f>-265268.53/unit</f>
        <v>-2.6526853000000002E-3</v>
      </c>
      <c r="E192" s="868">
        <f>328090.2/unit</f>
        <v>3.280902E-3</v>
      </c>
    </row>
    <row r="193" spans="1:5" outlineLevel="1">
      <c r="A193" s="897" t="s">
        <v>715</v>
      </c>
      <c r="B193" s="868">
        <f>0/unit</f>
        <v>0</v>
      </c>
      <c r="C193" s="868">
        <f>0/unit</f>
        <v>0</v>
      </c>
      <c r="D193" s="868">
        <f>0/unit</f>
        <v>0</v>
      </c>
      <c r="E193" s="868">
        <f>0/unit</f>
        <v>0</v>
      </c>
    </row>
    <row r="194" spans="1:5" outlineLevel="1">
      <c r="A194" s="897" t="s">
        <v>716</v>
      </c>
      <c r="B194" s="868">
        <f>115348592.91/unit</f>
        <v>1.1534859290999999</v>
      </c>
      <c r="C194" s="868">
        <f>146197380.62/unit</f>
        <v>1.4619738062000001</v>
      </c>
      <c r="D194" s="868">
        <f>162870774.5/unit</f>
        <v>1.628707745</v>
      </c>
      <c r="E194" s="868">
        <f>209255781.1/unit</f>
        <v>2.0925578109999998</v>
      </c>
    </row>
    <row r="195" spans="1:5" outlineLevel="1">
      <c r="A195" s="897" t="s">
        <v>717</v>
      </c>
      <c r="B195" s="868">
        <f>0/unit</f>
        <v>0</v>
      </c>
      <c r="C195" s="868">
        <f>0/unit</f>
        <v>0</v>
      </c>
      <c r="D195" s="868">
        <f>0/unit</f>
        <v>0</v>
      </c>
      <c r="E195" s="868">
        <f>0/unit</f>
        <v>0</v>
      </c>
    </row>
    <row r="196" spans="1:5" outlineLevel="1">
      <c r="A196" s="897" t="s">
        <v>718</v>
      </c>
      <c r="B196" s="868">
        <f>0/unit</f>
        <v>0</v>
      </c>
      <c r="C196" s="868">
        <f>0/unit</f>
        <v>0</v>
      </c>
      <c r="D196" s="868">
        <f>0/unit</f>
        <v>0</v>
      </c>
      <c r="E196" s="868">
        <f>0/unit</f>
        <v>0</v>
      </c>
    </row>
    <row r="197" spans="1:5" outlineLevel="1">
      <c r="A197" s="897" t="s">
        <v>719</v>
      </c>
      <c r="B197" s="868">
        <f>710221226.13/unit</f>
        <v>7.1022122613000001</v>
      </c>
      <c r="C197" s="868">
        <f>890316133.7/unit</f>
        <v>8.9031613370000002</v>
      </c>
      <c r="D197" s="868">
        <f>1051593702.04/unit</f>
        <v>10.515937020399999</v>
      </c>
      <c r="E197" s="868">
        <f>1320469995.33/unit</f>
        <v>13.204699953299999</v>
      </c>
    </row>
    <row r="198" spans="1:5">
      <c r="A198" s="897" t="s">
        <v>720</v>
      </c>
      <c r="B198" s="868">
        <f>0/unit</f>
        <v>0</v>
      </c>
      <c r="C198" s="868">
        <f>0/unit</f>
        <v>0</v>
      </c>
      <c r="D198" s="868">
        <f>0/unit</f>
        <v>0</v>
      </c>
      <c r="E198" s="868">
        <f>0/unit</f>
        <v>0</v>
      </c>
    </row>
    <row r="199" spans="1:5" outlineLevel="1">
      <c r="A199" s="897" t="s">
        <v>721</v>
      </c>
      <c r="B199" s="868">
        <f>0/unit</f>
        <v>0</v>
      </c>
      <c r="C199" s="868">
        <f>0/unit</f>
        <v>0</v>
      </c>
      <c r="D199" s="868">
        <f>0/unit</f>
        <v>0</v>
      </c>
      <c r="E199" s="868">
        <f>0/unit</f>
        <v>0</v>
      </c>
    </row>
    <row r="200" spans="1:5" outlineLevel="1">
      <c r="A200" s="897" t="s">
        <v>722</v>
      </c>
      <c r="B200" s="868">
        <f>0/unit</f>
        <v>0</v>
      </c>
      <c r="C200" s="868">
        <f>0/unit</f>
        <v>0</v>
      </c>
      <c r="D200" s="868">
        <f>0/unit</f>
        <v>0</v>
      </c>
      <c r="E200" s="868">
        <f>0/unit</f>
        <v>0</v>
      </c>
    </row>
    <row r="201" spans="1:5" outlineLevel="1">
      <c r="A201" s="897" t="s">
        <v>723</v>
      </c>
      <c r="B201" s="868">
        <f>0/unit</f>
        <v>0</v>
      </c>
      <c r="C201" s="868">
        <f>0/unit</f>
        <v>0</v>
      </c>
      <c r="D201" s="868">
        <f>0/unit</f>
        <v>0</v>
      </c>
      <c r="E201" s="868">
        <f>0/unit</f>
        <v>0</v>
      </c>
    </row>
    <row r="202" spans="1:5" outlineLevel="1">
      <c r="A202" s="896" t="s">
        <v>724</v>
      </c>
      <c r="B202" s="868">
        <f>2409162471.81/unit</f>
        <v>24.0916247181</v>
      </c>
      <c r="C202" s="868">
        <f>2667018765.7/unit</f>
        <v>26.670187657</v>
      </c>
      <c r="D202" s="868">
        <f>4003490993.38/unit</f>
        <v>40.034909933800002</v>
      </c>
      <c r="E202" s="868">
        <f>4298269302.15/unit</f>
        <v>42.982693021499998</v>
      </c>
    </row>
    <row r="203" spans="1:5" outlineLevel="1">
      <c r="A203" s="896" t="s">
        <v>725</v>
      </c>
      <c r="B203" s="868">
        <f>-536273.12/unit</f>
        <v>-5.3627312E-3</v>
      </c>
      <c r="C203" s="868">
        <f>-1616298.44/unit</f>
        <v>-1.61629844E-2</v>
      </c>
      <c r="D203" s="868">
        <f>47216653.63/unit</f>
        <v>0.47216653630000005</v>
      </c>
      <c r="E203" s="868">
        <f>59386458.72/unit</f>
        <v>0.59386458720000002</v>
      </c>
    </row>
    <row r="204" spans="1:5" outlineLevel="1">
      <c r="A204" s="897" t="s">
        <v>726</v>
      </c>
      <c r="B204" s="868">
        <f>0/unit</f>
        <v>0</v>
      </c>
      <c r="C204" s="868">
        <f>0/unit</f>
        <v>0</v>
      </c>
      <c r="D204" s="868">
        <f>0/unit</f>
        <v>0</v>
      </c>
      <c r="E204" s="868">
        <f>0/unit</f>
        <v>0</v>
      </c>
    </row>
    <row r="205" spans="1:5" outlineLevel="1">
      <c r="A205" s="897" t="s">
        <v>727</v>
      </c>
      <c r="B205" s="868">
        <f>0/unit</f>
        <v>0</v>
      </c>
      <c r="C205" s="868">
        <f>0/unit</f>
        <v>0</v>
      </c>
      <c r="D205" s="868">
        <f>0/unit</f>
        <v>0</v>
      </c>
      <c r="E205" s="868">
        <f>0/unit</f>
        <v>0</v>
      </c>
    </row>
    <row r="206" spans="1:5" outlineLevel="1">
      <c r="A206" s="896" t="s">
        <v>728</v>
      </c>
      <c r="B206" s="867">
        <f>2408626198.69/unit</f>
        <v>24.086261986900002</v>
      </c>
      <c r="C206" s="867">
        <f>2665402467.26/unit</f>
        <v>26.654024672600002</v>
      </c>
      <c r="D206" s="867">
        <f>4050707647.01/unit</f>
        <v>40.507076470100003</v>
      </c>
      <c r="E206" s="867">
        <f>4357655760.87/unit</f>
        <v>43.5765576087</v>
      </c>
    </row>
    <row r="207" spans="1:5" outlineLevel="1">
      <c r="A207" s="897" t="s">
        <v>729</v>
      </c>
      <c r="B207" s="867">
        <f>0/unit</f>
        <v>0</v>
      </c>
      <c r="C207" s="867">
        <f>0/unit</f>
        <v>0</v>
      </c>
      <c r="D207" s="867">
        <f>0/unit</f>
        <v>0</v>
      </c>
      <c r="E207" s="867">
        <f>0/unit</f>
        <v>0</v>
      </c>
    </row>
    <row r="208" spans="1:5" outlineLevel="1">
      <c r="A208" s="897" t="s">
        <v>730</v>
      </c>
      <c r="B208" s="868">
        <f>0/unit</f>
        <v>0</v>
      </c>
      <c r="C208" s="868">
        <f>0/unit</f>
        <v>0</v>
      </c>
      <c r="D208" s="868">
        <f>0/unit</f>
        <v>0</v>
      </c>
      <c r="E208" s="868">
        <f>0/unit</f>
        <v>0</v>
      </c>
    </row>
    <row r="209" spans="1:5" outlineLevel="1">
      <c r="A209" s="896" t="s">
        <v>731</v>
      </c>
      <c r="B209" s="868">
        <f>3239623878.05/unit</f>
        <v>32.396238780499999</v>
      </c>
      <c r="C209" s="868">
        <f>4041324055.23/unit</f>
        <v>40.413240552300003</v>
      </c>
      <c r="D209" s="868">
        <f>4768323638.57/unit</f>
        <v>47.683236385699999</v>
      </c>
      <c r="E209" s="868">
        <f>5237358697.08/unit</f>
        <v>52.373586970799998</v>
      </c>
    </row>
    <row r="210" spans="1:5" outlineLevel="1">
      <c r="A210" s="900"/>
      <c r="B210" s="867"/>
      <c r="C210" s="867"/>
      <c r="D210" s="867"/>
      <c r="E210" s="867"/>
    </row>
    <row r="211" spans="1:5">
      <c r="A211" s="902" t="s">
        <v>732</v>
      </c>
      <c r="B211" s="868"/>
      <c r="C211" s="868"/>
      <c r="D211" s="868"/>
      <c r="E211" s="868"/>
    </row>
    <row r="212" spans="1:5">
      <c r="A212" s="896" t="s">
        <v>733</v>
      </c>
      <c r="B212" s="904"/>
      <c r="C212" s="904"/>
      <c r="D212" s="904"/>
      <c r="E212" s="904"/>
    </row>
    <row r="213" spans="1:5" outlineLevel="1">
      <c r="A213" s="897" t="s">
        <v>734</v>
      </c>
      <c r="B213" s="868">
        <f>1358141696.97/unit</f>
        <v>13.581416969700001</v>
      </c>
      <c r="C213" s="868">
        <f>1560211386.64/unit</f>
        <v>15.602113866400002</v>
      </c>
      <c r="D213" s="868">
        <f>2144869617.48/unit</f>
        <v>21.448696174799998</v>
      </c>
      <c r="E213" s="868">
        <f>2588703374.29/unit</f>
        <v>25.887033742899998</v>
      </c>
    </row>
    <row r="214" spans="1:5" outlineLevel="1">
      <c r="A214" s="897" t="s">
        <v>735</v>
      </c>
      <c r="B214" s="868">
        <f>0/unit</f>
        <v>0</v>
      </c>
      <c r="C214" s="868">
        <f>0/unit</f>
        <v>0</v>
      </c>
      <c r="D214" s="868">
        <f>0/unit</f>
        <v>0</v>
      </c>
      <c r="E214" s="868">
        <f>0/unit</f>
        <v>0</v>
      </c>
    </row>
    <row r="215" spans="1:5" outlineLevel="1">
      <c r="A215" s="897" t="s">
        <v>736</v>
      </c>
      <c r="B215" s="868">
        <f>0/unit</f>
        <v>0</v>
      </c>
      <c r="C215" s="868">
        <f>0/unit</f>
        <v>0</v>
      </c>
      <c r="D215" s="868">
        <f>0/unit</f>
        <v>0</v>
      </c>
      <c r="E215" s="868">
        <f>0/unit</f>
        <v>0</v>
      </c>
    </row>
    <row r="216" spans="1:5" outlineLevel="1">
      <c r="A216" s="897" t="s">
        <v>737</v>
      </c>
      <c r="B216" s="868">
        <f>0/unit</f>
        <v>0</v>
      </c>
      <c r="C216" s="868">
        <f>0/unit</f>
        <v>0</v>
      </c>
      <c r="D216" s="868">
        <f>0/unit</f>
        <v>0</v>
      </c>
      <c r="E216" s="868">
        <f>0/unit</f>
        <v>0</v>
      </c>
    </row>
    <row r="217" spans="1:5" outlineLevel="1">
      <c r="A217" s="897" t="s">
        <v>738</v>
      </c>
      <c r="B217" s="868">
        <f>0/unit</f>
        <v>0</v>
      </c>
      <c r="C217" s="868">
        <f>0/unit</f>
        <v>0</v>
      </c>
      <c r="D217" s="868">
        <f>0/unit</f>
        <v>0</v>
      </c>
      <c r="E217" s="868">
        <f>0/unit</f>
        <v>0</v>
      </c>
    </row>
    <row r="218" spans="1:5" outlineLevel="1">
      <c r="A218" s="897" t="s">
        <v>739</v>
      </c>
      <c r="B218" s="868">
        <f>0/unit</f>
        <v>0</v>
      </c>
      <c r="C218" s="868">
        <f>0/unit</f>
        <v>0</v>
      </c>
      <c r="D218" s="868">
        <f>0/unit</f>
        <v>0</v>
      </c>
      <c r="E218" s="868">
        <f>0/unit</f>
        <v>0</v>
      </c>
    </row>
    <row r="219" spans="1:5" outlineLevel="1">
      <c r="A219" s="897" t="s">
        <v>740</v>
      </c>
      <c r="B219" s="868">
        <f>0/unit</f>
        <v>0</v>
      </c>
      <c r="C219" s="868">
        <f>0/unit</f>
        <v>0</v>
      </c>
      <c r="D219" s="868">
        <f>0/unit</f>
        <v>0</v>
      </c>
      <c r="E219" s="868">
        <f>0/unit</f>
        <v>0</v>
      </c>
    </row>
    <row r="220" spans="1:5" outlineLevel="1">
      <c r="A220" s="897" t="s">
        <v>741</v>
      </c>
      <c r="B220" s="868">
        <f>0/unit</f>
        <v>0</v>
      </c>
      <c r="C220" s="868">
        <f>0/unit</f>
        <v>0</v>
      </c>
      <c r="D220" s="868">
        <f>0/unit</f>
        <v>0</v>
      </c>
      <c r="E220" s="868">
        <f>0/unit</f>
        <v>0</v>
      </c>
    </row>
    <row r="221" spans="1:5" outlineLevel="1">
      <c r="A221" s="897" t="s">
        <v>742</v>
      </c>
      <c r="B221" s="868">
        <f>0/unit</f>
        <v>0</v>
      </c>
      <c r="C221" s="868">
        <f>0/unit</f>
        <v>0</v>
      </c>
      <c r="D221" s="868">
        <f>0/unit</f>
        <v>0</v>
      </c>
      <c r="E221" s="868">
        <f>0/unit</f>
        <v>0</v>
      </c>
    </row>
    <row r="222" spans="1:5" outlineLevel="1">
      <c r="A222" s="897" t="s">
        <v>743</v>
      </c>
      <c r="B222" s="868">
        <f>0/unit</f>
        <v>0</v>
      </c>
      <c r="C222" s="868">
        <f>0/unit</f>
        <v>0</v>
      </c>
      <c r="D222" s="868">
        <f>0/unit</f>
        <v>0</v>
      </c>
      <c r="E222" s="868">
        <f>0/unit</f>
        <v>0</v>
      </c>
    </row>
    <row r="223" spans="1:5" outlineLevel="1">
      <c r="A223" s="897" t="s">
        <v>744</v>
      </c>
      <c r="B223" s="868">
        <f>0/unit</f>
        <v>0</v>
      </c>
      <c r="C223" s="868">
        <f>0/unit</f>
        <v>0</v>
      </c>
      <c r="D223" s="868">
        <f>0/unit</f>
        <v>0</v>
      </c>
      <c r="E223" s="868">
        <f>0/unit</f>
        <v>0</v>
      </c>
    </row>
    <row r="224" spans="1:5" outlineLevel="1">
      <c r="A224" s="897" t="s">
        <v>745</v>
      </c>
      <c r="B224" s="868">
        <f>0/unit</f>
        <v>0</v>
      </c>
      <c r="C224" s="868">
        <f>0/unit</f>
        <v>0</v>
      </c>
      <c r="D224" s="868">
        <f>0/unit</f>
        <v>0</v>
      </c>
      <c r="E224" s="868">
        <f>0/unit</f>
        <v>0</v>
      </c>
    </row>
    <row r="225" spans="1:5" outlineLevel="1">
      <c r="A225" s="897" t="s">
        <v>746</v>
      </c>
      <c r="B225" s="868">
        <f>2376586.21/unit</f>
        <v>2.37658621E-2</v>
      </c>
      <c r="C225" s="868">
        <f>1881125.85/unit</f>
        <v>1.8811258500000001E-2</v>
      </c>
      <c r="D225" s="868">
        <f>15774246.21/unit</f>
        <v>0.15774246210000001</v>
      </c>
      <c r="E225" s="868">
        <f>1753960.18/unit</f>
        <v>1.7539601799999999E-2</v>
      </c>
    </row>
    <row r="226" spans="1:5" outlineLevel="1">
      <c r="A226" s="897" t="s">
        <v>747</v>
      </c>
      <c r="B226" s="868">
        <f>27435736.49/unit</f>
        <v>0.27435736489999996</v>
      </c>
      <c r="C226" s="868">
        <f>22089622.08/unit</f>
        <v>0.22089622079999999</v>
      </c>
      <c r="D226" s="868">
        <f>121832851.66/unit</f>
        <v>1.2183285166</v>
      </c>
      <c r="E226" s="868">
        <f>161131027.44/unit</f>
        <v>1.6113102744000001</v>
      </c>
    </row>
    <row r="227" spans="1:5" outlineLevel="1">
      <c r="A227" s="897" t="s">
        <v>748</v>
      </c>
      <c r="B227" s="868">
        <f>0/unit</f>
        <v>0</v>
      </c>
      <c r="C227" s="868">
        <f>0/unit</f>
        <v>0</v>
      </c>
      <c r="D227" s="868">
        <f>0/unit</f>
        <v>0</v>
      </c>
      <c r="E227" s="868">
        <f>0/unit</f>
        <v>0</v>
      </c>
    </row>
    <row r="228" spans="1:5" outlineLevel="1">
      <c r="A228" s="897" t="s">
        <v>749</v>
      </c>
      <c r="B228" s="868">
        <f>0/unit</f>
        <v>0</v>
      </c>
      <c r="C228" s="868">
        <f>0/unit</f>
        <v>0</v>
      </c>
      <c r="D228" s="868">
        <f>0/unit</f>
        <v>0</v>
      </c>
      <c r="E228" s="868">
        <f>0/unit</f>
        <v>0</v>
      </c>
    </row>
    <row r="229" spans="1:5" outlineLevel="1">
      <c r="A229" s="896" t="s">
        <v>750</v>
      </c>
      <c r="B229" s="868">
        <f>1387954019.67/unit</f>
        <v>13.879540196700001</v>
      </c>
      <c r="C229" s="868">
        <f>1584182134.57/unit</f>
        <v>15.8418213457</v>
      </c>
      <c r="D229" s="868">
        <f>2282476715.35/unit</f>
        <v>22.824767153499998</v>
      </c>
      <c r="E229" s="868">
        <f>2751588361.91/unit</f>
        <v>27.515883619099998</v>
      </c>
    </row>
    <row r="230" spans="1:5" outlineLevel="1">
      <c r="A230" s="897" t="s">
        <v>751</v>
      </c>
      <c r="B230" s="868">
        <f>681620098.4/unit</f>
        <v>6.816200984</v>
      </c>
      <c r="C230" s="868">
        <f>753506971.22/unit</f>
        <v>7.5350697122000003</v>
      </c>
      <c r="D230" s="868">
        <f>1103911605.39/unit</f>
        <v>11.039116053900001</v>
      </c>
      <c r="E230" s="868">
        <f>1308499456.95/unit</f>
        <v>13.084994569500001</v>
      </c>
    </row>
    <row r="231" spans="1:5" outlineLevel="1">
      <c r="A231" s="897" t="s">
        <v>752</v>
      </c>
      <c r="B231" s="868">
        <f>0/unit</f>
        <v>0</v>
      </c>
      <c r="C231" s="868">
        <f>0/unit</f>
        <v>0</v>
      </c>
      <c r="D231" s="868">
        <f>0/unit</f>
        <v>0</v>
      </c>
      <c r="E231" s="868">
        <f>0/unit</f>
        <v>0</v>
      </c>
    </row>
    <row r="232" spans="1:5" outlineLevel="1">
      <c r="A232" s="897" t="s">
        <v>753</v>
      </c>
      <c r="B232" s="868">
        <f>0/unit</f>
        <v>0</v>
      </c>
      <c r="C232" s="868">
        <f>0/unit</f>
        <v>0</v>
      </c>
      <c r="D232" s="868">
        <f>0/unit</f>
        <v>0</v>
      </c>
      <c r="E232" s="868">
        <f>0/unit</f>
        <v>0</v>
      </c>
    </row>
    <row r="233" spans="1:5" outlineLevel="1">
      <c r="A233" s="897" t="s">
        <v>754</v>
      </c>
      <c r="B233" s="868">
        <f>0/unit</f>
        <v>0</v>
      </c>
      <c r="C233" s="868">
        <f>0/unit</f>
        <v>0</v>
      </c>
      <c r="D233" s="868">
        <f>0/unit</f>
        <v>0</v>
      </c>
      <c r="E233" s="868">
        <f>0/unit</f>
        <v>0</v>
      </c>
    </row>
    <row r="234" spans="1:5" outlineLevel="1">
      <c r="A234" s="897" t="s">
        <v>755</v>
      </c>
      <c r="B234" s="868">
        <f>0/unit</f>
        <v>0</v>
      </c>
      <c r="C234" s="868">
        <f>0/unit</f>
        <v>0</v>
      </c>
      <c r="D234" s="868">
        <f>0/unit</f>
        <v>0</v>
      </c>
      <c r="E234" s="868">
        <f>0/unit</f>
        <v>0</v>
      </c>
    </row>
    <row r="235" spans="1:5" outlineLevel="1">
      <c r="A235" s="897" t="s">
        <v>756</v>
      </c>
      <c r="B235" s="868">
        <f>0/unit</f>
        <v>0</v>
      </c>
      <c r="C235" s="868">
        <f>0/unit</f>
        <v>0</v>
      </c>
      <c r="D235" s="868">
        <f>0/unit</f>
        <v>0</v>
      </c>
      <c r="E235" s="868">
        <f>0/unit</f>
        <v>0</v>
      </c>
    </row>
    <row r="236" spans="1:5" outlineLevel="1">
      <c r="A236" s="897" t="s">
        <v>757</v>
      </c>
      <c r="B236" s="868">
        <f>241732811.39/unit</f>
        <v>2.4173281139</v>
      </c>
      <c r="C236" s="868">
        <f>271448335.3/unit</f>
        <v>2.7144833530000003</v>
      </c>
      <c r="D236" s="868">
        <f>382045827.86/unit</f>
        <v>3.8204582786000003</v>
      </c>
      <c r="E236" s="868">
        <f>435688191.13/unit</f>
        <v>4.3568819113000004</v>
      </c>
    </row>
    <row r="237" spans="1:5" outlineLevel="1">
      <c r="A237" s="897" t="s">
        <v>758</v>
      </c>
      <c r="B237" s="868">
        <f>53525497.96/unit</f>
        <v>0.53525497960000001</v>
      </c>
      <c r="C237" s="868">
        <f>65153771.91/unit</f>
        <v>0.65153771909999991</v>
      </c>
      <c r="D237" s="868">
        <f>145818030.83/unit</f>
        <v>1.4581803083000002</v>
      </c>
      <c r="E237" s="868">
        <f>197447485.35/unit</f>
        <v>1.9744748534999998</v>
      </c>
    </row>
    <row r="238" spans="1:5" outlineLevel="1">
      <c r="A238" s="897" t="s">
        <v>759</v>
      </c>
      <c r="B238" s="868">
        <f>56260376.06/unit</f>
        <v>0.56260376060000006</v>
      </c>
      <c r="C238" s="868">
        <f>58510435.46/unit</f>
        <v>0.58510435459999999</v>
      </c>
      <c r="D238" s="868">
        <f>179027207.43/unit</f>
        <v>1.7902720743</v>
      </c>
      <c r="E238" s="868">
        <f>212844500.67/unit</f>
        <v>2.1284450066999998</v>
      </c>
    </row>
    <row r="239" spans="1:5" outlineLevel="1">
      <c r="A239" s="897" t="s">
        <v>760</v>
      </c>
      <c r="B239" s="868">
        <f>0/unit</f>
        <v>0</v>
      </c>
      <c r="C239" s="868">
        <f>0/unit</f>
        <v>0</v>
      </c>
      <c r="D239" s="868">
        <f>0/unit</f>
        <v>0</v>
      </c>
      <c r="E239" s="868">
        <f>0/unit</f>
        <v>0</v>
      </c>
    </row>
    <row r="240" spans="1:5" outlineLevel="1">
      <c r="A240" s="897" t="s">
        <v>761</v>
      </c>
      <c r="B240" s="868">
        <f>0/unit</f>
        <v>0</v>
      </c>
      <c r="C240" s="868">
        <f>0/unit</f>
        <v>0</v>
      </c>
      <c r="D240" s="868">
        <f>0/unit</f>
        <v>0</v>
      </c>
      <c r="E240" s="868">
        <f>0/unit</f>
        <v>0</v>
      </c>
    </row>
    <row r="241" spans="1:5" outlineLevel="1">
      <c r="A241" s="896" t="s">
        <v>762</v>
      </c>
      <c r="B241" s="868">
        <f>1033138783.81/unit</f>
        <v>10.331387838099999</v>
      </c>
      <c r="C241" s="868">
        <f>1148619513.89/unit</f>
        <v>11.486195138900001</v>
      </c>
      <c r="D241" s="868">
        <f>1810802671.51/unit</f>
        <v>18.108026715099999</v>
      </c>
      <c r="E241" s="868">
        <f>2154479634.1/unit</f>
        <v>21.544796340999998</v>
      </c>
    </row>
    <row r="242" spans="1:5" outlineLevel="1">
      <c r="A242" s="897" t="s">
        <v>763</v>
      </c>
      <c r="B242" s="868">
        <f>0/unit</f>
        <v>0</v>
      </c>
      <c r="C242" s="868">
        <f>0/unit</f>
        <v>0</v>
      </c>
      <c r="D242" s="868">
        <f>0/unit</f>
        <v>0</v>
      </c>
      <c r="E242" s="868">
        <f>0/unit</f>
        <v>0</v>
      </c>
    </row>
    <row r="243" spans="1:5" outlineLevel="1">
      <c r="A243" s="897" t="s">
        <v>764</v>
      </c>
      <c r="B243" s="868">
        <f>0/unit</f>
        <v>0</v>
      </c>
      <c r="C243" s="868">
        <f>0/unit</f>
        <v>0</v>
      </c>
      <c r="D243" s="868">
        <f>0/unit</f>
        <v>0</v>
      </c>
      <c r="E243" s="868">
        <f>0/unit</f>
        <v>0</v>
      </c>
    </row>
    <row r="244" spans="1:5" outlineLevel="1">
      <c r="A244" s="896" t="s">
        <v>765</v>
      </c>
      <c r="B244" s="868">
        <f>354815235.86/unit</f>
        <v>3.5481523586000003</v>
      </c>
      <c r="C244" s="868">
        <f>435562620.68/unit</f>
        <v>4.3556262068000002</v>
      </c>
      <c r="D244" s="868">
        <f>471674043.84/unit</f>
        <v>4.7167404383999996</v>
      </c>
      <c r="E244" s="868">
        <f>597108727.81/unit</f>
        <v>5.9710872780999997</v>
      </c>
    </row>
    <row r="245" spans="1:5" outlineLevel="1">
      <c r="A245" s="896" t="s">
        <v>766</v>
      </c>
      <c r="B245" s="867"/>
      <c r="C245" s="867"/>
      <c r="D245" s="867"/>
      <c r="E245" s="867"/>
    </row>
    <row r="246" spans="1:5" outlineLevel="1">
      <c r="A246" s="897" t="s">
        <v>767</v>
      </c>
      <c r="B246" s="868">
        <f>0/unit</f>
        <v>0</v>
      </c>
      <c r="C246" s="868">
        <f>0/unit</f>
        <v>0</v>
      </c>
      <c r="D246" s="868">
        <f>0/unit</f>
        <v>0</v>
      </c>
      <c r="E246" s="868">
        <f>50000000/unit</f>
        <v>0.5</v>
      </c>
    </row>
    <row r="247" spans="1:5" outlineLevel="1">
      <c r="A247" s="897" t="s">
        <v>768</v>
      </c>
      <c r="B247" s="868">
        <f>862893.37/unit</f>
        <v>8.6289337000000008E-3</v>
      </c>
      <c r="C247" s="868">
        <f>0/unit</f>
        <v>0</v>
      </c>
      <c r="D247" s="868">
        <f>0/unit</f>
        <v>0</v>
      </c>
      <c r="E247" s="868">
        <f>1753931.47/unit</f>
        <v>1.7539314699999999E-2</v>
      </c>
    </row>
    <row r="248" spans="1:5" outlineLevel="1">
      <c r="A248" s="897" t="s">
        <v>769</v>
      </c>
      <c r="B248" s="868">
        <f>156000/unit</f>
        <v>1.56E-3</v>
      </c>
      <c r="C248" s="868">
        <f>2020785.61/unit</f>
        <v>2.0207856100000001E-2</v>
      </c>
      <c r="D248" s="868">
        <f>296370.84/unit</f>
        <v>2.9637084000000004E-3</v>
      </c>
      <c r="E248" s="868">
        <f>5893500.14/unit</f>
        <v>5.8935001399999999E-2</v>
      </c>
    </row>
    <row r="249" spans="1:5" outlineLevel="1">
      <c r="A249" s="897" t="s">
        <v>770</v>
      </c>
      <c r="B249" s="868">
        <f>0/unit</f>
        <v>0</v>
      </c>
      <c r="C249" s="868">
        <f>0/unit</f>
        <v>0</v>
      </c>
      <c r="D249" s="868">
        <f>1000000/unit</f>
        <v>0.01</v>
      </c>
      <c r="E249" s="868">
        <f>0/unit</f>
        <v>0</v>
      </c>
    </row>
    <row r="250" spans="1:5" outlineLevel="1">
      <c r="A250" s="897" t="s">
        <v>771</v>
      </c>
      <c r="B250" s="868">
        <f>0/unit</f>
        <v>0</v>
      </c>
      <c r="C250" s="868">
        <f>0/unit</f>
        <v>0</v>
      </c>
      <c r="D250" s="868">
        <f>0/unit</f>
        <v>0</v>
      </c>
      <c r="E250" s="868">
        <f>0/unit</f>
        <v>0</v>
      </c>
    </row>
    <row r="251" spans="1:5" outlineLevel="1">
      <c r="A251" s="897" t="s">
        <v>772</v>
      </c>
      <c r="B251" s="868">
        <f>197000000/unit</f>
        <v>1.97</v>
      </c>
      <c r="C251" s="868">
        <f>0/unit</f>
        <v>0</v>
      </c>
      <c r="D251" s="868">
        <f>0/unit</f>
        <v>0</v>
      </c>
      <c r="E251" s="868">
        <f>0/unit</f>
        <v>0</v>
      </c>
    </row>
    <row r="252" spans="1:5" outlineLevel="1">
      <c r="A252" s="897" t="s">
        <v>773</v>
      </c>
      <c r="B252" s="868">
        <f>0/unit</f>
        <v>0</v>
      </c>
      <c r="C252" s="868">
        <f>0/unit</f>
        <v>0</v>
      </c>
      <c r="D252" s="868">
        <f>0/unit</f>
        <v>0</v>
      </c>
      <c r="E252" s="868">
        <f>0/unit</f>
        <v>0</v>
      </c>
    </row>
    <row r="253" spans="1:5" outlineLevel="1">
      <c r="A253" s="897" t="s">
        <v>774</v>
      </c>
      <c r="B253" s="868">
        <f>0/unit</f>
        <v>0</v>
      </c>
      <c r="C253" s="868">
        <f>0/unit</f>
        <v>0</v>
      </c>
      <c r="D253" s="868">
        <f>0/unit</f>
        <v>0</v>
      </c>
      <c r="E253" s="868">
        <f>0/unit</f>
        <v>0</v>
      </c>
    </row>
    <row r="254" spans="1:5" outlineLevel="1">
      <c r="A254" s="896" t="s">
        <v>775</v>
      </c>
      <c r="B254" s="868">
        <f>198018893.37/unit</f>
        <v>1.9801889337</v>
      </c>
      <c r="C254" s="868">
        <f>2020785.61/unit</f>
        <v>2.0207856100000001E-2</v>
      </c>
      <c r="D254" s="868">
        <f>1296370.84/unit</f>
        <v>1.2963708400000001E-2</v>
      </c>
      <c r="E254" s="868">
        <f>57647431.61/unit</f>
        <v>0.57647431609999999</v>
      </c>
    </row>
    <row r="255" spans="1:5" outlineLevel="1">
      <c r="A255" s="897" t="s">
        <v>776</v>
      </c>
      <c r="B255" s="868">
        <f>388937756.13/unit</f>
        <v>3.8893775612999999</v>
      </c>
      <c r="C255" s="868">
        <f>672220751.13/unit</f>
        <v>6.7222075112999997</v>
      </c>
      <c r="D255" s="868">
        <f>358805153.48/unit</f>
        <v>3.5880515348000004</v>
      </c>
      <c r="E255" s="868">
        <f>428762821.18/unit</f>
        <v>4.2876282118000004</v>
      </c>
    </row>
    <row r="256" spans="1:5" outlineLevel="1">
      <c r="A256" s="897" t="s">
        <v>777</v>
      </c>
      <c r="B256" s="868">
        <f>244547.9/unit</f>
        <v>2.445479E-3</v>
      </c>
      <c r="C256" s="868">
        <f>0/unit</f>
        <v>0</v>
      </c>
      <c r="D256" s="868">
        <f>3600000/unit</f>
        <v>3.5999999999999997E-2</v>
      </c>
      <c r="E256" s="868">
        <f>0/unit</f>
        <v>0</v>
      </c>
    </row>
    <row r="257" spans="1:5" outlineLevel="1">
      <c r="A257" s="897" t="s">
        <v>778</v>
      </c>
      <c r="B257" s="868">
        <f>0/unit</f>
        <v>0</v>
      </c>
      <c r="C257" s="868">
        <f>0/unit</f>
        <v>0</v>
      </c>
      <c r="D257" s="868">
        <f>0/unit</f>
        <v>0</v>
      </c>
      <c r="E257" s="868">
        <f>0/unit</f>
        <v>0</v>
      </c>
    </row>
    <row r="258" spans="1:5" outlineLevel="1">
      <c r="A258" s="897" t="s">
        <v>779</v>
      </c>
      <c r="B258" s="868">
        <f>0/unit</f>
        <v>0</v>
      </c>
      <c r="C258" s="868">
        <f>0/unit</f>
        <v>0</v>
      </c>
      <c r="D258" s="868">
        <f>226438792.45/unit</f>
        <v>2.2643879244999998</v>
      </c>
      <c r="E258" s="868">
        <f>0/unit</f>
        <v>0</v>
      </c>
    </row>
    <row r="259" spans="1:5" outlineLevel="1">
      <c r="A259" s="897" t="s">
        <v>780</v>
      </c>
      <c r="B259" s="868">
        <f>0/unit</f>
        <v>0</v>
      </c>
      <c r="C259" s="868">
        <f>0/unit</f>
        <v>0</v>
      </c>
      <c r="D259" s="868">
        <f>0/unit</f>
        <v>0</v>
      </c>
      <c r="E259" s="868">
        <f>0/unit</f>
        <v>0</v>
      </c>
    </row>
    <row r="260" spans="1:5" outlineLevel="1">
      <c r="A260" s="897" t="s">
        <v>781</v>
      </c>
      <c r="B260" s="868">
        <f>137000000/unit</f>
        <v>1.37</v>
      </c>
      <c r="C260" s="868">
        <f>0/unit</f>
        <v>0</v>
      </c>
      <c r="D260" s="868">
        <f>0/unit</f>
        <v>0</v>
      </c>
      <c r="E260" s="868">
        <f>5000000/unit</f>
        <v>0.05</v>
      </c>
    </row>
    <row r="261" spans="1:5" outlineLevel="1">
      <c r="A261" s="897" t="s">
        <v>782</v>
      </c>
      <c r="B261" s="868">
        <f>0/unit</f>
        <v>0</v>
      </c>
      <c r="C261" s="868">
        <f>0/unit</f>
        <v>0</v>
      </c>
      <c r="D261" s="868">
        <f>0/unit</f>
        <v>0</v>
      </c>
      <c r="E261" s="868">
        <f>0/unit</f>
        <v>0</v>
      </c>
    </row>
    <row r="262" spans="1:5" outlineLevel="1">
      <c r="A262" s="897" t="s">
        <v>783</v>
      </c>
      <c r="B262" s="868">
        <f>0/unit</f>
        <v>0</v>
      </c>
      <c r="C262" s="868">
        <f>0/unit</f>
        <v>0</v>
      </c>
      <c r="D262" s="868">
        <f>0/unit</f>
        <v>0</v>
      </c>
      <c r="E262" s="868">
        <f>0/unit</f>
        <v>0</v>
      </c>
    </row>
    <row r="263" spans="1:5" outlineLevel="1">
      <c r="A263" s="896" t="s">
        <v>784</v>
      </c>
      <c r="B263" s="868">
        <f>526182304.03/unit</f>
        <v>5.2618230402999995</v>
      </c>
      <c r="C263" s="868">
        <f>672220751.13/unit</f>
        <v>6.7222075112999997</v>
      </c>
      <c r="D263" s="868">
        <f>588843945.93/unit</f>
        <v>5.8884394592999998</v>
      </c>
      <c r="E263" s="868">
        <f>433762821.18/unit</f>
        <v>4.3376282118000002</v>
      </c>
    </row>
    <row r="264" spans="1:5" outlineLevel="1">
      <c r="A264" s="897" t="s">
        <v>785</v>
      </c>
      <c r="B264" s="868">
        <f>0/unit</f>
        <v>0</v>
      </c>
      <c r="C264" s="868">
        <f>0/unit</f>
        <v>0</v>
      </c>
      <c r="D264" s="868">
        <f>0/unit</f>
        <v>0</v>
      </c>
      <c r="E264" s="868">
        <f>0/unit</f>
        <v>0</v>
      </c>
    </row>
    <row r="265" spans="1:5" outlineLevel="1">
      <c r="A265" s="897" t="s">
        <v>786</v>
      </c>
      <c r="B265" s="868">
        <f>0/unit</f>
        <v>0</v>
      </c>
      <c r="C265" s="868">
        <f>0/unit</f>
        <v>0</v>
      </c>
      <c r="D265" s="868">
        <f>0/unit</f>
        <v>0</v>
      </c>
      <c r="E265" s="868">
        <f>0/unit</f>
        <v>0</v>
      </c>
    </row>
    <row r="266" spans="1:5" outlineLevel="1">
      <c r="A266" s="896" t="s">
        <v>787</v>
      </c>
      <c r="B266" s="868">
        <f>-328163410.66/unit</f>
        <v>-3.2816341066000003</v>
      </c>
      <c r="C266" s="868">
        <f>-670199965.52/unit</f>
        <v>-6.7019996551999999</v>
      </c>
      <c r="D266" s="868">
        <f>-587547575.09/unit</f>
        <v>-5.8754757509000006</v>
      </c>
      <c r="E266" s="868">
        <f>-376115389.57/unit</f>
        <v>-3.7611538957000001</v>
      </c>
    </row>
    <row r="267" spans="1:5" outlineLevel="1">
      <c r="A267" s="896" t="s">
        <v>788</v>
      </c>
      <c r="B267" s="867"/>
      <c r="C267" s="867"/>
      <c r="D267" s="867"/>
      <c r="E267" s="867"/>
    </row>
    <row r="268" spans="1:5" outlineLevel="1">
      <c r="A268" s="897" t="s">
        <v>789</v>
      </c>
      <c r="B268" s="868">
        <f>0/unit</f>
        <v>0</v>
      </c>
      <c r="C268" s="868">
        <f>132932800/unit</f>
        <v>1.3293280000000001</v>
      </c>
      <c r="D268" s="868">
        <f>1123490990/unit</f>
        <v>11.2349099</v>
      </c>
      <c r="E268" s="868">
        <f>3675000/unit</f>
        <v>3.6749999999999998E-2</v>
      </c>
    </row>
    <row r="269" spans="1:5" outlineLevel="1">
      <c r="A269" s="897" t="s">
        <v>790</v>
      </c>
      <c r="B269" s="868">
        <f>0/unit</f>
        <v>0</v>
      </c>
      <c r="C269" s="868">
        <f>0/unit</f>
        <v>0</v>
      </c>
      <c r="D269" s="868">
        <f>0/unit</f>
        <v>0</v>
      </c>
      <c r="E269" s="868">
        <f>0/unit</f>
        <v>0</v>
      </c>
    </row>
    <row r="270" spans="1:5" outlineLevel="1">
      <c r="A270" s="897" t="s">
        <v>791</v>
      </c>
      <c r="B270" s="868">
        <f>602514574.99/unit</f>
        <v>6.0251457499000001</v>
      </c>
      <c r="C270" s="868">
        <f>1039328369.92/unit</f>
        <v>10.3932836992</v>
      </c>
      <c r="D270" s="868">
        <f>376995771.14/unit</f>
        <v>3.7699577114</v>
      </c>
      <c r="E270" s="868">
        <f>346533898.57/unit</f>
        <v>3.4653389856999999</v>
      </c>
    </row>
    <row r="271" spans="1:5" outlineLevel="1">
      <c r="A271" s="897" t="s">
        <v>792</v>
      </c>
      <c r="B271" s="868">
        <f>0/unit</f>
        <v>0</v>
      </c>
      <c r="C271" s="868">
        <f>0/unit</f>
        <v>0</v>
      </c>
      <c r="D271" s="868">
        <f>0/unit</f>
        <v>0</v>
      </c>
      <c r="E271" s="868">
        <f>0/unit</f>
        <v>0</v>
      </c>
    </row>
    <row r="272" spans="1:5" outlineLevel="1">
      <c r="A272" s="897" t="s">
        <v>793</v>
      </c>
      <c r="B272" s="868">
        <f>21722861.47/unit</f>
        <v>0.21722861469999999</v>
      </c>
      <c r="C272" s="868">
        <f>14889831.88/unit</f>
        <v>0.14889831880000001</v>
      </c>
      <c r="D272" s="868">
        <f>10352670.75/unit</f>
        <v>0.1035267075</v>
      </c>
      <c r="E272" s="868">
        <f>0/unit</f>
        <v>0</v>
      </c>
    </row>
    <row r="273" spans="1:5" outlineLevel="1">
      <c r="A273" s="897" t="s">
        <v>794</v>
      </c>
      <c r="B273" s="868">
        <f>0/unit</f>
        <v>0</v>
      </c>
      <c r="C273" s="868">
        <f>0/unit</f>
        <v>0</v>
      </c>
      <c r="D273" s="868">
        <f>0/unit</f>
        <v>0</v>
      </c>
      <c r="E273" s="868">
        <f>0/unit</f>
        <v>0</v>
      </c>
    </row>
    <row r="274" spans="1:5" outlineLevel="1">
      <c r="A274" s="897" t="s">
        <v>795</v>
      </c>
      <c r="B274" s="868">
        <f>0/unit</f>
        <v>0</v>
      </c>
      <c r="C274" s="868">
        <f>0/unit</f>
        <v>0</v>
      </c>
      <c r="D274" s="868">
        <f>0/unit</f>
        <v>0</v>
      </c>
      <c r="E274" s="868">
        <f>0/unit</f>
        <v>0</v>
      </c>
    </row>
    <row r="275" spans="1:5" outlineLevel="1">
      <c r="A275" s="896" t="s">
        <v>796</v>
      </c>
      <c r="B275" s="868">
        <f>624237436.46/unit</f>
        <v>6.2423743646000007</v>
      </c>
      <c r="C275" s="868">
        <f>1187151001.8/unit</f>
        <v>11.871510018</v>
      </c>
      <c r="D275" s="868">
        <f>1510839431.89/unit</f>
        <v>15.1083943189</v>
      </c>
      <c r="E275" s="868">
        <f>350208898.57/unit</f>
        <v>3.5020889856999999</v>
      </c>
    </row>
    <row r="276" spans="1:5" outlineLevel="1">
      <c r="A276" s="897" t="s">
        <v>797</v>
      </c>
      <c r="B276" s="868">
        <f>532637298.83/unit</f>
        <v>5.3263729883000002</v>
      </c>
      <c r="C276" s="868">
        <f>662671048.19/unit</f>
        <v>6.6267104819000009</v>
      </c>
      <c r="D276" s="868">
        <f>1076724141.06/unit</f>
        <v>10.767241410599999</v>
      </c>
      <c r="E276" s="868">
        <f>290439724.68/unit</f>
        <v>2.9043972467999999</v>
      </c>
    </row>
    <row r="277" spans="1:5" outlineLevel="1">
      <c r="A277" s="897" t="s">
        <v>798</v>
      </c>
      <c r="B277" s="868">
        <f>12130179.74/unit</f>
        <v>0.12130179740000001</v>
      </c>
      <c r="C277" s="868">
        <f>175135945.61/unit</f>
        <v>1.7513594561000001</v>
      </c>
      <c r="D277" s="868">
        <f>188074757.12/unit</f>
        <v>1.8807475712000001</v>
      </c>
      <c r="E277" s="868">
        <f>165478086.83/unit</f>
        <v>1.6547808683</v>
      </c>
    </row>
    <row r="278" spans="1:5" outlineLevel="1">
      <c r="A278" s="897" t="s">
        <v>799</v>
      </c>
      <c r="B278" s="868">
        <f>0/unit</f>
        <v>0</v>
      </c>
      <c r="C278" s="868">
        <f>0/unit</f>
        <v>0</v>
      </c>
      <c r="D278" s="868">
        <f>0/unit</f>
        <v>0</v>
      </c>
      <c r="E278" s="868">
        <f>0/unit</f>
        <v>0</v>
      </c>
    </row>
    <row r="279" spans="1:5" outlineLevel="1">
      <c r="A279" s="897" t="s">
        <v>800</v>
      </c>
      <c r="B279" s="868">
        <f>0/unit</f>
        <v>0</v>
      </c>
      <c r="C279" s="868">
        <f>0/unit</f>
        <v>0</v>
      </c>
      <c r="D279" s="868">
        <f>0/unit</f>
        <v>0</v>
      </c>
      <c r="E279" s="868">
        <f>0/unit</f>
        <v>0</v>
      </c>
    </row>
    <row r="280" spans="1:5" outlineLevel="1">
      <c r="A280" s="897" t="s">
        <v>801</v>
      </c>
      <c r="B280" s="868">
        <f>51722861.47/unit</f>
        <v>0.51722861470000003</v>
      </c>
      <c r="C280" s="868">
        <f>357726.4/unit</f>
        <v>3.5772640000000001E-3</v>
      </c>
      <c r="D280" s="868">
        <f>343956.3/unit</f>
        <v>3.4395630000000001E-3</v>
      </c>
      <c r="E280" s="868">
        <f>70721733.75/unit</f>
        <v>0.70721733750000004</v>
      </c>
    </row>
    <row r="281" spans="1:5" outlineLevel="1">
      <c r="A281" s="897" t="s">
        <v>802</v>
      </c>
      <c r="B281" s="868">
        <f>0/unit</f>
        <v>0</v>
      </c>
      <c r="C281" s="868">
        <f>0/unit</f>
        <v>0</v>
      </c>
      <c r="D281" s="868">
        <f>0/unit</f>
        <v>0</v>
      </c>
      <c r="E281" s="868">
        <f>0/unit</f>
        <v>0</v>
      </c>
    </row>
    <row r="282" spans="1:5" outlineLevel="1">
      <c r="A282" s="897" t="s">
        <v>803</v>
      </c>
      <c r="B282" s="868">
        <f>0/unit</f>
        <v>0</v>
      </c>
      <c r="C282" s="868">
        <f>0/unit</f>
        <v>0</v>
      </c>
      <c r="D282" s="868">
        <f>0/unit</f>
        <v>0</v>
      </c>
      <c r="E282" s="868">
        <f>0/unit</f>
        <v>0</v>
      </c>
    </row>
    <row r="283" spans="1:5" outlineLevel="1">
      <c r="A283" s="897" t="s">
        <v>804</v>
      </c>
      <c r="B283" s="868">
        <f>0/unit</f>
        <v>0</v>
      </c>
      <c r="C283" s="868">
        <f>0/unit</f>
        <v>0</v>
      </c>
      <c r="D283" s="868">
        <f>0/unit</f>
        <v>0</v>
      </c>
      <c r="E283" s="868">
        <f>0/unit</f>
        <v>0</v>
      </c>
    </row>
    <row r="284" spans="1:5" outlineLevel="1">
      <c r="A284" s="896" t="s">
        <v>805</v>
      </c>
      <c r="B284" s="868">
        <f>596490340.04/unit</f>
        <v>5.9649034003999999</v>
      </c>
      <c r="C284" s="868">
        <f>838164720.2/unit</f>
        <v>8.3816472019999999</v>
      </c>
      <c r="D284" s="868">
        <f>1265142854.48/unit</f>
        <v>12.6514285448</v>
      </c>
      <c r="E284" s="868">
        <f>526639545.26/unit</f>
        <v>5.2663954526000003</v>
      </c>
    </row>
    <row r="285" spans="1:5" outlineLevel="1">
      <c r="A285" s="897" t="s">
        <v>806</v>
      </c>
      <c r="B285" s="868">
        <f>0/unit</f>
        <v>0</v>
      </c>
      <c r="C285" s="868">
        <f>0/unit</f>
        <v>0</v>
      </c>
      <c r="D285" s="868">
        <f>0/unit</f>
        <v>0</v>
      </c>
      <c r="E285" s="868">
        <f>0/unit</f>
        <v>0</v>
      </c>
    </row>
    <row r="286" spans="1:5" outlineLevel="1">
      <c r="A286" s="897" t="s">
        <v>807</v>
      </c>
      <c r="B286" s="868">
        <f>0/unit</f>
        <v>0</v>
      </c>
      <c r="C286" s="868">
        <f>0/unit</f>
        <v>0</v>
      </c>
      <c r="D286" s="868">
        <f>0/unit</f>
        <v>0</v>
      </c>
      <c r="E286" s="868">
        <f>0/unit</f>
        <v>0</v>
      </c>
    </row>
    <row r="287" spans="1:5" outlineLevel="1">
      <c r="A287" s="896" t="s">
        <v>808</v>
      </c>
      <c r="B287" s="868">
        <f>27747096.42/unit</f>
        <v>0.2774709642</v>
      </c>
      <c r="C287" s="868">
        <f>348986281.6/unit</f>
        <v>3.489862816</v>
      </c>
      <c r="D287" s="868">
        <f>245696577.41/unit</f>
        <v>2.4569657740999999</v>
      </c>
      <c r="E287" s="868">
        <f>-176430646.69/unit</f>
        <v>-1.7643064668999999</v>
      </c>
    </row>
    <row r="288" spans="1:5" outlineLevel="1">
      <c r="A288" s="903" t="s">
        <v>809</v>
      </c>
      <c r="B288" s="867"/>
      <c r="C288" s="867"/>
      <c r="D288" s="867"/>
      <c r="E288" s="867"/>
    </row>
    <row r="289" spans="1:6" outlineLevel="1">
      <c r="A289" s="897" t="s">
        <v>810</v>
      </c>
      <c r="B289" s="868">
        <f>-323566.52/unit</f>
        <v>-3.2356652000000001E-3</v>
      </c>
      <c r="C289" s="868">
        <f>1194122.81/unit</f>
        <v>1.1941228100000001E-2</v>
      </c>
      <c r="D289" s="868">
        <f>-7306675.44/unit</f>
        <v>-7.3066754400000003E-2</v>
      </c>
      <c r="E289" s="868">
        <f>4403548.5/unit</f>
        <v>4.4035484999999999E-2</v>
      </c>
    </row>
    <row r="290" spans="1:6" outlineLevel="1">
      <c r="A290" s="897" t="s">
        <v>811</v>
      </c>
      <c r="B290" s="868">
        <f>0/unit</f>
        <v>0</v>
      </c>
      <c r="C290" s="868">
        <f>0/unit</f>
        <v>0</v>
      </c>
      <c r="D290" s="868">
        <f>0/unit</f>
        <v>0</v>
      </c>
      <c r="E290" s="868">
        <f>0/unit</f>
        <v>0</v>
      </c>
    </row>
    <row r="291" spans="1:6" outlineLevel="1">
      <c r="A291" s="897" t="s">
        <v>812</v>
      </c>
      <c r="B291" s="868">
        <f>0/unit</f>
        <v>0</v>
      </c>
      <c r="C291" s="868">
        <f>0/unit</f>
        <v>0</v>
      </c>
      <c r="D291" s="868">
        <f>0/unit</f>
        <v>0</v>
      </c>
      <c r="E291" s="868">
        <f>0/unit</f>
        <v>0</v>
      </c>
    </row>
    <row r="292" spans="1:6" outlineLevel="1">
      <c r="A292" s="896" t="s">
        <v>813</v>
      </c>
      <c r="B292" s="868">
        <f>54075355.1/unit</f>
        <v>0.540753551</v>
      </c>
      <c r="C292" s="868">
        <f>115543059.57/unit</f>
        <v>1.1554305957</v>
      </c>
      <c r="D292" s="868">
        <f>122516370.72/unit</f>
        <v>1.2251637071999999</v>
      </c>
      <c r="E292" s="868">
        <f>48966240.05/unit</f>
        <v>0.48966240049999998</v>
      </c>
    </row>
    <row r="293" spans="1:6" outlineLevel="1">
      <c r="A293" s="897" t="s">
        <v>814</v>
      </c>
      <c r="B293" s="867">
        <f>115826096.6/unit</f>
        <v>1.1582609659999998</v>
      </c>
      <c r="C293" s="867">
        <f>169901451.7/unit</f>
        <v>1.6990145169999999</v>
      </c>
      <c r="D293" s="867">
        <f>285444511.27/unit</f>
        <v>2.8544451126999997</v>
      </c>
      <c r="E293" s="867">
        <f>407960881.99/unit</f>
        <v>4.0796088198999998</v>
      </c>
    </row>
    <row r="294" spans="1:6" outlineLevel="1">
      <c r="A294" s="897" t="s">
        <v>815</v>
      </c>
      <c r="B294" s="867">
        <f>0/unit</f>
        <v>0</v>
      </c>
      <c r="C294" s="867">
        <f>0/unit</f>
        <v>0</v>
      </c>
      <c r="D294" s="867">
        <f>0/unit</f>
        <v>0</v>
      </c>
      <c r="E294" s="867">
        <f>0/unit</f>
        <v>0</v>
      </c>
    </row>
    <row r="295" spans="1:6" outlineLevel="1">
      <c r="A295" s="897" t="s">
        <v>816</v>
      </c>
      <c r="B295" s="867">
        <f>0/unit</f>
        <v>0</v>
      </c>
      <c r="C295" s="867">
        <f>0/unit</f>
        <v>0</v>
      </c>
      <c r="D295" s="867">
        <f>0/unit</f>
        <v>0</v>
      </c>
      <c r="E295" s="867">
        <f>0/unit</f>
        <v>0</v>
      </c>
    </row>
    <row r="296" spans="1:6" outlineLevel="1">
      <c r="A296" s="897" t="s">
        <v>817</v>
      </c>
      <c r="B296" s="868">
        <f>169901451.7/unit</f>
        <v>1.6990145169999999</v>
      </c>
      <c r="C296" s="868">
        <f>285444511.27/unit</f>
        <v>2.8544451126999997</v>
      </c>
      <c r="D296" s="868">
        <f>407960881.99/unit</f>
        <v>4.0796088198999998</v>
      </c>
      <c r="E296" s="868">
        <f>456927122.04/unit</f>
        <v>4.5692712204000001</v>
      </c>
    </row>
    <row r="297" spans="1:6" outlineLevel="1">
      <c r="A297" s="902" t="s">
        <v>818</v>
      </c>
      <c r="B297" s="868"/>
      <c r="C297" s="868"/>
      <c r="D297" s="868"/>
      <c r="E297" s="868"/>
    </row>
    <row r="298" spans="1:6">
      <c r="A298" s="897" t="s">
        <v>819</v>
      </c>
      <c r="B298" s="868">
        <f>261535696.81/unit</f>
        <v>2.6153569681</v>
      </c>
      <c r="C298" s="868">
        <f>358051432.76/unit</f>
        <v>3.5805143276</v>
      </c>
      <c r="D298" s="868">
        <f>344043803.83/unit</f>
        <v>3.4404380382999999</v>
      </c>
      <c r="E298" s="868">
        <f>482969956.99/unit</f>
        <v>4.8296995698999998</v>
      </c>
      <c r="F298" s="909"/>
    </row>
    <row r="299" spans="1:6" outlineLevel="1">
      <c r="A299" s="897" t="s">
        <v>820</v>
      </c>
      <c r="B299" s="868">
        <f>8131512.45/unit</f>
        <v>8.1315124500000002E-2</v>
      </c>
      <c r="C299" s="868">
        <f>5844682.41/unit</f>
        <v>5.8446824100000003E-2</v>
      </c>
      <c r="D299" s="868">
        <f>5574350.11/unit</f>
        <v>5.5743501100000002E-2</v>
      </c>
      <c r="E299" s="868">
        <f>26098709.1/unit</f>
        <v>0.260987091</v>
      </c>
    </row>
    <row r="300" spans="1:6" outlineLevel="1">
      <c r="A300" s="897" t="s">
        <v>821</v>
      </c>
      <c r="B300" s="868">
        <f>135618944.93/unit</f>
        <v>1.3561894493</v>
      </c>
      <c r="C300" s="868">
        <f>173374084.6/unit</f>
        <v>1.7337408459999999</v>
      </c>
      <c r="D300" s="868">
        <f>219811963.02/unit</f>
        <v>2.1981196301999999</v>
      </c>
      <c r="E300" s="868">
        <f>247492438.52/unit</f>
        <v>2.4749243852</v>
      </c>
      <c r="F300" s="908"/>
    </row>
    <row r="301" spans="1:6" outlineLevel="1">
      <c r="A301" s="897" t="s">
        <v>822</v>
      </c>
      <c r="B301" s="868">
        <f>135618944.93/unit</f>
        <v>1.3561894493</v>
      </c>
      <c r="C301" s="868">
        <f>173374084.6/unit</f>
        <v>1.7337408459999999</v>
      </c>
      <c r="D301" s="868">
        <f>219811963.02/unit</f>
        <v>2.1981196301999999</v>
      </c>
      <c r="E301" s="868">
        <f>247492438.52/unit</f>
        <v>2.4749243852</v>
      </c>
    </row>
    <row r="302" spans="1:6" outlineLevel="1">
      <c r="A302" s="897" t="s">
        <v>823</v>
      </c>
      <c r="B302" s="868">
        <f>0/unit</f>
        <v>0</v>
      </c>
      <c r="C302" s="868">
        <f>0/unit</f>
        <v>0</v>
      </c>
      <c r="D302" s="868">
        <f>0/unit</f>
        <v>0</v>
      </c>
      <c r="E302" s="868">
        <f>0/unit</f>
        <v>0</v>
      </c>
    </row>
    <row r="303" spans="1:6" outlineLevel="1">
      <c r="A303" s="897" t="s">
        <v>824</v>
      </c>
      <c r="B303" s="868">
        <f>4038102.62/unit</f>
        <v>4.0381026200000003E-2</v>
      </c>
      <c r="C303" s="868">
        <f>4638759.01/unit</f>
        <v>4.6387590100000001E-2</v>
      </c>
      <c r="D303" s="868">
        <f>6281155.77/unit</f>
        <v>6.2811557699999992E-2</v>
      </c>
      <c r="E303" s="868">
        <f>6988575.47/unit</f>
        <v>6.9885754699999997E-2</v>
      </c>
    </row>
    <row r="304" spans="1:6" outlineLevel="1">
      <c r="A304" s="897" t="s">
        <v>825</v>
      </c>
      <c r="B304" s="868">
        <f>840247.72/unit</f>
        <v>8.4024771999999994E-3</v>
      </c>
      <c r="C304" s="868">
        <f>2338150.37/unit</f>
        <v>2.33815037E-2</v>
      </c>
      <c r="D304" s="868">
        <f>2260656.94/unit</f>
        <v>2.2606569399999998E-2</v>
      </c>
      <c r="E304" s="868">
        <f>3994436.47/unit</f>
        <v>3.9944364700000005E-2</v>
      </c>
    </row>
    <row r="305" spans="1:6" outlineLevel="1">
      <c r="A305" s="897" t="s">
        <v>826</v>
      </c>
      <c r="B305" s="868">
        <f>0/unit</f>
        <v>0</v>
      </c>
      <c r="C305" s="868">
        <f>0/unit</f>
        <v>0</v>
      </c>
      <c r="D305" s="868">
        <f>0/unit</f>
        <v>0</v>
      </c>
      <c r="E305" s="868">
        <f>0/unit</f>
        <v>0</v>
      </c>
      <c r="F305" s="908"/>
    </row>
    <row r="306" spans="1:6" outlineLevel="1">
      <c r="A306" s="897" t="s">
        <v>827</v>
      </c>
      <c r="B306" s="868">
        <f>0/unit</f>
        <v>0</v>
      </c>
      <c r="C306" s="868">
        <f>0/unit</f>
        <v>0</v>
      </c>
      <c r="D306" s="868">
        <f>0/unit</f>
        <v>0</v>
      </c>
      <c r="E306" s="868">
        <f>0/unit</f>
        <v>0</v>
      </c>
      <c r="F306" s="908"/>
    </row>
    <row r="307" spans="1:6" outlineLevel="1">
      <c r="A307" s="897" t="s">
        <v>828</v>
      </c>
      <c r="B307" s="868">
        <f>0/unit</f>
        <v>0</v>
      </c>
      <c r="C307" s="868">
        <f>0/unit</f>
        <v>0</v>
      </c>
      <c r="D307" s="868">
        <f>0/unit</f>
        <v>0</v>
      </c>
      <c r="E307" s="868">
        <f>0/unit</f>
        <v>0</v>
      </c>
      <c r="F307" s="908"/>
    </row>
    <row r="308" spans="1:6" outlineLevel="1">
      <c r="A308" s="897" t="s">
        <v>829</v>
      </c>
      <c r="B308" s="868">
        <f>0/unit</f>
        <v>0</v>
      </c>
      <c r="C308" s="868">
        <f>931320.87/unit</f>
        <v>9.3132087000000006E-3</v>
      </c>
      <c r="D308" s="868">
        <f>0/unit</f>
        <v>0</v>
      </c>
      <c r="E308" s="868">
        <f>509477.78/unit</f>
        <v>5.0947778000000003E-3</v>
      </c>
      <c r="F308" s="908"/>
    </row>
    <row r="309" spans="1:6" outlineLevel="1">
      <c r="A309" s="897" t="s">
        <v>830</v>
      </c>
      <c r="B309" s="868">
        <f>1476216.53/unit</f>
        <v>1.47621653E-2</v>
      </c>
      <c r="C309" s="868">
        <f>0/unit</f>
        <v>0</v>
      </c>
      <c r="D309" s="868">
        <f>634879.22/unit</f>
        <v>6.3487921999999999E-3</v>
      </c>
      <c r="E309" s="868">
        <f>2479490.94/unit</f>
        <v>2.4794909399999999E-2</v>
      </c>
    </row>
    <row r="310" spans="1:6" outlineLevel="1">
      <c r="A310" s="897" t="s">
        <v>831</v>
      </c>
      <c r="B310" s="868">
        <f>0/unit</f>
        <v>0</v>
      </c>
      <c r="C310" s="868">
        <f>0/unit</f>
        <v>0</v>
      </c>
      <c r="D310" s="868">
        <f>0/unit</f>
        <v>0</v>
      </c>
      <c r="E310" s="868">
        <f>0/unit</f>
        <v>0</v>
      </c>
    </row>
    <row r="311" spans="1:6" outlineLevel="1">
      <c r="A311" s="897" t="s">
        <v>550</v>
      </c>
      <c r="B311" s="868">
        <f>17947648.98/unit</f>
        <v>0.1794764898</v>
      </c>
      <c r="C311" s="868">
        <f>29073594.09/unit</f>
        <v>0.29073594089999999</v>
      </c>
      <c r="D311" s="868">
        <f>31509998.33/unit</f>
        <v>0.3150999833</v>
      </c>
      <c r="E311" s="868">
        <f>1911040.05/unit</f>
        <v>1.9110400499999999E-2</v>
      </c>
    </row>
    <row r="312" spans="1:6" outlineLevel="1">
      <c r="A312" s="897" t="s">
        <v>832</v>
      </c>
      <c r="B312" s="868">
        <f>905815.91/unit</f>
        <v>9.058159100000001E-3</v>
      </c>
      <c r="C312" s="868">
        <f>-5946694.46/unit</f>
        <v>-5.9466944600000002E-2</v>
      </c>
      <c r="D312" s="868">
        <f>-74276574.74/unit</f>
        <v>-0.7427657473999999</v>
      </c>
      <c r="E312" s="868">
        <f>-28354211.44/unit</f>
        <v>-0.28354211439999999</v>
      </c>
    </row>
    <row r="313" spans="1:6" outlineLevel="1">
      <c r="A313" s="897" t="s">
        <v>833</v>
      </c>
      <c r="B313" s="868">
        <f>4576861.84/unit</f>
        <v>4.5768618399999995E-2</v>
      </c>
      <c r="C313" s="868">
        <f>-1879167.61/unit</f>
        <v>-1.8791676100000002E-2</v>
      </c>
      <c r="D313" s="868">
        <f>-2731539.85/unit</f>
        <v>-2.7315398500000001E-2</v>
      </c>
      <c r="E313" s="868">
        <f>17774611.16/unit</f>
        <v>0.17774611160000001</v>
      </c>
    </row>
    <row r="314" spans="1:6" outlineLevel="1">
      <c r="A314" s="897" t="s">
        <v>834</v>
      </c>
      <c r="B314" s="868">
        <f>2875171.58/unit</f>
        <v>2.8751715800000001E-2</v>
      </c>
      <c r="C314" s="868">
        <f>-2627072.54/unit</f>
        <v>-2.62707254E-2</v>
      </c>
      <c r="D314" s="868">
        <f>-3653476.8/unit</f>
        <v>-3.6534767999999995E-2</v>
      </c>
      <c r="E314" s="868">
        <f>-7717982.49/unit</f>
        <v>-7.7179824899999999E-2</v>
      </c>
    </row>
    <row r="315" spans="1:6" outlineLevel="1">
      <c r="A315" s="897" t="s">
        <v>835</v>
      </c>
      <c r="B315" s="868">
        <f>1701690.26/unit</f>
        <v>1.7016902600000001E-2</v>
      </c>
      <c r="C315" s="868">
        <f>747904.93/unit</f>
        <v>7.4790493000000003E-3</v>
      </c>
      <c r="D315" s="868">
        <f>921936.95/unit</f>
        <v>9.2193694999999996E-3</v>
      </c>
      <c r="E315" s="868">
        <f>25492593.65/unit</f>
        <v>0.25492593650000001</v>
      </c>
    </row>
    <row r="316" spans="1:6" outlineLevel="1">
      <c r="A316" s="897" t="s">
        <v>836</v>
      </c>
      <c r="B316" s="868">
        <f>0/unit</f>
        <v>0</v>
      </c>
      <c r="C316" s="868">
        <f>0/unit</f>
        <v>0</v>
      </c>
      <c r="D316" s="868">
        <f>0/unit</f>
        <v>0</v>
      </c>
      <c r="E316" s="868">
        <f>0/unit</f>
        <v>0</v>
      </c>
    </row>
    <row r="317" spans="1:6" outlineLevel="1">
      <c r="A317" s="897" t="s">
        <v>837</v>
      </c>
      <c r="B317" s="868">
        <f>-9746466.95/unit</f>
        <v>-9.746466949999999E-2</v>
      </c>
      <c r="C317" s="868">
        <f>-58466690.46/unit</f>
        <v>-0.58466690460000004</v>
      </c>
      <c r="D317" s="868">
        <f>-73316385.8/unit</f>
        <v>-0.73316385799999995</v>
      </c>
      <c r="E317" s="868">
        <f>-95158185.87/unit</f>
        <v>-0.95158185870000001</v>
      </c>
    </row>
    <row r="318" spans="1:6" outlineLevel="1">
      <c r="A318" s="897" t="s">
        <v>838</v>
      </c>
      <c r="B318" s="868">
        <f>344187240.22/unit</f>
        <v>3.4418724022000005</v>
      </c>
      <c r="C318" s="868">
        <f>-243388471.58/unit</f>
        <v>-2.4338847158000001</v>
      </c>
      <c r="D318" s="868">
        <f>-64508637.82/unit</f>
        <v>-0.64508637820000003</v>
      </c>
      <c r="E318" s="868">
        <f>-202871776/unit</f>
        <v>-2.0287177600000001</v>
      </c>
    </row>
    <row r="319" spans="1:6" outlineLevel="1">
      <c r="A319" s="897" t="s">
        <v>839</v>
      </c>
      <c r="B319" s="868">
        <f>-414696585.2/unit</f>
        <v>-4.1469658520000001</v>
      </c>
      <c r="C319" s="868">
        <f>154069794.06/unit</f>
        <v>1.5406979406000001</v>
      </c>
      <c r="D319" s="868">
        <f>57673724.83/unit</f>
        <v>0.57673724829999995</v>
      </c>
      <c r="E319" s="868">
        <f>133736986.2/unit</f>
        <v>1.3373698620000001</v>
      </c>
    </row>
    <row r="320" spans="1:6" outlineLevel="1">
      <c r="A320" s="897" t="s">
        <v>718</v>
      </c>
      <c r="B320" s="868">
        <f>0/unit</f>
        <v>0</v>
      </c>
      <c r="C320" s="868">
        <f>0/unit</f>
        <v>0</v>
      </c>
      <c r="D320" s="868">
        <f>0/unit</f>
        <v>0</v>
      </c>
      <c r="E320" s="868">
        <f>0/unit</f>
        <v>0</v>
      </c>
    </row>
    <row r="321" spans="1:6" outlineLevel="1">
      <c r="A321" s="897" t="s">
        <v>840</v>
      </c>
      <c r="B321" s="910">
        <f>0/unit</f>
        <v>0</v>
      </c>
      <c r="C321" s="910">
        <f>16921826.62/unit</f>
        <v>0.16921826620000002</v>
      </c>
      <c r="D321" s="910">
        <f>18716650/unit</f>
        <v>0.18716650000000001</v>
      </c>
      <c r="E321" s="910">
        <f>-462821.56/unit</f>
        <v>-4.6282156E-3</v>
      </c>
    </row>
    <row r="322" spans="1:6" outlineLevel="1">
      <c r="A322" s="897" t="s">
        <v>841</v>
      </c>
      <c r="B322" s="868">
        <f>0/unit</f>
        <v>0</v>
      </c>
      <c r="C322" s="868">
        <f>0/unit</f>
        <v>0</v>
      </c>
      <c r="D322" s="868">
        <f>0/unit</f>
        <v>0</v>
      </c>
      <c r="E322" s="868">
        <f>0/unit</f>
        <v>0</v>
      </c>
    </row>
    <row r="323" spans="1:6" outlineLevel="1">
      <c r="A323" s="897" t="s">
        <v>842</v>
      </c>
      <c r="B323" s="868">
        <f>0/unit</f>
        <v>0</v>
      </c>
      <c r="C323" s="868">
        <f>0/unit</f>
        <v>0</v>
      </c>
      <c r="D323" s="868">
        <f>0/unit</f>
        <v>0</v>
      </c>
      <c r="E323" s="868">
        <f>0/unit</f>
        <v>0</v>
      </c>
    </row>
    <row r="324" spans="1:6" outlineLevel="1">
      <c r="A324" s="897" t="s">
        <v>843</v>
      </c>
      <c r="B324" s="868">
        <f>354815235.86/unit</f>
        <v>3.5481523586000003</v>
      </c>
      <c r="C324" s="868">
        <f>435562620.68/unit</f>
        <v>4.3556262068000002</v>
      </c>
      <c r="D324" s="868">
        <f>471674043.84/unit</f>
        <v>4.7167404383999996</v>
      </c>
      <c r="E324" s="868">
        <f>597108727.81/unit</f>
        <v>5.9710872780999997</v>
      </c>
      <c r="F324" s="908"/>
    </row>
    <row r="325" spans="1:6" outlineLevel="1">
      <c r="A325" s="897" t="s">
        <v>844</v>
      </c>
      <c r="B325" s="868">
        <f>0/unit</f>
        <v>0</v>
      </c>
      <c r="C325" s="868">
        <f>0/unit</f>
        <v>0</v>
      </c>
      <c r="D325" s="868">
        <f>0/unit</f>
        <v>0</v>
      </c>
      <c r="E325" s="868">
        <f>0/unit</f>
        <v>0</v>
      </c>
    </row>
    <row r="326" spans="1:6" outlineLevel="1">
      <c r="A326" s="897" t="s">
        <v>845</v>
      </c>
      <c r="B326" s="868">
        <f>0/unit</f>
        <v>0</v>
      </c>
      <c r="C326" s="868">
        <f>0/unit</f>
        <v>0</v>
      </c>
      <c r="D326" s="868">
        <f>0/unit</f>
        <v>0</v>
      </c>
      <c r="E326" s="868">
        <f>0/unit</f>
        <v>0</v>
      </c>
    </row>
    <row r="327" spans="1:6" outlineLevel="1">
      <c r="A327" s="897" t="s">
        <v>846</v>
      </c>
      <c r="B327" s="868">
        <f>0/unit</f>
        <v>0</v>
      </c>
      <c r="C327" s="868">
        <f>0/unit</f>
        <v>0</v>
      </c>
      <c r="D327" s="868">
        <f>0/unit</f>
        <v>0</v>
      </c>
      <c r="E327" s="868">
        <f>0/unit</f>
        <v>0</v>
      </c>
    </row>
    <row r="328" spans="1:6" outlineLevel="1">
      <c r="A328" s="897" t="s">
        <v>847</v>
      </c>
      <c r="B328" s="868">
        <f>0/unit</f>
        <v>0</v>
      </c>
      <c r="C328" s="868">
        <f>0/unit</f>
        <v>0</v>
      </c>
      <c r="D328" s="868">
        <f>0/unit</f>
        <v>0</v>
      </c>
      <c r="E328" s="868">
        <f>0/unit</f>
        <v>0</v>
      </c>
    </row>
    <row r="329" spans="1:6" outlineLevel="1">
      <c r="A329" s="897" t="s">
        <v>848</v>
      </c>
      <c r="B329" s="868">
        <f>169901451.7/unit</f>
        <v>1.6990145169999999</v>
      </c>
      <c r="C329" s="868">
        <f>285444511.27/unit</f>
        <v>2.8544451126999997</v>
      </c>
      <c r="D329" s="868">
        <f>407960881.99/unit</f>
        <v>4.0796088198999998</v>
      </c>
      <c r="E329" s="868">
        <f>456927122.04/unit</f>
        <v>4.5692712204000001</v>
      </c>
    </row>
    <row r="330" spans="1:6" outlineLevel="1">
      <c r="A330" s="897" t="s">
        <v>849</v>
      </c>
      <c r="B330" s="868">
        <f>115826096.6/unit</f>
        <v>1.1582609659999998</v>
      </c>
      <c r="C330" s="868">
        <f>169901451.7/unit</f>
        <v>1.6990145169999999</v>
      </c>
      <c r="D330" s="868">
        <f>285444511.27/unit</f>
        <v>2.8544451126999997</v>
      </c>
      <c r="E330" s="868">
        <f>407960881.99/unit</f>
        <v>4.0796088198999998</v>
      </c>
    </row>
    <row r="331" spans="1:6" outlineLevel="1">
      <c r="A331" s="897" t="s">
        <v>850</v>
      </c>
      <c r="B331" s="868">
        <f>0/unit</f>
        <v>0</v>
      </c>
      <c r="C331" s="868">
        <f>0/unit</f>
        <v>0</v>
      </c>
      <c r="D331" s="868">
        <f>0/unit</f>
        <v>0</v>
      </c>
      <c r="E331" s="868">
        <f>0/unit</f>
        <v>0</v>
      </c>
    </row>
    <row r="332" spans="1:6" outlineLevel="1">
      <c r="A332" s="897" t="s">
        <v>851</v>
      </c>
      <c r="B332" s="868">
        <f>0/unit</f>
        <v>0</v>
      </c>
      <c r="C332" s="868">
        <f>0/unit</f>
        <v>0</v>
      </c>
      <c r="D332" s="868">
        <f>0/unit</f>
        <v>0</v>
      </c>
      <c r="E332" s="868">
        <f>0/unit</f>
        <v>0</v>
      </c>
    </row>
    <row r="333" spans="1:6" outlineLevel="1">
      <c r="A333" s="897" t="s">
        <v>852</v>
      </c>
      <c r="B333" s="868">
        <f>0/unit</f>
        <v>0</v>
      </c>
      <c r="C333" s="868">
        <f>0/unit</f>
        <v>0</v>
      </c>
      <c r="D333" s="868">
        <f>0/unit</f>
        <v>0</v>
      </c>
      <c r="E333" s="868">
        <f>0/unit</f>
        <v>0</v>
      </c>
    </row>
    <row r="334" spans="1:6" outlineLevel="1">
      <c r="A334" s="897" t="s">
        <v>853</v>
      </c>
      <c r="B334" s="868">
        <f>0/unit</f>
        <v>0</v>
      </c>
      <c r="C334" s="868">
        <f>0/unit</f>
        <v>0</v>
      </c>
      <c r="D334" s="868">
        <f>0/unit</f>
        <v>0</v>
      </c>
      <c r="E334" s="868">
        <f>0/unit</f>
        <v>0</v>
      </c>
    </row>
    <row r="335" spans="1:6" outlineLevel="1">
      <c r="A335" s="897" t="s">
        <v>854</v>
      </c>
      <c r="B335" s="868">
        <f>54075355.1/unit</f>
        <v>0.540753551</v>
      </c>
      <c r="C335" s="868">
        <f>115543059.57/unit</f>
        <v>1.1554305957</v>
      </c>
      <c r="D335" s="868">
        <f>122516370.72/unit</f>
        <v>1.2251637071999999</v>
      </c>
      <c r="E335" s="868">
        <f>48966240.05/unit</f>
        <v>0.48966240049999998</v>
      </c>
    </row>
    <row r="336" spans="1:6" outlineLevel="1">
      <c r="A336" s="900"/>
      <c r="B336" s="868"/>
      <c r="C336" s="868"/>
      <c r="D336" s="868"/>
      <c r="E336" s="868"/>
    </row>
    <row r="337" spans="1:5">
      <c r="A337" s="911"/>
      <c r="B337" s="868"/>
      <c r="C337" s="868"/>
      <c r="D337" s="868"/>
      <c r="E337" s="868"/>
    </row>
    <row r="338" spans="1:5">
      <c r="A338" s="911"/>
      <c r="B338" s="883"/>
      <c r="C338" s="883"/>
      <c r="D338" s="883"/>
      <c r="E338" s="883"/>
    </row>
    <row r="339" spans="1:5">
      <c r="A339" s="911"/>
      <c r="B339" s="883"/>
      <c r="C339" s="883"/>
      <c r="D339" s="883"/>
      <c r="E339" s="883"/>
    </row>
    <row r="340" spans="1:5">
      <c r="A340" s="911"/>
      <c r="B340" s="883"/>
      <c r="C340" s="883"/>
      <c r="D340" s="883"/>
      <c r="E340" s="883"/>
    </row>
    <row r="341" spans="1:5">
      <c r="A341" s="911"/>
      <c r="B341" s="883"/>
      <c r="C341" s="883"/>
      <c r="D341" s="883"/>
      <c r="E341" s="883"/>
    </row>
    <row r="342" spans="1:5">
      <c r="A342" s="911"/>
      <c r="B342" s="883"/>
      <c r="C342" s="883"/>
      <c r="D342" s="883"/>
      <c r="E342" s="883"/>
    </row>
    <row r="343" spans="1:5">
      <c r="A343" s="911"/>
      <c r="B343" s="883"/>
      <c r="C343" s="883"/>
      <c r="D343" s="883"/>
      <c r="E343" s="883"/>
    </row>
    <row r="344" spans="1:5">
      <c r="A344" s="911"/>
      <c r="B344" s="883"/>
      <c r="C344" s="883"/>
      <c r="D344" s="883"/>
      <c r="E344" s="883"/>
    </row>
    <row r="345" spans="1:5">
      <c r="A345" s="911"/>
      <c r="B345" s="883"/>
      <c r="C345" s="883"/>
      <c r="D345" s="883"/>
      <c r="E345" s="883"/>
    </row>
    <row r="346" spans="1:5">
      <c r="A346" s="911"/>
      <c r="B346" s="883"/>
      <c r="C346" s="883"/>
      <c r="D346" s="883"/>
      <c r="E346" s="883"/>
    </row>
    <row r="347" spans="1:5">
      <c r="A347" s="911"/>
      <c r="B347" s="883"/>
      <c r="C347" s="883"/>
      <c r="D347" s="883"/>
      <c r="E347" s="883"/>
    </row>
    <row r="348" spans="1:5">
      <c r="A348" s="911"/>
      <c r="B348" s="883"/>
      <c r="C348" s="883"/>
      <c r="D348" s="883"/>
      <c r="E348" s="883"/>
    </row>
    <row r="349" spans="1:5">
      <c r="A349" s="911"/>
      <c r="B349" s="883"/>
      <c r="C349" s="883"/>
      <c r="D349" s="883"/>
      <c r="E349" s="883"/>
    </row>
    <row r="350" spans="1:5">
      <c r="A350" s="911"/>
      <c r="B350" s="883"/>
      <c r="C350" s="883"/>
      <c r="D350" s="883"/>
      <c r="E350" s="883"/>
    </row>
    <row r="351" spans="1:5">
      <c r="A351" s="911"/>
      <c r="B351" s="883"/>
      <c r="C351" s="883"/>
      <c r="D351" s="883"/>
      <c r="E351" s="883"/>
    </row>
    <row r="352" spans="1:5">
      <c r="A352" s="911"/>
      <c r="B352" s="883"/>
      <c r="C352" s="883"/>
      <c r="D352" s="883"/>
      <c r="E352" s="883"/>
    </row>
    <row r="353" spans="1:5">
      <c r="A353" s="911"/>
      <c r="B353" s="883"/>
      <c r="C353" s="883"/>
      <c r="D353" s="883"/>
      <c r="E353" s="883"/>
    </row>
    <row r="354" spans="1:5">
      <c r="A354" s="911"/>
      <c r="B354" s="883"/>
      <c r="C354" s="883"/>
      <c r="D354" s="883"/>
      <c r="E354" s="883"/>
    </row>
    <row r="355" spans="1:5">
      <c r="A355" s="911"/>
      <c r="B355" s="883"/>
      <c r="C355" s="883"/>
      <c r="D355" s="883"/>
      <c r="E355" s="883"/>
    </row>
    <row r="356" spans="1:5">
      <c r="A356" s="911"/>
      <c r="B356" s="883"/>
      <c r="C356" s="883"/>
      <c r="D356" s="883"/>
      <c r="E356" s="883"/>
    </row>
    <row r="357" spans="1:5">
      <c r="A357" s="911"/>
      <c r="B357" s="883"/>
      <c r="C357" s="883"/>
      <c r="D357" s="883"/>
      <c r="E357" s="883"/>
    </row>
    <row r="358" spans="1:5">
      <c r="A358" s="911"/>
      <c r="B358" s="883"/>
      <c r="C358" s="883"/>
      <c r="D358" s="883"/>
      <c r="E358" s="883"/>
    </row>
    <row r="359" spans="1:5">
      <c r="A359" s="911"/>
      <c r="B359" s="883"/>
      <c r="C359" s="883"/>
      <c r="D359" s="883"/>
      <c r="E359" s="883"/>
    </row>
    <row r="360" spans="1:5">
      <c r="A360" s="911"/>
      <c r="B360" s="883"/>
      <c r="C360" s="883"/>
      <c r="D360" s="883"/>
      <c r="E360" s="883"/>
    </row>
    <row r="361" spans="1:5">
      <c r="A361" s="911"/>
      <c r="B361" s="883"/>
      <c r="C361" s="883"/>
      <c r="D361" s="883"/>
      <c r="E361" s="883"/>
    </row>
    <row r="362" spans="1:5">
      <c r="A362" s="911"/>
      <c r="B362" s="883"/>
      <c r="C362" s="883"/>
      <c r="D362" s="883"/>
      <c r="E362" s="883"/>
    </row>
    <row r="363" spans="1:5">
      <c r="A363" s="911"/>
      <c r="B363" s="883"/>
      <c r="C363" s="883"/>
      <c r="D363" s="883"/>
      <c r="E363" s="883"/>
    </row>
    <row r="364" spans="1:5">
      <c r="A364" s="911"/>
      <c r="B364" s="883"/>
      <c r="C364" s="883"/>
      <c r="D364" s="883"/>
      <c r="E364" s="883"/>
    </row>
    <row r="365" spans="1:5">
      <c r="A365" s="911"/>
      <c r="B365" s="883"/>
      <c r="C365" s="883"/>
      <c r="D365" s="883"/>
      <c r="E365" s="883"/>
    </row>
    <row r="366" spans="1:5">
      <c r="A366" s="911"/>
      <c r="B366" s="883"/>
      <c r="C366" s="883"/>
      <c r="D366" s="883"/>
      <c r="E366" s="883"/>
    </row>
    <row r="367" spans="1:5">
      <c r="A367" s="911"/>
      <c r="B367" s="883"/>
      <c r="C367" s="883"/>
      <c r="D367" s="883"/>
      <c r="E367" s="883"/>
    </row>
    <row r="368" spans="1:5">
      <c r="A368" s="911"/>
      <c r="B368" s="883"/>
      <c r="C368" s="883"/>
      <c r="D368" s="883"/>
      <c r="E368" s="883"/>
    </row>
    <row r="369" spans="1:5">
      <c r="A369" s="911"/>
      <c r="B369" s="883"/>
      <c r="C369" s="883"/>
      <c r="D369" s="883"/>
      <c r="E369" s="883"/>
    </row>
    <row r="370" spans="1:5">
      <c r="A370" s="911"/>
      <c r="B370" s="883"/>
      <c r="C370" s="883"/>
      <c r="D370" s="883"/>
      <c r="E370" s="883"/>
    </row>
    <row r="371" spans="1:5">
      <c r="A371" s="911"/>
      <c r="B371" s="883"/>
      <c r="C371" s="883"/>
      <c r="D371" s="883"/>
      <c r="E371" s="883"/>
    </row>
    <row r="372" spans="1:5">
      <c r="A372" s="911"/>
      <c r="B372" s="883"/>
      <c r="C372" s="883"/>
      <c r="D372" s="883"/>
      <c r="E372" s="883"/>
    </row>
    <row r="373" spans="1:5">
      <c r="A373" s="911"/>
      <c r="B373" s="883"/>
      <c r="C373" s="883"/>
      <c r="D373" s="883"/>
      <c r="E373" s="883"/>
    </row>
    <row r="374" spans="1:5">
      <c r="A374" s="911"/>
      <c r="B374" s="883"/>
      <c r="C374" s="883"/>
      <c r="D374" s="883"/>
      <c r="E374" s="883"/>
    </row>
    <row r="375" spans="1:5">
      <c r="A375" s="911"/>
      <c r="B375" s="883"/>
      <c r="C375" s="883"/>
      <c r="D375" s="883"/>
      <c r="E375" s="883"/>
    </row>
    <row r="376" spans="1:5">
      <c r="A376" s="911"/>
      <c r="B376" s="883"/>
      <c r="C376" s="883"/>
      <c r="D376" s="883"/>
      <c r="E376" s="883"/>
    </row>
    <row r="377" spans="1:5">
      <c r="A377" s="911"/>
      <c r="B377" s="883"/>
      <c r="C377" s="883"/>
      <c r="D377" s="883"/>
      <c r="E377" s="883"/>
    </row>
    <row r="378" spans="1:5">
      <c r="A378" s="911"/>
      <c r="B378" s="883"/>
      <c r="C378" s="883"/>
      <c r="D378" s="883"/>
      <c r="E378" s="883"/>
    </row>
    <row r="379" spans="1:5">
      <c r="A379" s="911"/>
      <c r="B379" s="883"/>
      <c r="C379" s="883"/>
      <c r="D379" s="883"/>
      <c r="E379" s="883"/>
    </row>
    <row r="380" spans="1:5">
      <c r="A380" s="911"/>
      <c r="B380" s="883"/>
      <c r="C380" s="883"/>
      <c r="D380" s="883"/>
      <c r="E380" s="883"/>
    </row>
    <row r="381" spans="1:5">
      <c r="A381" s="911"/>
      <c r="B381" s="883"/>
      <c r="C381" s="883"/>
      <c r="D381" s="883"/>
      <c r="E381" s="883"/>
    </row>
    <row r="382" spans="1:5">
      <c r="A382" s="911"/>
      <c r="B382" s="883"/>
      <c r="C382" s="883"/>
      <c r="D382" s="883"/>
      <c r="E382" s="883"/>
    </row>
    <row r="383" spans="1:5">
      <c r="A383" s="911"/>
      <c r="B383" s="883"/>
      <c r="C383" s="883"/>
      <c r="D383" s="883"/>
      <c r="E383" s="883"/>
    </row>
    <row r="384" spans="1:5">
      <c r="A384" s="911"/>
      <c r="B384" s="883"/>
      <c r="C384" s="883"/>
      <c r="D384" s="883"/>
      <c r="E384" s="883"/>
    </row>
    <row r="385" spans="1:5">
      <c r="A385" s="911"/>
      <c r="B385" s="883"/>
      <c r="C385" s="883"/>
      <c r="D385" s="883"/>
      <c r="E385" s="883"/>
    </row>
    <row r="386" spans="1:5">
      <c r="A386" s="911"/>
      <c r="B386" s="883"/>
      <c r="C386" s="883"/>
      <c r="D386" s="883"/>
      <c r="E386" s="883"/>
    </row>
    <row r="387" spans="1:5">
      <c r="A387" s="911"/>
      <c r="B387" s="883"/>
      <c r="C387" s="883"/>
      <c r="D387" s="883"/>
      <c r="E387" s="883"/>
    </row>
    <row r="388" spans="1:5">
      <c r="A388" s="911"/>
      <c r="B388" s="883"/>
      <c r="C388" s="883"/>
      <c r="D388" s="883"/>
      <c r="E388" s="883"/>
    </row>
    <row r="389" spans="1:5">
      <c r="A389" s="911"/>
      <c r="B389" s="883"/>
      <c r="C389" s="883"/>
      <c r="D389" s="883"/>
      <c r="E389" s="883"/>
    </row>
    <row r="390" spans="1:5">
      <c r="A390" s="911"/>
      <c r="B390" s="883"/>
      <c r="C390" s="883"/>
      <c r="D390" s="883"/>
      <c r="E390" s="883"/>
    </row>
    <row r="391" spans="1:5">
      <c r="A391" s="911"/>
      <c r="B391" s="883"/>
      <c r="C391" s="883"/>
      <c r="D391" s="883"/>
      <c r="E391" s="883"/>
    </row>
    <row r="392" spans="1:5">
      <c r="A392" s="911"/>
      <c r="B392" s="883"/>
      <c r="C392" s="883"/>
      <c r="D392" s="883"/>
      <c r="E392" s="883"/>
    </row>
    <row r="393" spans="1:5">
      <c r="A393" s="911"/>
      <c r="B393" s="883"/>
      <c r="C393" s="883"/>
      <c r="D393" s="883"/>
      <c r="E393" s="883"/>
    </row>
    <row r="394" spans="1:5">
      <c r="A394" s="911"/>
      <c r="B394" s="883"/>
      <c r="C394" s="883"/>
      <c r="D394" s="883"/>
      <c r="E394" s="883"/>
    </row>
    <row r="395" spans="1:5">
      <c r="A395" s="911"/>
      <c r="B395" s="883"/>
      <c r="C395" s="883"/>
      <c r="D395" s="883"/>
      <c r="E395" s="883"/>
    </row>
    <row r="396" spans="1:5">
      <c r="A396" s="911"/>
      <c r="B396" s="883"/>
      <c r="C396" s="883"/>
      <c r="D396" s="883"/>
      <c r="E396" s="883"/>
    </row>
    <row r="397" spans="1:5">
      <c r="A397" s="911"/>
      <c r="B397" s="883"/>
      <c r="C397" s="883"/>
      <c r="D397" s="883"/>
      <c r="E397" s="883"/>
    </row>
    <row r="398" spans="1:5">
      <c r="A398" s="911"/>
      <c r="B398" s="883"/>
      <c r="C398" s="883"/>
      <c r="D398" s="883"/>
      <c r="E398" s="883"/>
    </row>
    <row r="399" spans="1:5">
      <c r="A399" s="911"/>
      <c r="B399" s="883"/>
      <c r="C399" s="883"/>
      <c r="D399" s="883"/>
      <c r="E399" s="883"/>
    </row>
    <row r="400" spans="1:5">
      <c r="A400" s="911"/>
      <c r="B400" s="883"/>
      <c r="C400" s="883"/>
      <c r="D400" s="883"/>
      <c r="E400" s="883"/>
    </row>
    <row r="401" spans="1:5">
      <c r="A401" s="911"/>
      <c r="B401" s="883"/>
      <c r="C401" s="883"/>
      <c r="D401" s="883"/>
      <c r="E401" s="883"/>
    </row>
    <row r="402" spans="1:5">
      <c r="A402" s="911"/>
      <c r="B402" s="883"/>
      <c r="C402" s="883"/>
      <c r="D402" s="883"/>
      <c r="E402" s="883"/>
    </row>
    <row r="403" spans="1:5">
      <c r="A403" s="911"/>
      <c r="B403" s="883"/>
      <c r="C403" s="883"/>
      <c r="D403" s="883"/>
      <c r="E403" s="883"/>
    </row>
    <row r="404" spans="1:5">
      <c r="A404" s="911"/>
      <c r="B404" s="883"/>
      <c r="C404" s="883"/>
      <c r="D404" s="883"/>
      <c r="E404" s="883"/>
    </row>
    <row r="405" spans="1:5">
      <c r="A405" s="911"/>
      <c r="B405" s="883"/>
      <c r="C405" s="883"/>
      <c r="D405" s="883"/>
      <c r="E405" s="883"/>
    </row>
    <row r="406" spans="1:5">
      <c r="A406" s="911"/>
      <c r="B406" s="883"/>
      <c r="C406" s="883"/>
      <c r="D406" s="883"/>
      <c r="E406" s="883"/>
    </row>
    <row r="407" spans="1:5">
      <c r="A407" s="911"/>
      <c r="B407" s="883"/>
      <c r="C407" s="883"/>
      <c r="D407" s="883"/>
      <c r="E407" s="883"/>
    </row>
    <row r="408" spans="1:5">
      <c r="A408" s="911"/>
      <c r="B408" s="883"/>
      <c r="C408" s="883"/>
      <c r="D408" s="883"/>
      <c r="E408" s="883"/>
    </row>
    <row r="409" spans="1:5">
      <c r="A409" s="911"/>
      <c r="B409" s="883"/>
      <c r="C409" s="883"/>
      <c r="D409" s="883"/>
      <c r="E409" s="883"/>
    </row>
    <row r="410" spans="1:5">
      <c r="A410" s="911"/>
      <c r="B410" s="883"/>
      <c r="C410" s="883"/>
      <c r="D410" s="883"/>
      <c r="E410" s="883"/>
    </row>
    <row r="411" spans="1:5">
      <c r="A411" s="911"/>
      <c r="B411" s="883"/>
      <c r="C411" s="883"/>
      <c r="D411" s="883"/>
      <c r="E411" s="883"/>
    </row>
    <row r="412" spans="1:5">
      <c r="A412" s="911"/>
      <c r="B412" s="883"/>
      <c r="C412" s="883"/>
      <c r="D412" s="883"/>
      <c r="E412" s="883"/>
    </row>
    <row r="413" spans="1:5">
      <c r="A413" s="911"/>
      <c r="B413" s="883"/>
      <c r="C413" s="883"/>
      <c r="D413" s="883"/>
      <c r="E413" s="883"/>
    </row>
    <row r="414" spans="1:5">
      <c r="A414" s="911"/>
      <c r="B414" s="883"/>
      <c r="C414" s="883"/>
      <c r="D414" s="883"/>
      <c r="E414" s="883"/>
    </row>
    <row r="415" spans="1:5">
      <c r="A415" s="911"/>
      <c r="B415" s="883"/>
      <c r="C415" s="883"/>
      <c r="D415" s="883"/>
      <c r="E415" s="883"/>
    </row>
    <row r="416" spans="1:5">
      <c r="A416" s="911"/>
      <c r="B416" s="883"/>
      <c r="C416" s="883"/>
      <c r="D416" s="883"/>
      <c r="E416" s="883"/>
    </row>
    <row r="417" spans="1:5">
      <c r="A417" s="911"/>
      <c r="B417" s="883"/>
      <c r="C417" s="883"/>
      <c r="D417" s="883"/>
      <c r="E417" s="883"/>
    </row>
    <row r="418" spans="1:5">
      <c r="A418" s="911"/>
      <c r="B418" s="883"/>
      <c r="C418" s="883"/>
      <c r="D418" s="883"/>
      <c r="E418" s="883"/>
    </row>
    <row r="419" spans="1:5">
      <c r="A419" s="911"/>
      <c r="B419" s="883"/>
      <c r="C419" s="883"/>
      <c r="D419" s="883"/>
      <c r="E419" s="883"/>
    </row>
    <row r="420" spans="1:5">
      <c r="A420" s="911"/>
      <c r="B420" s="883"/>
      <c r="C420" s="883"/>
      <c r="D420" s="883"/>
      <c r="E420" s="883"/>
    </row>
    <row r="421" spans="1:5">
      <c r="A421" s="911"/>
      <c r="B421" s="883"/>
      <c r="C421" s="883"/>
      <c r="D421" s="883"/>
      <c r="E421" s="883"/>
    </row>
    <row r="422" spans="1:5">
      <c r="A422" s="911"/>
      <c r="B422" s="883"/>
      <c r="C422" s="883"/>
      <c r="D422" s="883"/>
      <c r="E422" s="883"/>
    </row>
    <row r="423" spans="1:5">
      <c r="A423" s="911"/>
      <c r="B423" s="883"/>
      <c r="C423" s="883"/>
      <c r="D423" s="883"/>
      <c r="E423" s="883"/>
    </row>
    <row r="424" spans="1:5">
      <c r="A424" s="911"/>
      <c r="B424" s="883"/>
      <c r="C424" s="883"/>
      <c r="D424" s="883"/>
      <c r="E424" s="883"/>
    </row>
    <row r="425" spans="1:5">
      <c r="A425" s="911"/>
      <c r="B425" s="883"/>
      <c r="C425" s="883"/>
      <c r="D425" s="883"/>
      <c r="E425" s="883"/>
    </row>
    <row r="426" spans="1:5">
      <c r="A426" s="911"/>
      <c r="B426" s="883"/>
      <c r="C426" s="883"/>
      <c r="D426" s="883"/>
      <c r="E426" s="883"/>
    </row>
    <row r="427" spans="1:5">
      <c r="A427" s="911"/>
      <c r="B427" s="883"/>
      <c r="C427" s="883"/>
      <c r="D427" s="883"/>
      <c r="E427" s="883"/>
    </row>
    <row r="428" spans="1:5">
      <c r="A428" s="911"/>
      <c r="B428" s="883"/>
      <c r="C428" s="883"/>
      <c r="D428" s="883"/>
      <c r="E428" s="883"/>
    </row>
    <row r="429" spans="1:5">
      <c r="A429" s="911"/>
      <c r="B429" s="883"/>
      <c r="C429" s="883"/>
      <c r="D429" s="883"/>
      <c r="E429" s="883"/>
    </row>
    <row r="430" spans="1:5">
      <c r="A430" s="911"/>
      <c r="B430" s="883"/>
      <c r="C430" s="883"/>
      <c r="D430" s="883"/>
      <c r="E430" s="883"/>
    </row>
    <row r="431" spans="1:5">
      <c r="A431" s="911"/>
      <c r="B431" s="883"/>
      <c r="C431" s="883"/>
      <c r="D431" s="883"/>
      <c r="E431" s="883"/>
    </row>
    <row r="432" spans="1:5">
      <c r="A432" s="911"/>
      <c r="B432" s="883"/>
      <c r="C432" s="883"/>
      <c r="D432" s="883"/>
      <c r="E432" s="883"/>
    </row>
    <row r="433" spans="1:5">
      <c r="A433" s="911"/>
      <c r="B433" s="883"/>
      <c r="C433" s="883"/>
      <c r="D433" s="883"/>
      <c r="E433" s="883"/>
    </row>
    <row r="434" spans="1:5">
      <c r="A434" s="911"/>
      <c r="B434" s="883"/>
      <c r="C434" s="883"/>
      <c r="D434" s="883"/>
      <c r="E434" s="883"/>
    </row>
    <row r="435" spans="1:5">
      <c r="A435" s="911"/>
      <c r="B435" s="883"/>
      <c r="C435" s="883"/>
      <c r="D435" s="883"/>
      <c r="E435" s="883"/>
    </row>
    <row r="436" spans="1:5">
      <c r="A436" s="911"/>
      <c r="B436" s="883"/>
      <c r="C436" s="883"/>
      <c r="D436" s="883"/>
      <c r="E436" s="883"/>
    </row>
    <row r="437" spans="1:5">
      <c r="A437" s="911"/>
      <c r="B437" s="883"/>
      <c r="C437" s="883"/>
      <c r="D437" s="883"/>
      <c r="E437" s="883"/>
    </row>
    <row r="438" spans="1:5">
      <c r="A438" s="911"/>
      <c r="B438" s="883"/>
      <c r="C438" s="883"/>
      <c r="D438" s="883"/>
      <c r="E438" s="883"/>
    </row>
    <row r="439" spans="1:5">
      <c r="A439" s="911"/>
      <c r="B439" s="883"/>
      <c r="C439" s="883"/>
      <c r="D439" s="883"/>
      <c r="E439" s="883"/>
    </row>
    <row r="440" spans="1:5">
      <c r="A440" s="911"/>
      <c r="B440" s="883"/>
      <c r="C440" s="883"/>
      <c r="D440" s="883"/>
      <c r="E440" s="883"/>
    </row>
    <row r="441" spans="1:5">
      <c r="A441" s="911"/>
      <c r="B441" s="883"/>
      <c r="C441" s="883"/>
      <c r="D441" s="883"/>
      <c r="E441" s="883"/>
    </row>
    <row r="442" spans="1:5">
      <c r="A442" s="911"/>
      <c r="B442" s="883"/>
      <c r="C442" s="883"/>
      <c r="D442" s="883"/>
      <c r="E442" s="883"/>
    </row>
    <row r="443" spans="1:5">
      <c r="A443" s="911"/>
      <c r="B443" s="883"/>
      <c r="C443" s="883"/>
      <c r="D443" s="883"/>
      <c r="E443" s="883"/>
    </row>
    <row r="444" spans="1:5">
      <c r="A444" s="911"/>
      <c r="B444" s="883"/>
      <c r="C444" s="883"/>
      <c r="D444" s="883"/>
      <c r="E444" s="883"/>
    </row>
    <row r="445" spans="1:5">
      <c r="A445" s="911"/>
      <c r="B445" s="883"/>
      <c r="C445" s="883"/>
      <c r="D445" s="883"/>
      <c r="E445" s="883"/>
    </row>
    <row r="446" spans="1:5">
      <c r="A446" s="911"/>
      <c r="B446" s="883"/>
      <c r="C446" s="883"/>
      <c r="D446" s="883"/>
      <c r="E446" s="883"/>
    </row>
    <row r="447" spans="1:5">
      <c r="A447" s="911"/>
      <c r="B447" s="883"/>
      <c r="C447" s="883"/>
      <c r="D447" s="883"/>
      <c r="E447" s="883"/>
    </row>
    <row r="448" spans="1:5">
      <c r="A448" s="911"/>
      <c r="B448" s="883"/>
      <c r="C448" s="883"/>
      <c r="D448" s="883"/>
      <c r="E448" s="883"/>
    </row>
    <row r="449" spans="1:5">
      <c r="A449" s="911"/>
      <c r="B449" s="883"/>
      <c r="C449" s="883"/>
      <c r="D449" s="883"/>
      <c r="E449" s="883"/>
    </row>
    <row r="450" spans="1:5">
      <c r="A450" s="911"/>
      <c r="B450" s="883"/>
      <c r="C450" s="883"/>
      <c r="D450" s="883"/>
      <c r="E450" s="883"/>
    </row>
    <row r="451" spans="1:5">
      <c r="A451" s="911"/>
      <c r="B451" s="883"/>
      <c r="C451" s="883"/>
      <c r="D451" s="883"/>
      <c r="E451" s="883"/>
    </row>
    <row r="452" spans="1:5">
      <c r="A452" s="911"/>
      <c r="B452" s="883"/>
      <c r="C452" s="883"/>
      <c r="D452" s="883"/>
      <c r="E452" s="883"/>
    </row>
    <row r="453" spans="1:5">
      <c r="A453" s="911"/>
      <c r="B453" s="883"/>
      <c r="C453" s="883"/>
      <c r="D453" s="883"/>
      <c r="E453" s="883"/>
    </row>
    <row r="454" spans="1:5">
      <c r="A454" s="911"/>
      <c r="B454" s="883"/>
      <c r="C454" s="883"/>
      <c r="D454" s="883"/>
      <c r="E454" s="883"/>
    </row>
    <row r="455" spans="1:5">
      <c r="A455" s="911"/>
      <c r="B455" s="883"/>
      <c r="C455" s="883"/>
      <c r="D455" s="883"/>
      <c r="E455" s="883"/>
    </row>
    <row r="456" spans="1:5">
      <c r="A456" s="911"/>
      <c r="B456" s="883"/>
      <c r="C456" s="883"/>
      <c r="D456" s="883"/>
      <c r="E456" s="883"/>
    </row>
    <row r="457" spans="1:5">
      <c r="A457" s="911"/>
      <c r="B457" s="883"/>
      <c r="C457" s="883"/>
      <c r="D457" s="883"/>
      <c r="E457" s="883"/>
    </row>
    <row r="458" spans="1:5">
      <c r="A458" s="911"/>
      <c r="B458" s="883"/>
      <c r="C458" s="883"/>
      <c r="D458" s="883"/>
      <c r="E458" s="883"/>
    </row>
    <row r="459" spans="1:5">
      <c r="A459" s="911"/>
      <c r="B459" s="883"/>
      <c r="C459" s="883"/>
      <c r="D459" s="883"/>
      <c r="E459" s="883"/>
    </row>
    <row r="460" spans="1:5">
      <c r="A460" s="911"/>
      <c r="B460" s="883"/>
      <c r="C460" s="883"/>
      <c r="D460" s="883"/>
      <c r="E460" s="883"/>
    </row>
    <row r="461" spans="1:5">
      <c r="A461" s="911"/>
      <c r="B461" s="883"/>
      <c r="C461" s="883"/>
      <c r="D461" s="883"/>
      <c r="E461" s="883"/>
    </row>
    <row r="462" spans="1:5">
      <c r="A462" s="911"/>
      <c r="B462" s="883"/>
      <c r="C462" s="883"/>
      <c r="D462" s="883"/>
      <c r="E462" s="883"/>
    </row>
    <row r="463" spans="1:5">
      <c r="A463" s="911"/>
      <c r="B463" s="883"/>
      <c r="C463" s="883"/>
      <c r="D463" s="883"/>
      <c r="E463" s="883"/>
    </row>
    <row r="464" spans="1:5">
      <c r="A464" s="911"/>
      <c r="B464" s="883"/>
      <c r="C464" s="883"/>
      <c r="D464" s="883"/>
      <c r="E464" s="883"/>
    </row>
    <row r="465" spans="1:5">
      <c r="A465" s="911"/>
      <c r="B465" s="883"/>
      <c r="C465" s="883"/>
      <c r="D465" s="883"/>
      <c r="E465" s="883"/>
    </row>
    <row r="466" spans="1:5">
      <c r="A466" s="911"/>
      <c r="B466" s="883"/>
      <c r="C466" s="883"/>
      <c r="D466" s="883"/>
      <c r="E466" s="883"/>
    </row>
    <row r="467" spans="1:5">
      <c r="A467" s="911"/>
      <c r="B467" s="883"/>
      <c r="C467" s="883"/>
      <c r="D467" s="883"/>
      <c r="E467" s="883"/>
    </row>
    <row r="468" spans="1:5">
      <c r="A468" s="911"/>
      <c r="B468" s="883"/>
      <c r="C468" s="883"/>
      <c r="D468" s="883"/>
      <c r="E468" s="883"/>
    </row>
    <row r="469" spans="1:5">
      <c r="A469" s="911"/>
      <c r="B469" s="883"/>
      <c r="C469" s="883"/>
      <c r="D469" s="883"/>
      <c r="E469" s="883"/>
    </row>
    <row r="470" spans="1:5">
      <c r="A470" s="911"/>
      <c r="B470" s="883"/>
      <c r="C470" s="883"/>
      <c r="D470" s="883"/>
      <c r="E470" s="883"/>
    </row>
    <row r="471" spans="1:5">
      <c r="A471" s="911"/>
      <c r="B471" s="883"/>
      <c r="C471" s="883"/>
      <c r="D471" s="883"/>
      <c r="E471" s="883"/>
    </row>
    <row r="472" spans="1:5">
      <c r="A472" s="911"/>
      <c r="B472" s="883"/>
      <c r="C472" s="883"/>
      <c r="D472" s="883"/>
      <c r="E472" s="883"/>
    </row>
    <row r="473" spans="1:5">
      <c r="A473" s="911"/>
      <c r="B473" s="883"/>
      <c r="C473" s="883"/>
      <c r="D473" s="883"/>
      <c r="E473" s="883"/>
    </row>
    <row r="474" spans="1:5">
      <c r="A474" s="911"/>
      <c r="B474" s="883"/>
      <c r="C474" s="883"/>
      <c r="D474" s="883"/>
      <c r="E474" s="883"/>
    </row>
    <row r="475" spans="1:5">
      <c r="A475" s="911"/>
      <c r="B475" s="883"/>
      <c r="C475" s="883"/>
      <c r="D475" s="883"/>
      <c r="E475" s="883"/>
    </row>
    <row r="476" spans="1:5">
      <c r="A476" s="911"/>
      <c r="B476" s="883"/>
      <c r="C476" s="883"/>
      <c r="D476" s="883"/>
      <c r="E476" s="883"/>
    </row>
    <row r="477" spans="1:5">
      <c r="A477" s="911"/>
      <c r="B477" s="883"/>
      <c r="C477" s="883"/>
      <c r="D477" s="883"/>
      <c r="E477" s="883"/>
    </row>
    <row r="478" spans="1:5">
      <c r="A478" s="911"/>
      <c r="B478" s="883"/>
      <c r="C478" s="883"/>
      <c r="D478" s="883"/>
      <c r="E478" s="883"/>
    </row>
    <row r="479" spans="1:5">
      <c r="A479" s="911"/>
      <c r="B479" s="883"/>
      <c r="C479" s="883"/>
      <c r="D479" s="883"/>
      <c r="E479" s="883"/>
    </row>
    <row r="480" spans="1:5">
      <c r="A480" s="911"/>
      <c r="B480" s="883"/>
      <c r="C480" s="883"/>
      <c r="D480" s="883"/>
      <c r="E480" s="883"/>
    </row>
    <row r="481" spans="1:5">
      <c r="A481" s="911"/>
      <c r="B481" s="883"/>
      <c r="C481" s="883"/>
      <c r="D481" s="883"/>
      <c r="E481" s="883"/>
    </row>
    <row r="482" spans="1:5">
      <c r="A482" s="911"/>
      <c r="B482" s="883"/>
      <c r="C482" s="883"/>
      <c r="D482" s="883"/>
      <c r="E482" s="883"/>
    </row>
    <row r="483" spans="1:5">
      <c r="A483" s="911"/>
      <c r="B483" s="883"/>
      <c r="C483" s="883"/>
      <c r="D483" s="883"/>
      <c r="E483" s="883"/>
    </row>
    <row r="484" spans="1:5">
      <c r="A484" s="911"/>
      <c r="B484" s="883"/>
      <c r="C484" s="883"/>
      <c r="D484" s="883"/>
      <c r="E484" s="883"/>
    </row>
    <row r="485" spans="1:5">
      <c r="A485" s="911"/>
      <c r="B485" s="883"/>
      <c r="C485" s="883"/>
      <c r="D485" s="883"/>
      <c r="E485" s="883"/>
    </row>
    <row r="486" spans="1:5">
      <c r="A486" s="911"/>
      <c r="B486" s="883"/>
      <c r="C486" s="883"/>
      <c r="D486" s="883"/>
      <c r="E486" s="883"/>
    </row>
    <row r="487" spans="1:5">
      <c r="A487" s="911"/>
      <c r="B487" s="883"/>
      <c r="C487" s="883"/>
      <c r="D487" s="883"/>
      <c r="E487" s="883"/>
    </row>
    <row r="488" spans="1:5">
      <c r="A488" s="911"/>
      <c r="B488" s="883"/>
      <c r="C488" s="883"/>
      <c r="D488" s="883"/>
      <c r="E488" s="883"/>
    </row>
    <row r="489" spans="1:5">
      <c r="A489" s="911"/>
      <c r="B489" s="883"/>
      <c r="C489" s="883"/>
      <c r="D489" s="883"/>
      <c r="E489" s="883"/>
    </row>
    <row r="490" spans="1:5">
      <c r="A490" s="911"/>
      <c r="B490" s="883"/>
      <c r="C490" s="883"/>
      <c r="D490" s="883"/>
      <c r="E490" s="883"/>
    </row>
    <row r="491" spans="1:5">
      <c r="A491" s="911"/>
      <c r="B491" s="883"/>
      <c r="C491" s="883"/>
      <c r="D491" s="883"/>
      <c r="E491" s="883"/>
    </row>
    <row r="492" spans="1:5">
      <c r="A492" s="911"/>
      <c r="B492" s="883"/>
      <c r="C492" s="883"/>
      <c r="D492" s="883"/>
      <c r="E492" s="883"/>
    </row>
    <row r="493" spans="1:5">
      <c r="A493" s="911"/>
      <c r="B493" s="883"/>
      <c r="C493" s="883"/>
      <c r="D493" s="883"/>
      <c r="E493" s="883"/>
    </row>
    <row r="494" spans="1:5">
      <c r="A494" s="911"/>
      <c r="B494" s="883"/>
      <c r="C494" s="883"/>
      <c r="D494" s="883"/>
      <c r="E494" s="883"/>
    </row>
    <row r="495" spans="1:5">
      <c r="A495" s="911"/>
      <c r="B495" s="883"/>
      <c r="C495" s="883"/>
      <c r="D495" s="883"/>
      <c r="E495" s="883"/>
    </row>
    <row r="496" spans="1:5">
      <c r="A496" s="911"/>
      <c r="B496" s="883"/>
      <c r="C496" s="883"/>
      <c r="D496" s="883"/>
      <c r="E496" s="883"/>
    </row>
    <row r="497" spans="1:5">
      <c r="A497" s="911"/>
      <c r="B497" s="883"/>
      <c r="C497" s="883"/>
      <c r="D497" s="883"/>
      <c r="E497" s="883"/>
    </row>
    <row r="498" spans="1:5">
      <c r="A498" s="911"/>
      <c r="B498" s="883"/>
      <c r="C498" s="883"/>
      <c r="D498" s="883"/>
      <c r="E498" s="883"/>
    </row>
    <row r="499" spans="1:5">
      <c r="A499" s="911"/>
      <c r="B499" s="883"/>
      <c r="C499" s="883"/>
      <c r="D499" s="883"/>
      <c r="E499" s="883"/>
    </row>
    <row r="500" spans="1:5">
      <c r="A500" s="911"/>
      <c r="B500" s="883"/>
      <c r="C500" s="883"/>
      <c r="D500" s="883"/>
      <c r="E500" s="883"/>
    </row>
    <row r="501" spans="1:5">
      <c r="A501" s="911"/>
      <c r="B501" s="883"/>
      <c r="C501" s="883"/>
      <c r="D501" s="883"/>
      <c r="E501" s="883"/>
    </row>
    <row r="502" spans="1:5">
      <c r="A502" s="911"/>
      <c r="B502" s="883"/>
      <c r="C502" s="883"/>
      <c r="D502" s="883"/>
      <c r="E502" s="883"/>
    </row>
    <row r="503" spans="1:5">
      <c r="A503" s="911"/>
      <c r="B503" s="883"/>
      <c r="C503" s="883"/>
      <c r="D503" s="883"/>
      <c r="E503" s="883"/>
    </row>
    <row r="504" spans="1:5">
      <c r="A504" s="911"/>
      <c r="B504" s="883"/>
      <c r="C504" s="883"/>
      <c r="D504" s="883"/>
      <c r="E504" s="883"/>
    </row>
    <row r="505" spans="1:5">
      <c r="A505" s="911"/>
      <c r="B505" s="883"/>
      <c r="C505" s="883"/>
      <c r="D505" s="883"/>
      <c r="E505" s="883"/>
    </row>
    <row r="506" spans="1:5">
      <c r="A506" s="911"/>
      <c r="B506" s="883"/>
      <c r="C506" s="883"/>
      <c r="D506" s="883"/>
      <c r="E506" s="883"/>
    </row>
    <row r="507" spans="1:5">
      <c r="A507" s="911"/>
      <c r="B507" s="883"/>
      <c r="C507" s="883"/>
      <c r="D507" s="883"/>
      <c r="E507" s="883"/>
    </row>
    <row r="508" spans="1:5">
      <c r="A508" s="911"/>
      <c r="B508" s="883"/>
      <c r="C508" s="883"/>
      <c r="D508" s="883"/>
      <c r="E508" s="883"/>
    </row>
    <row r="509" spans="1:5">
      <c r="A509" s="911"/>
      <c r="B509" s="883"/>
      <c r="C509" s="883"/>
      <c r="D509" s="883"/>
      <c r="E509" s="883"/>
    </row>
    <row r="510" spans="1:5">
      <c r="A510" s="911"/>
      <c r="B510" s="883"/>
      <c r="C510" s="883"/>
      <c r="D510" s="883"/>
      <c r="E510" s="883"/>
    </row>
    <row r="511" spans="1:5">
      <c r="A511" s="911"/>
      <c r="B511" s="883"/>
      <c r="C511" s="883"/>
      <c r="D511" s="883"/>
      <c r="E511" s="883"/>
    </row>
    <row r="512" spans="1:5">
      <c r="A512" s="911"/>
      <c r="B512" s="883"/>
      <c r="C512" s="883"/>
      <c r="D512" s="883"/>
      <c r="E512" s="883"/>
    </row>
    <row r="513" spans="1:5">
      <c r="A513" s="911"/>
      <c r="B513" s="883"/>
      <c r="C513" s="883"/>
      <c r="D513" s="883"/>
      <c r="E513" s="883"/>
    </row>
    <row r="514" spans="1:5">
      <c r="A514" s="911"/>
      <c r="B514" s="883"/>
      <c r="C514" s="883"/>
      <c r="D514" s="883"/>
      <c r="E514" s="883"/>
    </row>
    <row r="515" spans="1:5">
      <c r="A515" s="911"/>
      <c r="B515" s="883"/>
      <c r="C515" s="883"/>
      <c r="D515" s="883"/>
      <c r="E515" s="883"/>
    </row>
    <row r="516" spans="1:5">
      <c r="A516" s="911"/>
      <c r="B516" s="883"/>
      <c r="C516" s="883"/>
      <c r="D516" s="883"/>
      <c r="E516" s="883"/>
    </row>
    <row r="517" spans="1:5">
      <c r="A517" s="911"/>
      <c r="B517" s="883"/>
      <c r="C517" s="883"/>
      <c r="D517" s="883"/>
      <c r="E517" s="883"/>
    </row>
    <row r="518" spans="1:5">
      <c r="A518" s="911"/>
      <c r="B518" s="883"/>
      <c r="C518" s="883"/>
      <c r="D518" s="883"/>
      <c r="E518" s="883"/>
    </row>
    <row r="519" spans="1:5">
      <c r="A519" s="911"/>
      <c r="B519" s="883"/>
      <c r="C519" s="883"/>
      <c r="D519" s="883"/>
      <c r="E519" s="883"/>
    </row>
    <row r="520" spans="1:5">
      <c r="A520" s="911"/>
      <c r="B520" s="883"/>
      <c r="C520" s="883"/>
      <c r="D520" s="883"/>
      <c r="E520" s="883"/>
    </row>
    <row r="521" spans="1:5">
      <c r="A521" s="911"/>
      <c r="B521" s="883"/>
      <c r="C521" s="883"/>
      <c r="D521" s="883"/>
      <c r="E521" s="883"/>
    </row>
    <row r="522" spans="1:5">
      <c r="A522" s="911"/>
      <c r="B522" s="883"/>
      <c r="C522" s="883"/>
      <c r="D522" s="883"/>
      <c r="E522" s="883"/>
    </row>
    <row r="523" spans="1:5">
      <c r="A523" s="911"/>
      <c r="B523" s="883"/>
      <c r="C523" s="883"/>
      <c r="D523" s="883"/>
      <c r="E523" s="883"/>
    </row>
    <row r="524" spans="1:5">
      <c r="A524" s="911"/>
      <c r="B524" s="883"/>
      <c r="C524" s="883"/>
      <c r="D524" s="883"/>
      <c r="E524" s="883"/>
    </row>
    <row r="525" spans="1:5">
      <c r="A525" s="911"/>
      <c r="B525" s="883"/>
      <c r="C525" s="883"/>
      <c r="D525" s="883"/>
      <c r="E525" s="883"/>
    </row>
    <row r="526" spans="1:5">
      <c r="A526" s="911"/>
      <c r="B526" s="883"/>
      <c r="C526" s="883"/>
      <c r="D526" s="883"/>
      <c r="E526" s="883"/>
    </row>
    <row r="527" spans="1:5">
      <c r="A527" s="911"/>
      <c r="B527" s="883"/>
      <c r="C527" s="883"/>
      <c r="D527" s="883"/>
      <c r="E527" s="883"/>
    </row>
    <row r="528" spans="1:5">
      <c r="A528" s="911"/>
      <c r="B528" s="883"/>
      <c r="C528" s="883"/>
      <c r="D528" s="883"/>
      <c r="E528" s="883"/>
    </row>
    <row r="529" spans="1:5">
      <c r="A529" s="911"/>
      <c r="B529" s="883"/>
      <c r="C529" s="883"/>
      <c r="D529" s="883"/>
      <c r="E529" s="883"/>
    </row>
    <row r="530" spans="1:5">
      <c r="A530" s="911"/>
      <c r="B530" s="883"/>
      <c r="C530" s="883"/>
      <c r="D530" s="883"/>
      <c r="E530" s="883"/>
    </row>
    <row r="531" spans="1:5">
      <c r="A531" s="911"/>
      <c r="B531" s="883"/>
      <c r="C531" s="883"/>
      <c r="D531" s="883"/>
      <c r="E531" s="883"/>
    </row>
    <row r="532" spans="1:5">
      <c r="A532" s="911"/>
      <c r="B532" s="883"/>
      <c r="C532" s="883"/>
      <c r="D532" s="883"/>
      <c r="E532" s="883"/>
    </row>
    <row r="533" spans="1:5">
      <c r="A533" s="911"/>
      <c r="B533" s="883"/>
      <c r="C533" s="883"/>
      <c r="D533" s="883"/>
      <c r="E533" s="883"/>
    </row>
    <row r="534" spans="1:5">
      <c r="A534" s="911"/>
      <c r="B534" s="883"/>
      <c r="C534" s="883"/>
      <c r="D534" s="883"/>
      <c r="E534" s="883"/>
    </row>
    <row r="535" spans="1:5">
      <c r="A535" s="911"/>
      <c r="B535" s="883"/>
      <c r="C535" s="883"/>
      <c r="D535" s="883"/>
      <c r="E535" s="883"/>
    </row>
    <row r="536" spans="1:5">
      <c r="A536" s="911"/>
      <c r="B536" s="883"/>
      <c r="C536" s="883"/>
      <c r="D536" s="883"/>
      <c r="E536" s="883"/>
    </row>
    <row r="537" spans="1:5">
      <c r="A537" s="911"/>
      <c r="B537" s="883"/>
      <c r="C537" s="883"/>
      <c r="D537" s="883"/>
      <c r="E537" s="883"/>
    </row>
    <row r="538" spans="1:5">
      <c r="A538" s="911"/>
      <c r="B538" s="883"/>
      <c r="C538" s="883"/>
      <c r="D538" s="883"/>
      <c r="E538" s="883"/>
    </row>
    <row r="539" spans="1:5">
      <c r="A539" s="911"/>
      <c r="B539" s="883"/>
      <c r="C539" s="883"/>
      <c r="D539" s="883"/>
      <c r="E539" s="883"/>
    </row>
    <row r="540" spans="1:5">
      <c r="A540" s="911"/>
      <c r="B540" s="883"/>
      <c r="C540" s="883"/>
      <c r="D540" s="883"/>
      <c r="E540" s="883"/>
    </row>
    <row r="541" spans="1:5">
      <c r="A541" s="911"/>
      <c r="B541" s="883"/>
      <c r="C541" s="883"/>
      <c r="D541" s="883"/>
      <c r="E541" s="883"/>
    </row>
    <row r="542" spans="1:5">
      <c r="A542" s="911"/>
      <c r="B542" s="883"/>
      <c r="C542" s="883"/>
      <c r="D542" s="883"/>
      <c r="E542" s="883"/>
    </row>
    <row r="543" spans="1:5">
      <c r="A543" s="911"/>
      <c r="B543" s="883"/>
      <c r="C543" s="883"/>
      <c r="D543" s="883"/>
      <c r="E543" s="883"/>
    </row>
    <row r="544" spans="1:5">
      <c r="A544" s="911"/>
      <c r="B544" s="883"/>
      <c r="C544" s="883"/>
      <c r="D544" s="883"/>
      <c r="E544" s="883"/>
    </row>
    <row r="545" spans="1:5">
      <c r="A545" s="911"/>
      <c r="B545" s="883"/>
      <c r="C545" s="883"/>
      <c r="D545" s="883"/>
      <c r="E545" s="883"/>
    </row>
    <row r="546" spans="1:5">
      <c r="A546" s="911"/>
      <c r="B546" s="883"/>
      <c r="C546" s="883"/>
      <c r="D546" s="883"/>
      <c r="E546" s="883"/>
    </row>
    <row r="547" spans="1:5">
      <c r="A547" s="911"/>
      <c r="B547" s="883"/>
      <c r="C547" s="883"/>
      <c r="D547" s="883"/>
      <c r="E547" s="883"/>
    </row>
    <row r="548" spans="1:5">
      <c r="A548" s="911"/>
      <c r="B548" s="883"/>
      <c r="C548" s="883"/>
      <c r="D548" s="883"/>
      <c r="E548" s="883"/>
    </row>
    <row r="549" spans="1:5">
      <c r="A549" s="911"/>
      <c r="B549" s="883"/>
      <c r="C549" s="883"/>
      <c r="D549" s="883"/>
      <c r="E549" s="883"/>
    </row>
    <row r="550" spans="1:5">
      <c r="A550" s="911"/>
      <c r="B550" s="883"/>
      <c r="C550" s="883"/>
      <c r="D550" s="883"/>
      <c r="E550" s="883"/>
    </row>
    <row r="551" spans="1:5">
      <c r="A551" s="911"/>
      <c r="B551" s="883"/>
      <c r="C551" s="883"/>
      <c r="D551" s="883"/>
      <c r="E551" s="883"/>
    </row>
    <row r="552" spans="1:5">
      <c r="A552" s="911"/>
      <c r="B552" s="883"/>
      <c r="C552" s="883"/>
      <c r="D552" s="883"/>
      <c r="E552" s="883"/>
    </row>
    <row r="553" spans="1:5">
      <c r="A553" s="911"/>
      <c r="B553" s="883"/>
      <c r="C553" s="883"/>
      <c r="D553" s="883"/>
      <c r="E553" s="883"/>
    </row>
    <row r="554" spans="1:5">
      <c r="A554" s="911"/>
      <c r="B554" s="883"/>
      <c r="C554" s="883"/>
      <c r="D554" s="883"/>
      <c r="E554" s="883"/>
    </row>
    <row r="555" spans="1:5">
      <c r="A555" s="911"/>
      <c r="B555" s="883"/>
      <c r="C555" s="883"/>
      <c r="D555" s="883"/>
      <c r="E555" s="883"/>
    </row>
    <row r="556" spans="1:5">
      <c r="A556" s="911"/>
      <c r="B556" s="883"/>
      <c r="C556" s="883"/>
      <c r="D556" s="883"/>
      <c r="E556" s="883"/>
    </row>
    <row r="557" spans="1:5">
      <c r="A557" s="911"/>
      <c r="B557" s="883"/>
      <c r="C557" s="883"/>
      <c r="D557" s="883"/>
      <c r="E557" s="883"/>
    </row>
    <row r="558" spans="1:5">
      <c r="A558" s="911"/>
      <c r="B558" s="883"/>
      <c r="C558" s="883"/>
      <c r="D558" s="883"/>
      <c r="E558" s="883"/>
    </row>
    <row r="559" spans="1:5">
      <c r="A559" s="911"/>
      <c r="B559" s="883"/>
      <c r="C559" s="883"/>
      <c r="D559" s="883"/>
      <c r="E559" s="883"/>
    </row>
    <row r="560" spans="1:5">
      <c r="A560" s="911"/>
      <c r="B560" s="883"/>
      <c r="C560" s="883"/>
      <c r="D560" s="883"/>
      <c r="E560" s="883"/>
    </row>
    <row r="561" spans="1:5">
      <c r="A561" s="911"/>
      <c r="B561" s="883"/>
      <c r="C561" s="883"/>
      <c r="D561" s="883"/>
      <c r="E561" s="883"/>
    </row>
    <row r="562" spans="1:5">
      <c r="A562" s="911"/>
      <c r="B562" s="883"/>
      <c r="C562" s="883"/>
      <c r="D562" s="883"/>
      <c r="E562" s="883"/>
    </row>
    <row r="563" spans="1:5">
      <c r="A563" s="911"/>
      <c r="B563" s="883"/>
      <c r="C563" s="883"/>
      <c r="D563" s="883"/>
      <c r="E563" s="883"/>
    </row>
    <row r="564" spans="1:5">
      <c r="A564" s="911"/>
      <c r="B564" s="883"/>
      <c r="C564" s="883"/>
      <c r="D564" s="883"/>
      <c r="E564" s="883"/>
    </row>
    <row r="565" spans="1:5">
      <c r="A565" s="911"/>
      <c r="B565" s="883"/>
      <c r="C565" s="883"/>
      <c r="D565" s="883"/>
      <c r="E565" s="883"/>
    </row>
    <row r="566" spans="1:5">
      <c r="A566" s="911"/>
      <c r="B566" s="883"/>
      <c r="C566" s="883"/>
      <c r="D566" s="883"/>
      <c r="E566" s="883"/>
    </row>
    <row r="567" spans="1:5">
      <c r="A567" s="911"/>
      <c r="B567" s="883"/>
      <c r="C567" s="883"/>
      <c r="D567" s="883"/>
      <c r="E567" s="883"/>
    </row>
    <row r="568" spans="1:5">
      <c r="A568" s="911"/>
      <c r="B568" s="883"/>
      <c r="C568" s="883"/>
      <c r="D568" s="883"/>
      <c r="E568" s="883"/>
    </row>
    <row r="569" spans="1:5">
      <c r="A569" s="911"/>
      <c r="B569" s="883"/>
      <c r="C569" s="883"/>
      <c r="D569" s="883"/>
      <c r="E569" s="883"/>
    </row>
    <row r="570" spans="1:5">
      <c r="A570" s="911"/>
      <c r="B570" s="883"/>
      <c r="C570" s="883"/>
      <c r="D570" s="883"/>
      <c r="E570" s="883"/>
    </row>
    <row r="571" spans="1:5">
      <c r="A571" s="911"/>
      <c r="B571" s="883"/>
      <c r="C571" s="883"/>
      <c r="D571" s="883"/>
      <c r="E571" s="883"/>
    </row>
    <row r="572" spans="1:5">
      <c r="A572" s="911"/>
      <c r="B572" s="883"/>
      <c r="C572" s="883"/>
      <c r="D572" s="883"/>
      <c r="E572" s="883"/>
    </row>
    <row r="573" spans="1:5">
      <c r="A573" s="911"/>
      <c r="B573" s="883"/>
      <c r="C573" s="883"/>
      <c r="D573" s="883"/>
      <c r="E573" s="883"/>
    </row>
    <row r="574" spans="1:5">
      <c r="A574" s="911"/>
      <c r="B574" s="883"/>
      <c r="C574" s="883"/>
      <c r="D574" s="883"/>
      <c r="E574" s="883"/>
    </row>
    <row r="575" spans="1:5">
      <c r="A575" s="911"/>
      <c r="B575" s="883"/>
      <c r="C575" s="883"/>
      <c r="D575" s="883"/>
      <c r="E575" s="883"/>
    </row>
    <row r="576" spans="1:5">
      <c r="A576" s="911"/>
      <c r="B576" s="883"/>
      <c r="C576" s="883"/>
      <c r="D576" s="883"/>
      <c r="E576" s="883"/>
    </row>
    <row r="577" spans="1:5">
      <c r="A577" s="911"/>
      <c r="B577" s="883"/>
      <c r="C577" s="883"/>
      <c r="D577" s="883"/>
      <c r="E577" s="883"/>
    </row>
    <row r="578" spans="1:5">
      <c r="A578" s="911"/>
      <c r="B578" s="883"/>
      <c r="C578" s="883"/>
      <c r="D578" s="883"/>
      <c r="E578" s="883"/>
    </row>
    <row r="579" spans="1:5">
      <c r="A579" s="911"/>
      <c r="B579" s="883"/>
      <c r="C579" s="883"/>
      <c r="D579" s="883"/>
      <c r="E579" s="883"/>
    </row>
    <row r="580" spans="1:5">
      <c r="A580" s="911"/>
      <c r="B580" s="883"/>
      <c r="C580" s="883"/>
      <c r="D580" s="883"/>
      <c r="E580" s="883"/>
    </row>
    <row r="581" spans="1:5">
      <c r="A581" s="911"/>
      <c r="B581" s="883"/>
      <c r="C581" s="883"/>
      <c r="D581" s="883"/>
      <c r="E581" s="883"/>
    </row>
    <row r="582" spans="1:5">
      <c r="A582" s="911"/>
      <c r="B582" s="883"/>
      <c r="C582" s="883"/>
      <c r="D582" s="883"/>
      <c r="E582" s="883"/>
    </row>
    <row r="583" spans="1:5">
      <c r="A583" s="911"/>
      <c r="B583" s="883"/>
      <c r="C583" s="883"/>
      <c r="D583" s="883"/>
      <c r="E583" s="883"/>
    </row>
    <row r="584" spans="1:5">
      <c r="A584" s="911"/>
      <c r="B584" s="883"/>
      <c r="C584" s="883"/>
      <c r="D584" s="883"/>
      <c r="E584" s="883"/>
    </row>
    <row r="585" spans="1:5">
      <c r="A585" s="911"/>
      <c r="B585" s="883"/>
      <c r="C585" s="883"/>
      <c r="D585" s="883"/>
      <c r="E585" s="883"/>
    </row>
    <row r="586" spans="1:5">
      <c r="A586" s="911"/>
      <c r="B586" s="883"/>
      <c r="C586" s="883"/>
      <c r="D586" s="883"/>
      <c r="E586" s="883"/>
    </row>
    <row r="587" spans="1:5">
      <c r="A587" s="911"/>
      <c r="B587" s="883"/>
      <c r="C587" s="883"/>
      <c r="D587" s="883"/>
      <c r="E587" s="883"/>
    </row>
    <row r="588" spans="1:5">
      <c r="A588" s="911"/>
      <c r="B588" s="883"/>
      <c r="C588" s="883"/>
      <c r="D588" s="883"/>
      <c r="E588" s="883"/>
    </row>
    <row r="589" spans="1:5">
      <c r="A589" s="911"/>
      <c r="B589" s="883"/>
      <c r="C589" s="883"/>
      <c r="D589" s="883"/>
      <c r="E589" s="883"/>
    </row>
    <row r="590" spans="1:5">
      <c r="A590" s="911"/>
      <c r="B590" s="883"/>
      <c r="C590" s="883"/>
      <c r="D590" s="883"/>
      <c r="E590" s="883"/>
    </row>
    <row r="591" spans="1:5">
      <c r="A591" s="911"/>
      <c r="B591" s="883"/>
      <c r="C591" s="883"/>
      <c r="D591" s="883"/>
      <c r="E591" s="883"/>
    </row>
    <row r="592" spans="1:5">
      <c r="A592" s="911"/>
      <c r="B592" s="883"/>
      <c r="C592" s="883"/>
      <c r="D592" s="883"/>
      <c r="E592" s="883"/>
    </row>
    <row r="593" spans="1:5">
      <c r="A593" s="911"/>
      <c r="B593" s="883"/>
      <c r="C593" s="883"/>
      <c r="D593" s="883"/>
      <c r="E593" s="883"/>
    </row>
    <row r="594" spans="1:5">
      <c r="A594" s="911"/>
      <c r="B594" s="883"/>
      <c r="C594" s="883"/>
      <c r="D594" s="883"/>
      <c r="E594" s="883"/>
    </row>
    <row r="595" spans="1:5">
      <c r="A595" s="911"/>
      <c r="B595" s="883"/>
      <c r="C595" s="883"/>
      <c r="D595" s="883"/>
      <c r="E595" s="883"/>
    </row>
    <row r="596" spans="1:5">
      <c r="A596" s="911"/>
      <c r="B596" s="883"/>
      <c r="C596" s="883"/>
      <c r="D596" s="883"/>
      <c r="E596" s="883"/>
    </row>
    <row r="597" spans="1:5">
      <c r="A597" s="911"/>
      <c r="B597" s="883"/>
      <c r="C597" s="883"/>
      <c r="D597" s="883"/>
      <c r="E597" s="883"/>
    </row>
    <row r="598" spans="1:5">
      <c r="A598" s="911"/>
      <c r="B598" s="883"/>
      <c r="C598" s="883"/>
      <c r="D598" s="883"/>
      <c r="E598" s="883"/>
    </row>
    <row r="599" spans="1:5">
      <c r="A599" s="911"/>
      <c r="B599" s="883"/>
      <c r="C599" s="883"/>
      <c r="D599" s="883"/>
      <c r="E599" s="883"/>
    </row>
    <row r="600" spans="1:5">
      <c r="A600" s="911"/>
      <c r="B600" s="883"/>
      <c r="C600" s="883"/>
      <c r="D600" s="883"/>
      <c r="E600" s="883"/>
    </row>
    <row r="601" spans="1:5">
      <c r="A601" s="911"/>
      <c r="B601" s="883"/>
      <c r="C601" s="883"/>
      <c r="D601" s="883"/>
      <c r="E601" s="883"/>
    </row>
    <row r="602" spans="1:5">
      <c r="A602" s="911"/>
      <c r="B602" s="883"/>
      <c r="C602" s="883"/>
      <c r="D602" s="883"/>
      <c r="E602" s="883"/>
    </row>
    <row r="603" spans="1:5">
      <c r="A603" s="911"/>
      <c r="B603" s="883"/>
      <c r="C603" s="883"/>
      <c r="D603" s="883"/>
      <c r="E603" s="883"/>
    </row>
    <row r="604" spans="1:5">
      <c r="A604" s="911"/>
      <c r="B604" s="883"/>
      <c r="C604" s="883"/>
      <c r="D604" s="883"/>
      <c r="E604" s="883"/>
    </row>
    <row r="605" spans="1:5">
      <c r="A605" s="911"/>
      <c r="B605" s="883"/>
      <c r="C605" s="883"/>
      <c r="D605" s="883"/>
      <c r="E605" s="883"/>
    </row>
    <row r="606" spans="1:5">
      <c r="A606" s="911"/>
      <c r="B606" s="883"/>
      <c r="C606" s="883"/>
      <c r="D606" s="883"/>
      <c r="E606" s="883"/>
    </row>
    <row r="607" spans="1:5">
      <c r="A607" s="911"/>
      <c r="B607" s="883"/>
      <c r="C607" s="883"/>
      <c r="D607" s="883"/>
      <c r="E607" s="883"/>
    </row>
    <row r="608" spans="1:5">
      <c r="A608" s="911"/>
      <c r="B608" s="883"/>
      <c r="C608" s="883"/>
      <c r="D608" s="883"/>
      <c r="E608" s="883"/>
    </row>
    <row r="609" spans="1:5">
      <c r="A609" s="911"/>
      <c r="B609" s="883"/>
      <c r="C609" s="883"/>
      <c r="D609" s="883"/>
      <c r="E609" s="883"/>
    </row>
    <row r="610" spans="1:5">
      <c r="A610" s="911"/>
      <c r="B610" s="883"/>
      <c r="C610" s="883"/>
      <c r="D610" s="883"/>
      <c r="E610" s="883"/>
    </row>
    <row r="611" spans="1:5">
      <c r="A611" s="911"/>
      <c r="B611" s="883"/>
      <c r="C611" s="883"/>
      <c r="D611" s="883"/>
      <c r="E611" s="883"/>
    </row>
    <row r="612" spans="1:5">
      <c r="A612" s="911"/>
      <c r="B612" s="883"/>
      <c r="C612" s="883"/>
      <c r="D612" s="883"/>
      <c r="E612" s="883"/>
    </row>
    <row r="613" spans="1:5">
      <c r="A613" s="911"/>
      <c r="B613" s="883"/>
      <c r="C613" s="883"/>
      <c r="D613" s="883"/>
      <c r="E613" s="883"/>
    </row>
    <row r="614" spans="1:5">
      <c r="A614" s="911"/>
      <c r="B614" s="883"/>
      <c r="C614" s="883"/>
      <c r="D614" s="883"/>
      <c r="E614" s="883"/>
    </row>
    <row r="615" spans="1:5">
      <c r="A615" s="911"/>
      <c r="B615" s="883"/>
      <c r="C615" s="883"/>
      <c r="D615" s="883"/>
      <c r="E615" s="883"/>
    </row>
    <row r="616" spans="1:5">
      <c r="A616" s="911"/>
      <c r="B616" s="883"/>
      <c r="C616" s="883"/>
      <c r="D616" s="883"/>
      <c r="E616" s="883"/>
    </row>
    <row r="617" spans="1:5">
      <c r="A617" s="911"/>
      <c r="B617" s="883"/>
      <c r="C617" s="883"/>
      <c r="D617" s="883"/>
      <c r="E617" s="883"/>
    </row>
    <row r="618" spans="1:5">
      <c r="A618" s="911"/>
      <c r="B618" s="883"/>
      <c r="C618" s="883"/>
      <c r="D618" s="883"/>
      <c r="E618" s="883"/>
    </row>
    <row r="619" spans="1:5">
      <c r="A619" s="911"/>
      <c r="B619" s="883"/>
      <c r="C619" s="883"/>
      <c r="D619" s="883"/>
      <c r="E619" s="883"/>
    </row>
    <row r="620" spans="1:5">
      <c r="A620" s="911"/>
      <c r="B620" s="883"/>
      <c r="C620" s="883"/>
      <c r="D620" s="883"/>
      <c r="E620" s="883"/>
    </row>
    <row r="621" spans="1:5">
      <c r="A621" s="911"/>
      <c r="B621" s="883"/>
      <c r="C621" s="883"/>
      <c r="D621" s="883"/>
      <c r="E621" s="883"/>
    </row>
    <row r="622" spans="1:5">
      <c r="A622" s="911"/>
      <c r="B622" s="883"/>
      <c r="C622" s="883"/>
      <c r="D622" s="883"/>
      <c r="E622" s="883"/>
    </row>
    <row r="623" spans="1:5">
      <c r="A623" s="911"/>
      <c r="B623" s="883"/>
      <c r="C623" s="883"/>
      <c r="D623" s="883"/>
      <c r="E623" s="883"/>
    </row>
    <row r="624" spans="1:5">
      <c r="A624" s="911"/>
      <c r="B624" s="883"/>
      <c r="C624" s="883"/>
      <c r="D624" s="883"/>
      <c r="E624" s="883"/>
    </row>
    <row r="625" spans="1:5">
      <c r="A625" s="911"/>
      <c r="B625" s="883"/>
      <c r="C625" s="883"/>
      <c r="D625" s="883"/>
      <c r="E625" s="883"/>
    </row>
    <row r="626" spans="1:5">
      <c r="A626" s="911"/>
      <c r="B626" s="883"/>
      <c r="C626" s="883"/>
      <c r="D626" s="883"/>
      <c r="E626" s="883"/>
    </row>
    <row r="627" spans="1:5">
      <c r="A627" s="911"/>
      <c r="B627" s="883"/>
      <c r="C627" s="883"/>
      <c r="D627" s="883"/>
      <c r="E627" s="883"/>
    </row>
    <row r="628" spans="1:5">
      <c r="A628" s="911"/>
      <c r="B628" s="883"/>
      <c r="C628" s="883"/>
      <c r="D628" s="883"/>
      <c r="E628" s="883"/>
    </row>
    <row r="629" spans="1:5" s="883" customFormat="1">
      <c r="A629" s="911"/>
    </row>
    <row r="630" spans="1:5" s="883" customFormat="1">
      <c r="A630" s="911"/>
    </row>
    <row r="631" spans="1:5" s="883" customFormat="1">
      <c r="A631" s="911"/>
    </row>
    <row r="632" spans="1:5" s="883" customFormat="1">
      <c r="A632" s="911"/>
    </row>
    <row r="633" spans="1:5" s="883" customFormat="1">
      <c r="A633" s="911"/>
    </row>
    <row r="634" spans="1:5" s="883" customFormat="1">
      <c r="A634" s="911"/>
    </row>
    <row r="635" spans="1:5" s="883" customFormat="1">
      <c r="A635" s="911"/>
    </row>
    <row r="636" spans="1:5" s="883" customFormat="1">
      <c r="A636" s="911"/>
    </row>
    <row r="637" spans="1:5" s="883" customFormat="1">
      <c r="A637" s="911"/>
    </row>
    <row r="638" spans="1:5" s="883" customFormat="1">
      <c r="A638" s="911"/>
    </row>
    <row r="639" spans="1:5" s="883" customFormat="1">
      <c r="A639" s="911"/>
    </row>
    <row r="640" spans="1:5" s="883" customFormat="1">
      <c r="A640" s="911"/>
    </row>
    <row r="641" spans="1:1" s="883" customFormat="1">
      <c r="A641" s="911"/>
    </row>
    <row r="642" spans="1:1" s="883" customFormat="1">
      <c r="A642" s="911"/>
    </row>
    <row r="643" spans="1:1" s="883" customFormat="1">
      <c r="A643" s="911"/>
    </row>
    <row r="644" spans="1:1" s="883" customFormat="1">
      <c r="A644" s="911"/>
    </row>
    <row r="645" spans="1:1" s="883" customFormat="1">
      <c r="A645" s="911"/>
    </row>
    <row r="646" spans="1:1" s="883" customFormat="1">
      <c r="A646" s="911"/>
    </row>
    <row r="647" spans="1:1" s="883" customFormat="1">
      <c r="A647" s="911"/>
    </row>
    <row r="648" spans="1:1" s="883" customFormat="1">
      <c r="A648" s="911"/>
    </row>
    <row r="649" spans="1:1" s="883" customFormat="1">
      <c r="A649" s="911"/>
    </row>
    <row r="650" spans="1:1" s="883" customFormat="1">
      <c r="A650" s="911"/>
    </row>
    <row r="651" spans="1:1" s="883" customFormat="1">
      <c r="A651" s="911"/>
    </row>
    <row r="652" spans="1:1" s="883" customFormat="1">
      <c r="A652" s="911"/>
    </row>
    <row r="653" spans="1:1" s="883" customFormat="1">
      <c r="A653" s="911"/>
    </row>
    <row r="654" spans="1:1" s="883" customFormat="1">
      <c r="A654" s="911"/>
    </row>
    <row r="655" spans="1:1" s="883" customFormat="1">
      <c r="A655" s="911"/>
    </row>
    <row r="656" spans="1:1" s="883" customFormat="1">
      <c r="A656" s="911"/>
    </row>
    <row r="657" spans="1:1" s="883" customFormat="1">
      <c r="A657" s="911"/>
    </row>
    <row r="658" spans="1:1" s="883" customFormat="1">
      <c r="A658" s="911"/>
    </row>
    <row r="659" spans="1:1" s="883" customFormat="1">
      <c r="A659" s="911"/>
    </row>
    <row r="660" spans="1:1" s="883" customFormat="1">
      <c r="A660" s="911"/>
    </row>
    <row r="661" spans="1:1" s="883" customFormat="1">
      <c r="A661" s="911"/>
    </row>
    <row r="662" spans="1:1" s="883" customFormat="1">
      <c r="A662" s="911"/>
    </row>
    <row r="663" spans="1:1" s="883" customFormat="1">
      <c r="A663" s="911"/>
    </row>
    <row r="664" spans="1:1" s="883" customFormat="1">
      <c r="A664" s="911"/>
    </row>
    <row r="665" spans="1:1" s="883" customFormat="1">
      <c r="A665" s="911"/>
    </row>
    <row r="666" spans="1:1" s="883" customFormat="1">
      <c r="A666" s="911"/>
    </row>
    <row r="667" spans="1:1" s="883" customFormat="1">
      <c r="A667" s="911"/>
    </row>
    <row r="668" spans="1:1" s="883" customFormat="1">
      <c r="A668" s="911"/>
    </row>
    <row r="669" spans="1:1" s="883" customFormat="1">
      <c r="A669" s="911"/>
    </row>
    <row r="670" spans="1:1" s="883" customFormat="1">
      <c r="A670" s="911"/>
    </row>
    <row r="671" spans="1:1" s="883" customFormat="1">
      <c r="A671" s="911"/>
    </row>
    <row r="672" spans="1:1" s="883" customFormat="1">
      <c r="A672" s="911"/>
    </row>
    <row r="673" spans="1:1" s="883" customFormat="1">
      <c r="A673" s="911"/>
    </row>
    <row r="674" spans="1:1" s="883" customFormat="1">
      <c r="A674" s="911"/>
    </row>
    <row r="675" spans="1:1" s="883" customFormat="1">
      <c r="A675" s="911"/>
    </row>
    <row r="676" spans="1:1" s="883" customFormat="1">
      <c r="A676" s="911"/>
    </row>
    <row r="677" spans="1:1" s="883" customFormat="1">
      <c r="A677" s="911"/>
    </row>
    <row r="678" spans="1:1" s="883" customFormat="1">
      <c r="A678" s="911"/>
    </row>
    <row r="679" spans="1:1" s="883" customFormat="1">
      <c r="A679" s="911"/>
    </row>
    <row r="680" spans="1:1" s="883" customFormat="1">
      <c r="A680" s="911"/>
    </row>
    <row r="681" spans="1:1" s="883" customFormat="1">
      <c r="A681" s="911"/>
    </row>
    <row r="682" spans="1:1" s="883" customFormat="1">
      <c r="A682" s="911"/>
    </row>
    <row r="683" spans="1:1" s="883" customFormat="1">
      <c r="A683" s="911"/>
    </row>
    <row r="684" spans="1:1" s="883" customFormat="1">
      <c r="A684" s="911"/>
    </row>
    <row r="685" spans="1:1" s="883" customFormat="1">
      <c r="A685" s="911"/>
    </row>
    <row r="686" spans="1:1" s="883" customFormat="1">
      <c r="A686" s="911"/>
    </row>
    <row r="687" spans="1:1" s="883" customFormat="1">
      <c r="A687" s="911"/>
    </row>
    <row r="688" spans="1:1" s="883" customFormat="1">
      <c r="A688" s="911"/>
    </row>
    <row r="689" spans="1:1" s="883" customFormat="1">
      <c r="A689" s="911"/>
    </row>
    <row r="690" spans="1:1" s="883" customFormat="1">
      <c r="A690" s="911"/>
    </row>
    <row r="691" spans="1:1" s="883" customFormat="1">
      <c r="A691" s="911"/>
    </row>
    <row r="692" spans="1:1" s="883" customFormat="1">
      <c r="A692" s="911"/>
    </row>
    <row r="693" spans="1:1" s="883" customFormat="1">
      <c r="A693" s="911"/>
    </row>
    <row r="694" spans="1:1" s="883" customFormat="1">
      <c r="A694" s="911"/>
    </row>
    <row r="695" spans="1:1" s="883" customFormat="1">
      <c r="A695" s="911"/>
    </row>
    <row r="696" spans="1:1" s="883" customFormat="1">
      <c r="A696" s="911"/>
    </row>
    <row r="697" spans="1:1" s="883" customFormat="1">
      <c r="A697" s="911"/>
    </row>
    <row r="698" spans="1:1" s="883" customFormat="1">
      <c r="A698" s="911"/>
    </row>
    <row r="699" spans="1:1" s="883" customFormat="1">
      <c r="A699" s="911"/>
    </row>
    <row r="700" spans="1:1" s="883" customFormat="1">
      <c r="A700" s="911"/>
    </row>
    <row r="701" spans="1:1" s="883" customFormat="1">
      <c r="A701" s="911"/>
    </row>
    <row r="702" spans="1:1" s="883" customFormat="1">
      <c r="A702" s="911"/>
    </row>
    <row r="703" spans="1:1" s="883" customFormat="1">
      <c r="A703" s="911"/>
    </row>
    <row r="704" spans="1:1" s="883" customFormat="1">
      <c r="A704" s="911"/>
    </row>
    <row r="705" spans="1:1" s="883" customFormat="1">
      <c r="A705" s="911"/>
    </row>
    <row r="706" spans="1:1" s="883" customFormat="1">
      <c r="A706" s="911"/>
    </row>
    <row r="707" spans="1:1" s="883" customFormat="1">
      <c r="A707" s="911"/>
    </row>
    <row r="708" spans="1:1" s="883" customFormat="1">
      <c r="A708" s="911"/>
    </row>
    <row r="709" spans="1:1" s="883" customFormat="1">
      <c r="A709" s="911"/>
    </row>
    <row r="710" spans="1:1" s="883" customFormat="1">
      <c r="A710" s="911"/>
    </row>
    <row r="711" spans="1:1" s="883" customFormat="1">
      <c r="A711" s="911"/>
    </row>
    <row r="712" spans="1:1" s="883" customFormat="1">
      <c r="A712" s="911"/>
    </row>
    <row r="713" spans="1:1" s="883" customFormat="1">
      <c r="A713" s="911"/>
    </row>
    <row r="714" spans="1:1" s="883" customFormat="1">
      <c r="A714" s="911"/>
    </row>
    <row r="715" spans="1:1" s="883" customFormat="1">
      <c r="A715" s="911"/>
    </row>
    <row r="716" spans="1:1" s="883" customFormat="1">
      <c r="A716" s="911"/>
    </row>
    <row r="717" spans="1:1" s="883" customFormat="1">
      <c r="A717" s="911"/>
    </row>
    <row r="718" spans="1:1" s="883" customFormat="1">
      <c r="A718" s="911"/>
    </row>
    <row r="719" spans="1:1" s="883" customFormat="1">
      <c r="A719" s="911"/>
    </row>
    <row r="720" spans="1:1" s="883" customFormat="1">
      <c r="A720" s="911"/>
    </row>
    <row r="721" spans="1:1" s="883" customFormat="1">
      <c r="A721" s="911"/>
    </row>
    <row r="722" spans="1:1" s="883" customFormat="1">
      <c r="A722" s="911"/>
    </row>
    <row r="723" spans="1:1" s="883" customFormat="1">
      <c r="A723" s="911"/>
    </row>
    <row r="724" spans="1:1" s="883" customFormat="1">
      <c r="A724" s="911"/>
    </row>
    <row r="725" spans="1:1" s="883" customFormat="1">
      <c r="A725" s="911"/>
    </row>
    <row r="726" spans="1:1" s="883" customFormat="1">
      <c r="A726" s="911"/>
    </row>
    <row r="727" spans="1:1" s="883" customFormat="1">
      <c r="A727" s="911"/>
    </row>
    <row r="728" spans="1:1" s="883" customFormat="1">
      <c r="A728" s="911"/>
    </row>
    <row r="729" spans="1:1" s="883" customFormat="1">
      <c r="A729" s="911"/>
    </row>
    <row r="730" spans="1:1" s="883" customFormat="1">
      <c r="A730" s="911"/>
    </row>
    <row r="731" spans="1:1" s="883" customFormat="1">
      <c r="A731" s="911"/>
    </row>
    <row r="732" spans="1:1" s="883" customFormat="1">
      <c r="A732" s="911"/>
    </row>
    <row r="733" spans="1:1" s="883" customFormat="1">
      <c r="A733" s="911"/>
    </row>
    <row r="734" spans="1:1" s="883" customFormat="1">
      <c r="A734" s="911"/>
    </row>
    <row r="735" spans="1:1" s="883" customFormat="1">
      <c r="A735" s="911"/>
    </row>
    <row r="736" spans="1:1" s="883" customFormat="1">
      <c r="A736" s="911"/>
    </row>
    <row r="737" spans="1:1" s="883" customFormat="1">
      <c r="A737" s="911"/>
    </row>
    <row r="738" spans="1:1" s="883" customFormat="1">
      <c r="A738" s="911"/>
    </row>
    <row r="739" spans="1:1" s="883" customFormat="1">
      <c r="A739" s="911"/>
    </row>
    <row r="740" spans="1:1" s="883" customFormat="1">
      <c r="A740" s="911"/>
    </row>
    <row r="741" spans="1:1" s="883" customFormat="1">
      <c r="A741" s="911"/>
    </row>
    <row r="742" spans="1:1" s="883" customFormat="1">
      <c r="A742" s="911"/>
    </row>
    <row r="743" spans="1:1" s="883" customFormat="1">
      <c r="A743" s="911"/>
    </row>
    <row r="744" spans="1:1" s="883" customFormat="1">
      <c r="A744" s="911"/>
    </row>
    <row r="745" spans="1:1" s="883" customFormat="1">
      <c r="A745" s="911"/>
    </row>
    <row r="746" spans="1:1" s="883" customFormat="1">
      <c r="A746" s="911"/>
    </row>
    <row r="747" spans="1:1" s="883" customFormat="1">
      <c r="A747" s="911"/>
    </row>
    <row r="748" spans="1:1" s="883" customFormat="1">
      <c r="A748" s="911"/>
    </row>
    <row r="749" spans="1:1" s="883" customFormat="1">
      <c r="A749" s="911"/>
    </row>
    <row r="750" spans="1:1" s="883" customFormat="1">
      <c r="A750" s="911"/>
    </row>
    <row r="751" spans="1:1" s="883" customFormat="1">
      <c r="A751" s="911"/>
    </row>
    <row r="752" spans="1:1" s="883" customFormat="1">
      <c r="A752" s="911"/>
    </row>
    <row r="753" spans="1:1" s="883" customFormat="1">
      <c r="A753" s="911"/>
    </row>
    <row r="754" spans="1:1" s="883" customFormat="1">
      <c r="A754" s="911"/>
    </row>
    <row r="755" spans="1:1" s="883" customFormat="1">
      <c r="A755" s="911"/>
    </row>
    <row r="756" spans="1:1" s="883" customFormat="1">
      <c r="A756" s="911"/>
    </row>
    <row r="757" spans="1:1" s="883" customFormat="1">
      <c r="A757" s="911"/>
    </row>
    <row r="758" spans="1:1" s="883" customFormat="1">
      <c r="A758" s="911"/>
    </row>
    <row r="759" spans="1:1" s="883" customFormat="1">
      <c r="A759" s="911"/>
    </row>
    <row r="760" spans="1:1" s="883" customFormat="1">
      <c r="A760" s="911"/>
    </row>
    <row r="761" spans="1:1" s="883" customFormat="1">
      <c r="A761" s="911"/>
    </row>
    <row r="762" spans="1:1" s="883" customFormat="1">
      <c r="A762" s="911"/>
    </row>
    <row r="763" spans="1:1" s="883" customFormat="1">
      <c r="A763" s="911"/>
    </row>
    <row r="764" spans="1:1" s="883" customFormat="1">
      <c r="A764" s="911"/>
    </row>
    <row r="765" spans="1:1" s="883" customFormat="1">
      <c r="A765" s="911"/>
    </row>
    <row r="766" spans="1:1" s="883" customFormat="1">
      <c r="A766" s="911"/>
    </row>
    <row r="767" spans="1:1" s="883" customFormat="1">
      <c r="A767" s="911"/>
    </row>
    <row r="768" spans="1:1" s="883" customFormat="1">
      <c r="A768" s="911"/>
    </row>
    <row r="769" spans="1:1" s="883" customFormat="1">
      <c r="A769" s="911"/>
    </row>
    <row r="770" spans="1:1" s="883" customFormat="1">
      <c r="A770" s="911"/>
    </row>
    <row r="771" spans="1:1" s="883" customFormat="1">
      <c r="A771" s="911"/>
    </row>
    <row r="772" spans="1:1" s="883" customFormat="1">
      <c r="A772" s="911"/>
    </row>
    <row r="773" spans="1:1" s="883" customFormat="1">
      <c r="A773" s="911"/>
    </row>
    <row r="774" spans="1:1" s="883" customFormat="1">
      <c r="A774" s="911"/>
    </row>
    <row r="775" spans="1:1" s="883" customFormat="1">
      <c r="A775" s="911"/>
    </row>
    <row r="776" spans="1:1" s="883" customFormat="1">
      <c r="A776" s="911"/>
    </row>
    <row r="777" spans="1:1" s="883" customFormat="1">
      <c r="A777" s="911"/>
    </row>
    <row r="778" spans="1:1" s="883" customFormat="1">
      <c r="A778" s="911"/>
    </row>
    <row r="779" spans="1:1" s="883" customFormat="1">
      <c r="A779" s="911"/>
    </row>
    <row r="780" spans="1:1" s="883" customFormat="1">
      <c r="A780" s="911"/>
    </row>
    <row r="781" spans="1:1" s="883" customFormat="1">
      <c r="A781" s="911"/>
    </row>
    <row r="782" spans="1:1" s="883" customFormat="1">
      <c r="A782" s="911"/>
    </row>
    <row r="783" spans="1:1" s="883" customFormat="1">
      <c r="A783" s="911"/>
    </row>
    <row r="784" spans="1:1" s="883" customFormat="1">
      <c r="A784" s="911"/>
    </row>
    <row r="785" spans="1:1" s="883" customFormat="1">
      <c r="A785" s="911"/>
    </row>
    <row r="786" spans="1:1" s="883" customFormat="1">
      <c r="A786" s="911"/>
    </row>
    <row r="787" spans="1:1" s="883" customFormat="1">
      <c r="A787" s="911"/>
    </row>
    <row r="788" spans="1:1" s="883" customFormat="1">
      <c r="A788" s="911"/>
    </row>
    <row r="789" spans="1:1" s="883" customFormat="1">
      <c r="A789" s="911"/>
    </row>
    <row r="790" spans="1:1" s="883" customFormat="1">
      <c r="A790" s="911"/>
    </row>
    <row r="791" spans="1:1" s="883" customFormat="1">
      <c r="A791" s="911"/>
    </row>
    <row r="792" spans="1:1" s="883" customFormat="1">
      <c r="A792" s="911"/>
    </row>
    <row r="793" spans="1:1" s="883" customFormat="1">
      <c r="A793" s="911"/>
    </row>
    <row r="794" spans="1:1" s="883" customFormat="1">
      <c r="A794" s="911"/>
    </row>
    <row r="795" spans="1:1" s="883" customFormat="1">
      <c r="A795" s="911"/>
    </row>
    <row r="796" spans="1:1" s="883" customFormat="1">
      <c r="A796" s="911"/>
    </row>
    <row r="797" spans="1:1" s="883" customFormat="1">
      <c r="A797" s="911"/>
    </row>
    <row r="798" spans="1:1" s="883" customFormat="1">
      <c r="A798" s="911"/>
    </row>
    <row r="799" spans="1:1" s="883" customFormat="1">
      <c r="A799" s="911"/>
    </row>
    <row r="800" spans="1:1" s="883" customFormat="1">
      <c r="A800" s="911"/>
    </row>
    <row r="801" spans="1:1" s="883" customFormat="1">
      <c r="A801" s="911"/>
    </row>
    <row r="802" spans="1:1" s="883" customFormat="1">
      <c r="A802" s="911"/>
    </row>
    <row r="803" spans="1:1" s="883" customFormat="1">
      <c r="A803" s="911"/>
    </row>
    <row r="804" spans="1:1" s="883" customFormat="1">
      <c r="A804" s="911"/>
    </row>
    <row r="805" spans="1:1" s="883" customFormat="1">
      <c r="A805" s="911"/>
    </row>
    <row r="806" spans="1:1" s="883" customFormat="1">
      <c r="A806" s="911"/>
    </row>
    <row r="807" spans="1:1" s="883" customFormat="1">
      <c r="A807" s="911"/>
    </row>
    <row r="808" spans="1:1" s="883" customFormat="1">
      <c r="A808" s="911"/>
    </row>
    <row r="809" spans="1:1" s="883" customFormat="1">
      <c r="A809" s="911"/>
    </row>
    <row r="810" spans="1:1" s="883" customFormat="1">
      <c r="A810" s="911"/>
    </row>
    <row r="811" spans="1:1" s="883" customFormat="1">
      <c r="A811" s="911"/>
    </row>
    <row r="812" spans="1:1" s="883" customFormat="1">
      <c r="A812" s="911"/>
    </row>
    <row r="813" spans="1:1" s="883" customFormat="1">
      <c r="A813" s="911"/>
    </row>
    <row r="814" spans="1:1" s="883" customFormat="1">
      <c r="A814" s="911"/>
    </row>
    <row r="815" spans="1:1" s="883" customFormat="1">
      <c r="A815" s="911"/>
    </row>
    <row r="816" spans="1:1" s="883" customFormat="1">
      <c r="A816" s="911"/>
    </row>
    <row r="817" spans="1:1" s="883" customFormat="1">
      <c r="A817" s="911"/>
    </row>
    <row r="818" spans="1:1" s="883" customFormat="1">
      <c r="A818" s="911"/>
    </row>
    <row r="819" spans="1:1" s="883" customFormat="1">
      <c r="A819" s="911"/>
    </row>
    <row r="820" spans="1:1" s="883" customFormat="1">
      <c r="A820" s="911"/>
    </row>
    <row r="821" spans="1:1" s="883" customFormat="1">
      <c r="A821" s="911"/>
    </row>
    <row r="822" spans="1:1" s="883" customFormat="1">
      <c r="A822" s="911"/>
    </row>
    <row r="823" spans="1:1" s="883" customFormat="1">
      <c r="A823" s="911"/>
    </row>
    <row r="824" spans="1:1" s="883" customFormat="1">
      <c r="A824" s="911"/>
    </row>
    <row r="825" spans="1:1" s="883" customFormat="1">
      <c r="A825" s="911"/>
    </row>
    <row r="826" spans="1:1" s="883" customFormat="1">
      <c r="A826" s="911"/>
    </row>
    <row r="827" spans="1:1" s="883" customFormat="1">
      <c r="A827" s="911"/>
    </row>
    <row r="828" spans="1:1" s="883" customFormat="1">
      <c r="A828" s="911"/>
    </row>
    <row r="829" spans="1:1" s="883" customFormat="1">
      <c r="A829" s="911"/>
    </row>
    <row r="830" spans="1:1" s="883" customFormat="1">
      <c r="A830" s="911"/>
    </row>
    <row r="831" spans="1:1" s="883" customFormat="1">
      <c r="A831" s="911"/>
    </row>
    <row r="832" spans="1:1" s="883" customFormat="1">
      <c r="A832" s="911"/>
    </row>
    <row r="833" spans="1:1" s="883" customFormat="1">
      <c r="A833" s="911"/>
    </row>
    <row r="834" spans="1:1" s="883" customFormat="1">
      <c r="A834" s="911"/>
    </row>
    <row r="835" spans="1:1" s="883" customFormat="1">
      <c r="A835" s="911"/>
    </row>
    <row r="836" spans="1:1" s="883" customFormat="1">
      <c r="A836" s="911"/>
    </row>
    <row r="837" spans="1:1" s="883" customFormat="1">
      <c r="A837" s="911"/>
    </row>
    <row r="838" spans="1:1" s="883" customFormat="1">
      <c r="A838" s="911"/>
    </row>
    <row r="839" spans="1:1" s="883" customFormat="1">
      <c r="A839" s="911"/>
    </row>
    <row r="840" spans="1:1" s="883" customFormat="1">
      <c r="A840" s="911"/>
    </row>
    <row r="841" spans="1:1" s="883" customFormat="1">
      <c r="A841" s="911"/>
    </row>
    <row r="842" spans="1:1" s="883" customFormat="1">
      <c r="A842" s="911"/>
    </row>
    <row r="843" spans="1:1" s="883" customFormat="1">
      <c r="A843" s="911"/>
    </row>
    <row r="844" spans="1:1" s="883" customFormat="1">
      <c r="A844" s="911"/>
    </row>
    <row r="845" spans="1:1" s="883" customFormat="1">
      <c r="A845" s="911"/>
    </row>
    <row r="846" spans="1:1" s="883" customFormat="1">
      <c r="A846" s="911"/>
    </row>
    <row r="847" spans="1:1" s="883" customFormat="1">
      <c r="A847" s="911"/>
    </row>
    <row r="848" spans="1:1" s="883" customFormat="1">
      <c r="A848" s="911"/>
    </row>
    <row r="849" spans="1:1" s="883" customFormat="1">
      <c r="A849" s="911"/>
    </row>
    <row r="850" spans="1:1" s="883" customFormat="1">
      <c r="A850" s="911"/>
    </row>
    <row r="851" spans="1:1" s="883" customFormat="1">
      <c r="A851" s="911"/>
    </row>
    <row r="852" spans="1:1" s="883" customFormat="1">
      <c r="A852" s="911"/>
    </row>
    <row r="853" spans="1:1" s="883" customFormat="1">
      <c r="A853" s="911"/>
    </row>
    <row r="854" spans="1:1" s="883" customFormat="1">
      <c r="A854" s="911"/>
    </row>
    <row r="855" spans="1:1" s="883" customFormat="1">
      <c r="A855" s="911"/>
    </row>
    <row r="856" spans="1:1" s="883" customFormat="1">
      <c r="A856" s="911"/>
    </row>
    <row r="857" spans="1:1" s="883" customFormat="1">
      <c r="A857" s="911"/>
    </row>
    <row r="858" spans="1:1" s="883" customFormat="1">
      <c r="A858" s="911"/>
    </row>
    <row r="859" spans="1:1" s="883" customFormat="1">
      <c r="A859" s="911"/>
    </row>
    <row r="860" spans="1:1" s="883" customFormat="1">
      <c r="A860" s="911"/>
    </row>
    <row r="861" spans="1:1" s="883" customFormat="1">
      <c r="A861" s="911"/>
    </row>
    <row r="862" spans="1:1" s="883" customFormat="1">
      <c r="A862" s="911"/>
    </row>
    <row r="863" spans="1:1" s="883" customFormat="1">
      <c r="A863" s="911"/>
    </row>
    <row r="864" spans="1:1" s="883" customFormat="1">
      <c r="A864" s="911"/>
    </row>
    <row r="865" spans="1:1" s="883" customFormat="1">
      <c r="A865" s="911"/>
    </row>
    <row r="866" spans="1:1" s="883" customFormat="1">
      <c r="A866" s="911"/>
    </row>
    <row r="867" spans="1:1" s="883" customFormat="1">
      <c r="A867" s="911"/>
    </row>
    <row r="868" spans="1:1" s="883" customFormat="1">
      <c r="A868" s="911"/>
    </row>
    <row r="869" spans="1:1" s="883" customFormat="1">
      <c r="A869" s="911"/>
    </row>
    <row r="870" spans="1:1" s="883" customFormat="1">
      <c r="A870" s="911"/>
    </row>
    <row r="871" spans="1:1" s="883" customFormat="1">
      <c r="A871" s="911"/>
    </row>
    <row r="872" spans="1:1" s="883" customFormat="1">
      <c r="A872" s="911"/>
    </row>
    <row r="873" spans="1:1" s="883" customFormat="1">
      <c r="A873" s="911"/>
    </row>
    <row r="874" spans="1:1" s="883" customFormat="1">
      <c r="A874" s="911"/>
    </row>
    <row r="875" spans="1:1" s="883" customFormat="1">
      <c r="A875" s="911"/>
    </row>
    <row r="876" spans="1:1" s="883" customFormat="1">
      <c r="A876" s="911"/>
    </row>
    <row r="877" spans="1:1" s="883" customFormat="1">
      <c r="A877" s="911"/>
    </row>
    <row r="878" spans="1:1" s="883" customFormat="1">
      <c r="A878" s="911"/>
    </row>
    <row r="879" spans="1:1" s="883" customFormat="1">
      <c r="A879" s="911"/>
    </row>
    <row r="880" spans="1:1" s="883" customFormat="1">
      <c r="A880" s="911"/>
    </row>
    <row r="881" spans="1:1" s="883" customFormat="1">
      <c r="A881" s="911"/>
    </row>
    <row r="882" spans="1:1" s="883" customFormat="1">
      <c r="A882" s="911"/>
    </row>
    <row r="883" spans="1:1" s="883" customFormat="1">
      <c r="A883" s="911"/>
    </row>
    <row r="884" spans="1:1" s="883" customFormat="1">
      <c r="A884" s="911"/>
    </row>
    <row r="885" spans="1:1" s="883" customFormat="1">
      <c r="A885" s="911"/>
    </row>
    <row r="886" spans="1:1" s="883" customFormat="1">
      <c r="A886" s="911"/>
    </row>
    <row r="887" spans="1:1" s="883" customFormat="1">
      <c r="A887" s="911"/>
    </row>
    <row r="888" spans="1:1" s="883" customFormat="1">
      <c r="A888" s="911"/>
    </row>
    <row r="889" spans="1:1" s="883" customFormat="1">
      <c r="A889" s="911"/>
    </row>
    <row r="890" spans="1:1" s="883" customFormat="1">
      <c r="A890" s="911"/>
    </row>
    <row r="891" spans="1:1" s="883" customFormat="1">
      <c r="A891" s="911"/>
    </row>
    <row r="892" spans="1:1" s="883" customFormat="1">
      <c r="A892" s="911"/>
    </row>
    <row r="893" spans="1:1" s="883" customFormat="1">
      <c r="A893" s="911"/>
    </row>
    <row r="894" spans="1:1" s="883" customFormat="1">
      <c r="A894" s="911"/>
    </row>
    <row r="895" spans="1:1" s="883" customFormat="1">
      <c r="A895" s="911"/>
    </row>
    <row r="896" spans="1:1" s="883" customFormat="1">
      <c r="A896" s="911"/>
    </row>
    <row r="897" spans="1:1" s="883" customFormat="1">
      <c r="A897" s="911"/>
    </row>
    <row r="898" spans="1:1" s="883" customFormat="1">
      <c r="A898" s="911"/>
    </row>
    <row r="899" spans="1:1" s="883" customFormat="1">
      <c r="A899" s="911"/>
    </row>
    <row r="900" spans="1:1" s="883" customFormat="1">
      <c r="A900" s="911"/>
    </row>
    <row r="901" spans="1:1" s="883" customFormat="1">
      <c r="A901" s="911"/>
    </row>
    <row r="902" spans="1:1" s="883" customFormat="1">
      <c r="A902" s="911"/>
    </row>
    <row r="903" spans="1:1" s="883" customFormat="1">
      <c r="A903" s="911"/>
    </row>
    <row r="904" spans="1:1" s="883" customFormat="1">
      <c r="A904" s="911"/>
    </row>
    <row r="905" spans="1:1" s="883" customFormat="1">
      <c r="A905" s="911"/>
    </row>
    <row r="906" spans="1:1" s="883" customFormat="1">
      <c r="A906" s="911"/>
    </row>
    <row r="907" spans="1:1" s="883" customFormat="1">
      <c r="A907" s="911"/>
    </row>
    <row r="908" spans="1:1" s="883" customFormat="1">
      <c r="A908" s="911"/>
    </row>
    <row r="909" spans="1:1" s="883" customFormat="1">
      <c r="A909" s="911"/>
    </row>
    <row r="910" spans="1:1" s="883" customFormat="1">
      <c r="A910" s="911"/>
    </row>
    <row r="911" spans="1:1" s="883" customFormat="1">
      <c r="A911" s="911"/>
    </row>
    <row r="912" spans="1:1" s="883" customFormat="1">
      <c r="A912" s="911"/>
    </row>
    <row r="913" spans="1:1" s="883" customFormat="1">
      <c r="A913" s="911"/>
    </row>
    <row r="914" spans="1:1" s="883" customFormat="1">
      <c r="A914" s="911"/>
    </row>
    <row r="915" spans="1:1" s="883" customFormat="1">
      <c r="A915" s="911"/>
    </row>
    <row r="916" spans="1:1" s="883" customFormat="1">
      <c r="A916" s="911"/>
    </row>
    <row r="917" spans="1:1" s="883" customFormat="1">
      <c r="A917" s="911"/>
    </row>
    <row r="918" spans="1:1" s="883" customFormat="1">
      <c r="A918" s="911"/>
    </row>
    <row r="919" spans="1:1" s="883" customFormat="1">
      <c r="A919" s="911"/>
    </row>
    <row r="920" spans="1:1" s="883" customFormat="1">
      <c r="A920" s="911"/>
    </row>
    <row r="921" spans="1:1" s="883" customFormat="1">
      <c r="A921" s="911"/>
    </row>
    <row r="922" spans="1:1" s="883" customFormat="1">
      <c r="A922" s="911"/>
    </row>
    <row r="923" spans="1:1" s="883" customFormat="1">
      <c r="A923" s="911"/>
    </row>
    <row r="924" spans="1:1" s="883" customFormat="1">
      <c r="A924" s="911"/>
    </row>
    <row r="925" spans="1:1" s="883" customFormat="1">
      <c r="A925" s="911"/>
    </row>
    <row r="926" spans="1:1" s="883" customFormat="1">
      <c r="A926" s="911"/>
    </row>
    <row r="927" spans="1:1" s="883" customFormat="1">
      <c r="A927" s="911"/>
    </row>
    <row r="928" spans="1:1" s="883" customFormat="1">
      <c r="A928" s="911"/>
    </row>
    <row r="929" spans="1:1" s="883" customFormat="1">
      <c r="A929" s="911"/>
    </row>
    <row r="930" spans="1:1" s="883" customFormat="1">
      <c r="A930" s="911"/>
    </row>
    <row r="931" spans="1:1" s="883" customFormat="1">
      <c r="A931" s="911"/>
    </row>
    <row r="932" spans="1:1" s="883" customFormat="1">
      <c r="A932" s="911"/>
    </row>
    <row r="933" spans="1:1" s="883" customFormat="1">
      <c r="A933" s="911"/>
    </row>
    <row r="934" spans="1:1" s="883" customFormat="1">
      <c r="A934" s="911"/>
    </row>
    <row r="935" spans="1:1" s="883" customFormat="1">
      <c r="A935" s="911"/>
    </row>
    <row r="936" spans="1:1" s="883" customFormat="1">
      <c r="A936" s="911"/>
    </row>
    <row r="937" spans="1:1" s="883" customFormat="1">
      <c r="A937" s="911"/>
    </row>
    <row r="938" spans="1:1" s="883" customFormat="1">
      <c r="A938" s="911"/>
    </row>
    <row r="939" spans="1:1" s="883" customFormat="1">
      <c r="A939" s="911"/>
    </row>
    <row r="940" spans="1:1" s="883" customFormat="1">
      <c r="A940" s="911"/>
    </row>
    <row r="941" spans="1:1" s="883" customFormat="1">
      <c r="A941" s="911"/>
    </row>
    <row r="942" spans="1:1" s="883" customFormat="1">
      <c r="A942" s="911"/>
    </row>
    <row r="943" spans="1:1" s="883" customFormat="1">
      <c r="A943" s="911"/>
    </row>
    <row r="944" spans="1:1" s="883" customFormat="1">
      <c r="A944" s="911"/>
    </row>
    <row r="945" spans="1:1" s="883" customFormat="1">
      <c r="A945" s="911"/>
    </row>
    <row r="946" spans="1:1" s="883" customFormat="1">
      <c r="A946" s="911"/>
    </row>
    <row r="947" spans="1:1" s="883" customFormat="1">
      <c r="A947" s="911"/>
    </row>
    <row r="948" spans="1:1" s="883" customFormat="1">
      <c r="A948" s="911"/>
    </row>
    <row r="949" spans="1:1" s="883" customFormat="1">
      <c r="A949" s="911"/>
    </row>
    <row r="950" spans="1:1" s="883" customFormat="1">
      <c r="A950" s="911"/>
    </row>
    <row r="951" spans="1:1" s="883" customFormat="1">
      <c r="A951" s="911"/>
    </row>
    <row r="952" spans="1:1" s="883" customFormat="1">
      <c r="A952" s="911"/>
    </row>
    <row r="953" spans="1:1" s="883" customFormat="1">
      <c r="A953" s="911"/>
    </row>
    <row r="954" spans="1:1" s="883" customFormat="1">
      <c r="A954" s="911"/>
    </row>
    <row r="955" spans="1:1" s="883" customFormat="1">
      <c r="A955" s="911"/>
    </row>
    <row r="956" spans="1:1" s="883" customFormat="1">
      <c r="A956" s="911"/>
    </row>
    <row r="957" spans="1:1" s="883" customFormat="1">
      <c r="A957" s="911"/>
    </row>
    <row r="958" spans="1:1" s="883" customFormat="1">
      <c r="A958" s="911"/>
    </row>
    <row r="959" spans="1:1" s="883" customFormat="1">
      <c r="A959" s="911"/>
    </row>
    <row r="960" spans="1:1" s="883" customFormat="1">
      <c r="A960" s="911"/>
    </row>
    <row r="961" spans="1:1" s="883" customFormat="1">
      <c r="A961" s="911"/>
    </row>
    <row r="962" spans="1:1" s="883" customFormat="1">
      <c r="A962" s="911"/>
    </row>
    <row r="963" spans="1:1" s="883" customFormat="1">
      <c r="A963" s="911"/>
    </row>
    <row r="964" spans="1:1" s="883" customFormat="1">
      <c r="A964" s="911"/>
    </row>
    <row r="965" spans="1:1" s="883" customFormat="1">
      <c r="A965" s="911"/>
    </row>
    <row r="966" spans="1:1" s="883" customFormat="1">
      <c r="A966" s="911"/>
    </row>
    <row r="967" spans="1:1" s="883" customFormat="1">
      <c r="A967" s="911"/>
    </row>
    <row r="968" spans="1:1" s="883" customFormat="1">
      <c r="A968" s="911"/>
    </row>
    <row r="969" spans="1:1" s="883" customFormat="1">
      <c r="A969" s="911"/>
    </row>
    <row r="970" spans="1:1" s="883" customFormat="1">
      <c r="A970" s="911"/>
    </row>
    <row r="971" spans="1:1" s="883" customFormat="1">
      <c r="A971" s="911"/>
    </row>
    <row r="972" spans="1:1" s="883" customFormat="1">
      <c r="A972" s="911"/>
    </row>
    <row r="973" spans="1:1" s="883" customFormat="1">
      <c r="A973" s="911"/>
    </row>
    <row r="974" spans="1:1" s="883" customFormat="1">
      <c r="A974" s="911"/>
    </row>
    <row r="975" spans="1:1" s="883" customFormat="1">
      <c r="A975" s="911"/>
    </row>
    <row r="976" spans="1:1" s="883" customFormat="1">
      <c r="A976" s="911"/>
    </row>
    <row r="977" spans="1:1" s="883" customFormat="1">
      <c r="A977" s="911"/>
    </row>
    <row r="978" spans="1:1" s="883" customFormat="1">
      <c r="A978" s="911"/>
    </row>
    <row r="979" spans="1:1" s="883" customFormat="1">
      <c r="A979" s="911"/>
    </row>
    <row r="980" spans="1:1" s="883" customFormat="1">
      <c r="A980" s="911"/>
    </row>
    <row r="981" spans="1:1" s="883" customFormat="1">
      <c r="A981" s="911"/>
    </row>
    <row r="982" spans="1:1" s="883" customFormat="1">
      <c r="A982" s="911"/>
    </row>
    <row r="983" spans="1:1" s="883" customFormat="1">
      <c r="A983" s="911"/>
    </row>
    <row r="984" spans="1:1" s="883" customFormat="1">
      <c r="A984" s="911"/>
    </row>
    <row r="985" spans="1:1" s="883" customFormat="1">
      <c r="A985" s="911"/>
    </row>
    <row r="986" spans="1:1" s="883" customFormat="1">
      <c r="A986" s="911"/>
    </row>
    <row r="987" spans="1:1" s="883" customFormat="1">
      <c r="A987" s="911"/>
    </row>
    <row r="988" spans="1:1" s="883" customFormat="1">
      <c r="A988" s="911"/>
    </row>
    <row r="989" spans="1:1" s="883" customFormat="1">
      <c r="A989" s="911"/>
    </row>
    <row r="990" spans="1:1" s="883" customFormat="1">
      <c r="A990" s="911"/>
    </row>
    <row r="991" spans="1:1" s="883" customFormat="1">
      <c r="A991" s="911"/>
    </row>
    <row r="992" spans="1:1" s="883" customFormat="1">
      <c r="A992" s="911"/>
    </row>
    <row r="993" spans="1:1" s="883" customFormat="1">
      <c r="A993" s="911"/>
    </row>
    <row r="994" spans="1:1" s="883" customFormat="1">
      <c r="A994" s="911"/>
    </row>
    <row r="995" spans="1:1" s="883" customFormat="1">
      <c r="A995" s="911"/>
    </row>
    <row r="996" spans="1:1" s="883" customFormat="1">
      <c r="A996" s="911"/>
    </row>
    <row r="997" spans="1:1" s="883" customFormat="1">
      <c r="A997" s="911"/>
    </row>
    <row r="998" spans="1:1" s="883" customFormat="1">
      <c r="A998" s="911"/>
    </row>
    <row r="999" spans="1:1" s="883" customFormat="1">
      <c r="A999" s="911"/>
    </row>
    <row r="1000" spans="1:1" s="883" customFormat="1">
      <c r="A1000" s="911"/>
    </row>
    <row r="1001" spans="1:1" s="883" customFormat="1">
      <c r="A1001" s="911"/>
    </row>
    <row r="1002" spans="1:1" s="883" customFormat="1">
      <c r="A1002" s="911"/>
    </row>
    <row r="1003" spans="1:1" s="883" customFormat="1">
      <c r="A1003" s="911"/>
    </row>
    <row r="1004" spans="1:1" s="883" customFormat="1">
      <c r="A1004" s="911"/>
    </row>
    <row r="1005" spans="1:1" s="883" customFormat="1">
      <c r="A1005" s="911"/>
    </row>
    <row r="1006" spans="1:1" s="883" customFormat="1">
      <c r="A1006" s="911"/>
    </row>
    <row r="1007" spans="1:1" s="883" customFormat="1">
      <c r="A1007" s="911"/>
    </row>
    <row r="1008" spans="1:1" s="883" customFormat="1">
      <c r="A1008" s="911"/>
    </row>
    <row r="1009" spans="1:1" s="883" customFormat="1">
      <c r="A1009" s="911"/>
    </row>
    <row r="1010" spans="1:1" s="883" customFormat="1">
      <c r="A1010" s="911"/>
    </row>
    <row r="1011" spans="1:1" s="883" customFormat="1">
      <c r="A1011" s="911"/>
    </row>
    <row r="1012" spans="1:1" s="883" customFormat="1">
      <c r="A1012" s="911"/>
    </row>
    <row r="1013" spans="1:1" s="883" customFormat="1">
      <c r="A1013" s="911"/>
    </row>
    <row r="1014" spans="1:1" s="883" customFormat="1">
      <c r="A1014" s="911"/>
    </row>
    <row r="1015" spans="1:1" s="883" customFormat="1">
      <c r="A1015" s="911"/>
    </row>
    <row r="1016" spans="1:1" s="883" customFormat="1">
      <c r="A1016" s="911"/>
    </row>
    <row r="1017" spans="1:1" s="883" customFormat="1">
      <c r="A1017" s="911"/>
    </row>
    <row r="1018" spans="1:1" s="883" customFormat="1">
      <c r="A1018" s="911"/>
    </row>
    <row r="1019" spans="1:1" s="883" customFormat="1">
      <c r="A1019" s="911"/>
    </row>
    <row r="1020" spans="1:1" s="883" customFormat="1">
      <c r="A1020" s="911"/>
    </row>
    <row r="1021" spans="1:1" s="883" customFormat="1">
      <c r="A1021" s="911"/>
    </row>
    <row r="1022" spans="1:1" s="883" customFormat="1">
      <c r="A1022" s="911"/>
    </row>
    <row r="1023" spans="1:1" s="883" customFormat="1">
      <c r="A1023" s="911"/>
    </row>
    <row r="1024" spans="1:1" s="883" customFormat="1">
      <c r="A1024" s="911"/>
    </row>
    <row r="1025" spans="1:1" s="883" customFormat="1">
      <c r="A1025" s="911"/>
    </row>
    <row r="1026" spans="1:1" s="883" customFormat="1">
      <c r="A1026" s="911"/>
    </row>
    <row r="1027" spans="1:1" s="883" customFormat="1">
      <c r="A1027" s="911"/>
    </row>
    <row r="1028" spans="1:1" s="883" customFormat="1">
      <c r="A1028" s="911"/>
    </row>
    <row r="1029" spans="1:1" s="883" customFormat="1">
      <c r="A1029" s="911"/>
    </row>
    <row r="1030" spans="1:1" s="883" customFormat="1">
      <c r="A1030" s="911"/>
    </row>
    <row r="1031" spans="1:1" s="883" customFormat="1">
      <c r="A1031" s="911"/>
    </row>
    <row r="1032" spans="1:1" s="883" customFormat="1">
      <c r="A1032" s="911"/>
    </row>
    <row r="1033" spans="1:1" s="883" customFormat="1">
      <c r="A1033" s="911"/>
    </row>
    <row r="1034" spans="1:1" s="883" customFormat="1">
      <c r="A1034" s="911"/>
    </row>
    <row r="1035" spans="1:1" s="883" customFormat="1">
      <c r="A1035" s="911"/>
    </row>
    <row r="1036" spans="1:1" s="883" customFormat="1">
      <c r="A1036" s="911"/>
    </row>
    <row r="1037" spans="1:1" s="883" customFormat="1">
      <c r="A1037" s="911"/>
    </row>
    <row r="1038" spans="1:1" s="883" customFormat="1">
      <c r="A1038" s="911"/>
    </row>
    <row r="1039" spans="1:1" s="883" customFormat="1">
      <c r="A1039" s="911"/>
    </row>
    <row r="1040" spans="1:1" s="883" customFormat="1">
      <c r="A1040" s="911"/>
    </row>
    <row r="1041" spans="1:1" s="883" customFormat="1">
      <c r="A1041" s="911"/>
    </row>
    <row r="1042" spans="1:1" s="883" customFormat="1">
      <c r="A1042" s="911"/>
    </row>
    <row r="1043" spans="1:1" s="883" customFormat="1">
      <c r="A1043" s="911"/>
    </row>
    <row r="1044" spans="1:1" s="883" customFormat="1">
      <c r="A1044" s="911"/>
    </row>
    <row r="1045" spans="1:1" s="883" customFormat="1">
      <c r="A1045" s="911"/>
    </row>
    <row r="1046" spans="1:1" s="883" customFormat="1">
      <c r="A1046" s="911"/>
    </row>
    <row r="1047" spans="1:1" s="883" customFormat="1">
      <c r="A1047" s="911"/>
    </row>
    <row r="1048" spans="1:1" s="883" customFormat="1">
      <c r="A1048" s="911"/>
    </row>
    <row r="1049" spans="1:1" s="883" customFormat="1">
      <c r="A1049" s="911"/>
    </row>
    <row r="1050" spans="1:1" s="883" customFormat="1">
      <c r="A1050" s="911"/>
    </row>
    <row r="1051" spans="1:1" s="883" customFormat="1">
      <c r="A1051" s="911"/>
    </row>
    <row r="1052" spans="1:1" s="883" customFormat="1">
      <c r="A1052" s="911"/>
    </row>
    <row r="1053" spans="1:1" s="883" customFormat="1">
      <c r="A1053" s="911"/>
    </row>
    <row r="1054" spans="1:1" s="883" customFormat="1">
      <c r="A1054" s="911"/>
    </row>
    <row r="1055" spans="1:1" s="883" customFormat="1">
      <c r="A1055" s="911"/>
    </row>
    <row r="1056" spans="1:1" s="883" customFormat="1">
      <c r="A1056" s="911"/>
    </row>
    <row r="1057" spans="1:1" s="883" customFormat="1">
      <c r="A1057" s="911"/>
    </row>
    <row r="1058" spans="1:1" s="883" customFormat="1">
      <c r="A1058" s="911"/>
    </row>
    <row r="1059" spans="1:1" s="883" customFormat="1">
      <c r="A1059" s="911"/>
    </row>
    <row r="1060" spans="1:1" s="883" customFormat="1">
      <c r="A1060" s="911"/>
    </row>
    <row r="1061" spans="1:1" s="883" customFormat="1">
      <c r="A1061" s="911"/>
    </row>
    <row r="1062" spans="1:1" s="883" customFormat="1">
      <c r="A1062" s="911"/>
    </row>
    <row r="1063" spans="1:1" s="883" customFormat="1">
      <c r="A1063" s="911"/>
    </row>
    <row r="1064" spans="1:1" s="883" customFormat="1">
      <c r="A1064" s="911"/>
    </row>
    <row r="1065" spans="1:1" s="883" customFormat="1">
      <c r="A1065" s="911"/>
    </row>
    <row r="1066" spans="1:1" s="883" customFormat="1">
      <c r="A1066" s="911"/>
    </row>
    <row r="1067" spans="1:1" s="883" customFormat="1">
      <c r="A1067" s="911"/>
    </row>
    <row r="1068" spans="1:1" s="883" customFormat="1">
      <c r="A1068" s="911"/>
    </row>
    <row r="1069" spans="1:1" s="883" customFormat="1">
      <c r="A1069" s="911"/>
    </row>
    <row r="1070" spans="1:1" s="883" customFormat="1">
      <c r="A1070" s="911"/>
    </row>
    <row r="1071" spans="1:1" s="883" customFormat="1">
      <c r="A1071" s="911"/>
    </row>
    <row r="1072" spans="1:1" s="883" customFormat="1">
      <c r="A1072" s="911"/>
    </row>
    <row r="1073" spans="1:1" s="883" customFormat="1">
      <c r="A1073" s="911"/>
    </row>
    <row r="1074" spans="1:1" s="883" customFormat="1">
      <c r="A1074" s="911"/>
    </row>
    <row r="1075" spans="1:1" s="883" customFormat="1">
      <c r="A1075" s="911"/>
    </row>
    <row r="1076" spans="1:1" s="883" customFormat="1">
      <c r="A1076" s="911"/>
    </row>
    <row r="1077" spans="1:1" s="883" customFormat="1">
      <c r="A1077" s="911"/>
    </row>
    <row r="1078" spans="1:1" s="883" customFormat="1">
      <c r="A1078" s="911"/>
    </row>
    <row r="1079" spans="1:1" s="883" customFormat="1">
      <c r="A1079" s="911"/>
    </row>
    <row r="1080" spans="1:1" s="883" customFormat="1">
      <c r="A1080" s="911"/>
    </row>
    <row r="1081" spans="1:1" s="883" customFormat="1">
      <c r="A1081" s="911"/>
    </row>
    <row r="1082" spans="1:1" s="883" customFormat="1">
      <c r="A1082" s="911"/>
    </row>
    <row r="1083" spans="1:1" s="883" customFormat="1">
      <c r="A1083" s="911"/>
    </row>
    <row r="1084" spans="1:1" s="883" customFormat="1">
      <c r="A1084" s="911"/>
    </row>
    <row r="1085" spans="1:1" s="883" customFormat="1">
      <c r="A1085" s="911"/>
    </row>
    <row r="1086" spans="1:1" s="883" customFormat="1">
      <c r="A1086" s="911"/>
    </row>
    <row r="1087" spans="1:1" s="883" customFormat="1">
      <c r="A1087" s="911"/>
    </row>
    <row r="1088" spans="1:1" s="883" customFormat="1">
      <c r="A1088" s="911"/>
    </row>
    <row r="1089" spans="1:1" s="883" customFormat="1">
      <c r="A1089" s="911"/>
    </row>
    <row r="1090" spans="1:1" s="883" customFormat="1">
      <c r="A1090" s="911"/>
    </row>
    <row r="1091" spans="1:1" s="883" customFormat="1">
      <c r="A1091" s="911"/>
    </row>
    <row r="1092" spans="1:1" s="883" customFormat="1">
      <c r="A1092" s="911"/>
    </row>
    <row r="1093" spans="1:1" s="883" customFormat="1">
      <c r="A1093" s="911"/>
    </row>
    <row r="1094" spans="1:1" s="883" customFormat="1">
      <c r="A1094" s="911"/>
    </row>
    <row r="1095" spans="1:1" s="883" customFormat="1">
      <c r="A1095" s="911"/>
    </row>
    <row r="1096" spans="1:1" s="883" customFormat="1">
      <c r="A1096" s="911"/>
    </row>
    <row r="1097" spans="1:1" s="883" customFormat="1">
      <c r="A1097" s="911"/>
    </row>
    <row r="1098" spans="1:1" s="883" customFormat="1">
      <c r="A1098" s="911"/>
    </row>
    <row r="1099" spans="1:1" s="883" customFormat="1">
      <c r="A1099" s="911"/>
    </row>
    <row r="1100" spans="1:1" s="883" customFormat="1">
      <c r="A1100" s="911"/>
    </row>
    <row r="1101" spans="1:1" s="883" customFormat="1">
      <c r="A1101" s="911"/>
    </row>
    <row r="1102" spans="1:1" s="883" customFormat="1">
      <c r="A1102" s="911"/>
    </row>
    <row r="1103" spans="1:1" s="883" customFormat="1">
      <c r="A1103" s="911"/>
    </row>
    <row r="1104" spans="1:1" s="883" customFormat="1">
      <c r="A1104" s="911"/>
    </row>
    <row r="1105" spans="1:1" s="883" customFormat="1">
      <c r="A1105" s="911"/>
    </row>
    <row r="1106" spans="1:1" s="883" customFormat="1">
      <c r="A1106" s="911"/>
    </row>
    <row r="1107" spans="1:1" s="883" customFormat="1">
      <c r="A1107" s="911"/>
    </row>
    <row r="1108" spans="1:1" s="883" customFormat="1">
      <c r="A1108" s="911"/>
    </row>
    <row r="1109" spans="1:1" s="883" customFormat="1">
      <c r="A1109" s="911"/>
    </row>
    <row r="1110" spans="1:1" s="883" customFormat="1">
      <c r="A1110" s="911"/>
    </row>
    <row r="1111" spans="1:1" s="883" customFormat="1">
      <c r="A1111" s="911"/>
    </row>
    <row r="1112" spans="1:1" s="883" customFormat="1">
      <c r="A1112" s="911"/>
    </row>
    <row r="1113" spans="1:1" s="883" customFormat="1">
      <c r="A1113" s="911"/>
    </row>
    <row r="1114" spans="1:1" s="883" customFormat="1">
      <c r="A1114" s="911"/>
    </row>
    <row r="1115" spans="1:1" s="883" customFormat="1">
      <c r="A1115" s="911"/>
    </row>
    <row r="1116" spans="1:1" s="883" customFormat="1">
      <c r="A1116" s="911"/>
    </row>
    <row r="1117" spans="1:1" s="883" customFormat="1">
      <c r="A1117" s="911"/>
    </row>
    <row r="1118" spans="1:1" s="883" customFormat="1">
      <c r="A1118" s="911"/>
    </row>
    <row r="1119" spans="1:1" s="883" customFormat="1">
      <c r="A1119" s="911"/>
    </row>
    <row r="1120" spans="1:1" s="883" customFormat="1">
      <c r="A1120" s="911"/>
    </row>
    <row r="1121" spans="1:1" s="883" customFormat="1">
      <c r="A1121" s="911"/>
    </row>
    <row r="1122" spans="1:1" s="883" customFormat="1">
      <c r="A1122" s="911"/>
    </row>
    <row r="1123" spans="1:1" s="883" customFormat="1">
      <c r="A1123" s="911"/>
    </row>
    <row r="1124" spans="1:1" s="883" customFormat="1">
      <c r="A1124" s="911"/>
    </row>
    <row r="1125" spans="1:1" s="883" customFormat="1">
      <c r="A1125" s="911"/>
    </row>
    <row r="1126" spans="1:1" s="883" customFormat="1">
      <c r="A1126" s="911"/>
    </row>
    <row r="1127" spans="1:1" s="883" customFormat="1">
      <c r="A1127" s="911"/>
    </row>
    <row r="1128" spans="1:1" s="883" customFormat="1">
      <c r="A1128" s="911"/>
    </row>
    <row r="1129" spans="1:1" s="883" customFormat="1">
      <c r="A1129" s="911"/>
    </row>
    <row r="1130" spans="1:1" s="883" customFormat="1">
      <c r="A1130" s="911"/>
    </row>
    <row r="1131" spans="1:1" s="883" customFormat="1">
      <c r="A1131" s="911"/>
    </row>
    <row r="1132" spans="1:1" s="883" customFormat="1">
      <c r="A1132" s="911"/>
    </row>
    <row r="1133" spans="1:1" s="883" customFormat="1">
      <c r="A1133" s="911"/>
    </row>
    <row r="1134" spans="1:1" s="883" customFormat="1">
      <c r="A1134" s="911"/>
    </row>
    <row r="1135" spans="1:1" s="883" customFormat="1">
      <c r="A1135" s="911"/>
    </row>
    <row r="1136" spans="1:1" s="883" customFormat="1">
      <c r="A1136" s="911"/>
    </row>
    <row r="1137" spans="1:1" s="883" customFormat="1">
      <c r="A1137" s="911"/>
    </row>
    <row r="1138" spans="1:1" s="883" customFormat="1">
      <c r="A1138" s="911"/>
    </row>
    <row r="1139" spans="1:1" s="883" customFormat="1">
      <c r="A1139" s="911"/>
    </row>
    <row r="1140" spans="1:1" s="883" customFormat="1">
      <c r="A1140" s="911"/>
    </row>
    <row r="1141" spans="1:1" s="883" customFormat="1">
      <c r="A1141" s="911"/>
    </row>
    <row r="1142" spans="1:1" s="883" customFormat="1">
      <c r="A1142" s="911"/>
    </row>
    <row r="1143" spans="1:1" s="883" customFormat="1">
      <c r="A1143" s="911"/>
    </row>
    <row r="1144" spans="1:1" s="883" customFormat="1">
      <c r="A1144" s="911"/>
    </row>
    <row r="1145" spans="1:1" s="883" customFormat="1">
      <c r="A1145" s="911"/>
    </row>
    <row r="1146" spans="1:1" s="883" customFormat="1">
      <c r="A1146" s="911"/>
    </row>
    <row r="1147" spans="1:1" s="883" customFormat="1">
      <c r="A1147" s="911"/>
    </row>
    <row r="1148" spans="1:1" s="883" customFormat="1">
      <c r="A1148" s="911"/>
    </row>
    <row r="1149" spans="1:1" s="883" customFormat="1">
      <c r="A1149" s="911"/>
    </row>
    <row r="1150" spans="1:1" s="883" customFormat="1">
      <c r="A1150" s="911"/>
    </row>
    <row r="1151" spans="1:1" s="883" customFormat="1">
      <c r="A1151" s="911"/>
    </row>
    <row r="1152" spans="1:1" s="883" customFormat="1">
      <c r="A1152" s="911"/>
    </row>
    <row r="1153" spans="1:1" s="883" customFormat="1">
      <c r="A1153" s="911"/>
    </row>
    <row r="1154" spans="1:1" s="883" customFormat="1">
      <c r="A1154" s="911"/>
    </row>
    <row r="1155" spans="1:1" s="883" customFormat="1">
      <c r="A1155" s="911"/>
    </row>
    <row r="1156" spans="1:1" s="883" customFormat="1">
      <c r="A1156" s="911"/>
    </row>
    <row r="1157" spans="1:1" s="883" customFormat="1">
      <c r="A1157" s="911"/>
    </row>
    <row r="1158" spans="1:1" s="883" customFormat="1">
      <c r="A1158" s="911"/>
    </row>
    <row r="1159" spans="1:1" s="883" customFormat="1">
      <c r="A1159" s="911"/>
    </row>
    <row r="1160" spans="1:1" s="883" customFormat="1">
      <c r="A1160" s="911"/>
    </row>
    <row r="1161" spans="1:1" s="883" customFormat="1">
      <c r="A1161" s="911"/>
    </row>
    <row r="1162" spans="1:1" s="883" customFormat="1">
      <c r="A1162" s="911"/>
    </row>
    <row r="1163" spans="1:1" s="883" customFormat="1">
      <c r="A1163" s="911"/>
    </row>
    <row r="1164" spans="1:1" s="883" customFormat="1">
      <c r="A1164" s="911"/>
    </row>
    <row r="1165" spans="1:1" s="883" customFormat="1">
      <c r="A1165" s="911"/>
    </row>
    <row r="1166" spans="1:1" s="883" customFormat="1">
      <c r="A1166" s="911"/>
    </row>
    <row r="1167" spans="1:1" s="883" customFormat="1">
      <c r="A1167" s="911"/>
    </row>
    <row r="1168" spans="1:1" s="883" customFormat="1">
      <c r="A1168" s="911"/>
    </row>
    <row r="1169" spans="1:1" s="883" customFormat="1">
      <c r="A1169" s="911"/>
    </row>
    <row r="1170" spans="1:1" s="883" customFormat="1">
      <c r="A1170" s="911"/>
    </row>
    <row r="1171" spans="1:1" s="883" customFormat="1">
      <c r="A1171" s="911"/>
    </row>
    <row r="1172" spans="1:1" s="883" customFormat="1">
      <c r="A1172" s="911"/>
    </row>
    <row r="1173" spans="1:1" s="883" customFormat="1">
      <c r="A1173" s="911"/>
    </row>
    <row r="1174" spans="1:1" s="883" customFormat="1">
      <c r="A1174" s="911"/>
    </row>
    <row r="1175" spans="1:1" s="883" customFormat="1">
      <c r="A1175" s="911"/>
    </row>
    <row r="1176" spans="1:1" s="883" customFormat="1">
      <c r="A1176" s="911"/>
    </row>
    <row r="1177" spans="1:1" s="883" customFormat="1">
      <c r="A1177" s="911"/>
    </row>
    <row r="1178" spans="1:1" s="883" customFormat="1">
      <c r="A1178" s="911"/>
    </row>
    <row r="1179" spans="1:1" s="883" customFormat="1">
      <c r="A1179" s="911"/>
    </row>
    <row r="1180" spans="1:1" s="883" customFormat="1">
      <c r="A1180" s="911"/>
    </row>
    <row r="1181" spans="1:1" s="883" customFormat="1">
      <c r="A1181" s="911"/>
    </row>
    <row r="1182" spans="1:1" s="883" customFormat="1">
      <c r="A1182" s="911"/>
    </row>
    <row r="1183" spans="1:1" s="883" customFormat="1">
      <c r="A1183" s="911"/>
    </row>
    <row r="1184" spans="1:1" s="883" customFormat="1">
      <c r="A1184" s="911"/>
    </row>
    <row r="1185" spans="1:1" s="883" customFormat="1">
      <c r="A1185" s="911"/>
    </row>
    <row r="1186" spans="1:1" s="883" customFormat="1">
      <c r="A1186" s="911"/>
    </row>
    <row r="1187" spans="1:1" s="883" customFormat="1">
      <c r="A1187" s="911"/>
    </row>
    <row r="1188" spans="1:1" s="883" customFormat="1">
      <c r="A1188" s="911"/>
    </row>
    <row r="1189" spans="1:1" s="883" customFormat="1">
      <c r="A1189" s="911"/>
    </row>
    <row r="1190" spans="1:1" s="883" customFormat="1">
      <c r="A1190" s="911"/>
    </row>
    <row r="1191" spans="1:1" s="883" customFormat="1">
      <c r="A1191" s="911"/>
    </row>
    <row r="1192" spans="1:1" s="883" customFormat="1">
      <c r="A1192" s="911"/>
    </row>
    <row r="1193" spans="1:1" s="883" customFormat="1">
      <c r="A1193" s="911"/>
    </row>
    <row r="1194" spans="1:1" s="883" customFormat="1">
      <c r="A1194" s="911"/>
    </row>
    <row r="1195" spans="1:1" s="883" customFormat="1">
      <c r="A1195" s="911"/>
    </row>
    <row r="1196" spans="1:1" s="883" customFormat="1">
      <c r="A1196" s="911"/>
    </row>
    <row r="1197" spans="1:1" s="883" customFormat="1">
      <c r="A1197" s="911"/>
    </row>
    <row r="1198" spans="1:1" s="883" customFormat="1">
      <c r="A1198" s="911"/>
    </row>
    <row r="1199" spans="1:1" s="883" customFormat="1">
      <c r="A1199" s="911"/>
    </row>
    <row r="1200" spans="1:1" s="883" customFormat="1">
      <c r="A1200" s="911"/>
    </row>
    <row r="1201" spans="1:1" s="883" customFormat="1">
      <c r="A1201" s="911"/>
    </row>
    <row r="1202" spans="1:1" s="883" customFormat="1">
      <c r="A1202" s="911"/>
    </row>
    <row r="1203" spans="1:1" s="883" customFormat="1">
      <c r="A1203" s="911"/>
    </row>
    <row r="1204" spans="1:1" s="883" customFormat="1">
      <c r="A1204" s="911"/>
    </row>
    <row r="1205" spans="1:1" s="883" customFormat="1">
      <c r="A1205" s="911"/>
    </row>
    <row r="1206" spans="1:1" s="883" customFormat="1">
      <c r="A1206" s="911"/>
    </row>
    <row r="1207" spans="1:1" s="883" customFormat="1">
      <c r="A1207" s="911"/>
    </row>
    <row r="1208" spans="1:1" s="883" customFormat="1">
      <c r="A1208" s="911"/>
    </row>
    <row r="1209" spans="1:1" s="883" customFormat="1">
      <c r="A1209" s="911"/>
    </row>
    <row r="1210" spans="1:1" s="883" customFormat="1">
      <c r="A1210" s="911"/>
    </row>
    <row r="1211" spans="1:1" s="883" customFormat="1">
      <c r="A1211" s="911"/>
    </row>
    <row r="1212" spans="1:1" s="883" customFormat="1">
      <c r="A1212" s="911"/>
    </row>
    <row r="1213" spans="1:1" s="883" customFormat="1">
      <c r="A1213" s="911"/>
    </row>
    <row r="1214" spans="1:1" s="883" customFormat="1">
      <c r="A1214" s="911"/>
    </row>
    <row r="1215" spans="1:1" s="883" customFormat="1">
      <c r="A1215" s="911"/>
    </row>
    <row r="1216" spans="1:1" s="883" customFormat="1">
      <c r="A1216" s="911"/>
    </row>
    <row r="1217" spans="1:1" s="883" customFormat="1">
      <c r="A1217" s="911"/>
    </row>
    <row r="1218" spans="1:1" s="883" customFormat="1">
      <c r="A1218" s="911"/>
    </row>
    <row r="1219" spans="1:1" s="883" customFormat="1">
      <c r="A1219" s="911"/>
    </row>
    <row r="1220" spans="1:1" s="883" customFormat="1">
      <c r="A1220" s="911"/>
    </row>
    <row r="1221" spans="1:1" s="883" customFormat="1">
      <c r="A1221" s="911"/>
    </row>
    <row r="1222" spans="1:1" s="883" customFormat="1">
      <c r="A1222" s="911"/>
    </row>
    <row r="1223" spans="1:1" s="883" customFormat="1">
      <c r="A1223" s="911"/>
    </row>
    <row r="1224" spans="1:1" s="883" customFormat="1">
      <c r="A1224" s="911"/>
    </row>
    <row r="1225" spans="1:1" s="883" customFormat="1">
      <c r="A1225" s="911"/>
    </row>
    <row r="1226" spans="1:1" s="883" customFormat="1">
      <c r="A1226" s="911"/>
    </row>
    <row r="1227" spans="1:1" s="883" customFormat="1">
      <c r="A1227" s="911"/>
    </row>
    <row r="1228" spans="1:1" s="883" customFormat="1">
      <c r="A1228" s="911"/>
    </row>
    <row r="1229" spans="1:1" s="883" customFormat="1">
      <c r="A1229" s="911"/>
    </row>
    <row r="1230" spans="1:1" s="883" customFormat="1">
      <c r="A1230" s="911"/>
    </row>
    <row r="1231" spans="1:1" s="883" customFormat="1">
      <c r="A1231" s="911"/>
    </row>
    <row r="1232" spans="1:1" s="883" customFormat="1">
      <c r="A1232" s="911"/>
    </row>
    <row r="1233" spans="1:1" s="883" customFormat="1">
      <c r="A1233" s="911"/>
    </row>
    <row r="1234" spans="1:1" s="883" customFormat="1">
      <c r="A1234" s="911"/>
    </row>
    <row r="1235" spans="1:1" s="883" customFormat="1">
      <c r="A1235" s="911"/>
    </row>
    <row r="1236" spans="1:1" s="883" customFormat="1">
      <c r="A1236" s="911"/>
    </row>
    <row r="1237" spans="1:1" s="883" customFormat="1">
      <c r="A1237" s="911"/>
    </row>
    <row r="1238" spans="1:1" s="883" customFormat="1">
      <c r="A1238" s="911"/>
    </row>
    <row r="1239" spans="1:1" s="883" customFormat="1">
      <c r="A1239" s="911"/>
    </row>
    <row r="1240" spans="1:1" s="883" customFormat="1">
      <c r="A1240" s="911"/>
    </row>
    <row r="1241" spans="1:1" s="883" customFormat="1">
      <c r="A1241" s="911"/>
    </row>
    <row r="1242" spans="1:1" s="883" customFormat="1">
      <c r="A1242" s="911"/>
    </row>
    <row r="1243" spans="1:1" s="883" customFormat="1">
      <c r="A1243" s="911"/>
    </row>
    <row r="1244" spans="1:1" s="883" customFormat="1">
      <c r="A1244" s="911"/>
    </row>
    <row r="1245" spans="1:1" s="883" customFormat="1">
      <c r="A1245" s="911"/>
    </row>
    <row r="1246" spans="1:1" s="883" customFormat="1">
      <c r="A1246" s="911"/>
    </row>
    <row r="1247" spans="1:1" s="883" customFormat="1">
      <c r="A1247" s="911"/>
    </row>
    <row r="1248" spans="1:1" s="883" customFormat="1">
      <c r="A1248" s="911"/>
    </row>
    <row r="1249" spans="1:1" s="883" customFormat="1">
      <c r="A1249" s="911"/>
    </row>
    <row r="1250" spans="1:1" s="883" customFormat="1">
      <c r="A1250" s="911"/>
    </row>
    <row r="1251" spans="1:1" s="883" customFormat="1">
      <c r="A1251" s="911"/>
    </row>
    <row r="1252" spans="1:1" s="883" customFormat="1">
      <c r="A1252" s="911"/>
    </row>
    <row r="1253" spans="1:1" s="883" customFormat="1">
      <c r="A1253" s="911"/>
    </row>
    <row r="1254" spans="1:1" s="883" customFormat="1">
      <c r="A1254" s="911"/>
    </row>
    <row r="1255" spans="1:1" s="883" customFormat="1">
      <c r="A1255" s="911"/>
    </row>
    <row r="1256" spans="1:1" s="883" customFormat="1">
      <c r="A1256" s="911"/>
    </row>
    <row r="1257" spans="1:1" s="883" customFormat="1">
      <c r="A1257" s="911"/>
    </row>
    <row r="1258" spans="1:1" s="883" customFormat="1">
      <c r="A1258" s="911"/>
    </row>
    <row r="1259" spans="1:1" s="883" customFormat="1">
      <c r="A1259" s="911"/>
    </row>
    <row r="1260" spans="1:1" s="883" customFormat="1">
      <c r="A1260" s="911"/>
    </row>
    <row r="1261" spans="1:1" s="883" customFormat="1">
      <c r="A1261" s="911"/>
    </row>
    <row r="1262" spans="1:1" s="883" customFormat="1">
      <c r="A1262" s="911"/>
    </row>
    <row r="1263" spans="1:1" s="883" customFormat="1">
      <c r="A1263" s="911"/>
    </row>
    <row r="1264" spans="1:1" s="883" customFormat="1">
      <c r="A1264" s="911"/>
    </row>
    <row r="1265" spans="1:1" s="883" customFormat="1">
      <c r="A1265" s="911"/>
    </row>
    <row r="1266" spans="1:1" s="883" customFormat="1">
      <c r="A1266" s="911"/>
    </row>
    <row r="1267" spans="1:1" s="883" customFormat="1">
      <c r="A1267" s="911"/>
    </row>
    <row r="1268" spans="1:1" s="883" customFormat="1">
      <c r="A1268" s="911"/>
    </row>
    <row r="1269" spans="1:1" s="883" customFormat="1">
      <c r="A1269" s="911"/>
    </row>
    <row r="1270" spans="1:1" s="883" customFormat="1">
      <c r="A1270" s="911"/>
    </row>
    <row r="1271" spans="1:1" s="883" customFormat="1">
      <c r="A1271" s="911"/>
    </row>
    <row r="1272" spans="1:1" s="883" customFormat="1">
      <c r="A1272" s="911"/>
    </row>
    <row r="1273" spans="1:1" s="883" customFormat="1">
      <c r="A1273" s="911"/>
    </row>
    <row r="1274" spans="1:1" s="883" customFormat="1">
      <c r="A1274" s="911"/>
    </row>
    <row r="1275" spans="1:1" s="883" customFormat="1">
      <c r="A1275" s="911"/>
    </row>
    <row r="1276" spans="1:1" s="883" customFormat="1">
      <c r="A1276" s="911"/>
    </row>
    <row r="1277" spans="1:1" s="883" customFormat="1">
      <c r="A1277" s="911"/>
    </row>
    <row r="1278" spans="1:1" s="883" customFormat="1">
      <c r="A1278" s="911"/>
    </row>
    <row r="1279" spans="1:1" s="883" customFormat="1">
      <c r="A1279" s="911"/>
    </row>
    <row r="1280" spans="1:1" s="883" customFormat="1">
      <c r="A1280" s="911"/>
    </row>
    <row r="1281" spans="1:1" s="883" customFormat="1">
      <c r="A1281" s="911"/>
    </row>
    <row r="1282" spans="1:1" s="883" customFormat="1">
      <c r="A1282" s="911"/>
    </row>
    <row r="1283" spans="1:1" s="883" customFormat="1">
      <c r="A1283" s="911"/>
    </row>
    <row r="1284" spans="1:1" s="883" customFormat="1">
      <c r="A1284" s="911"/>
    </row>
    <row r="1285" spans="1:1" s="883" customFormat="1">
      <c r="A1285" s="911"/>
    </row>
    <row r="1286" spans="1:1" s="883" customFormat="1">
      <c r="A1286" s="911"/>
    </row>
    <row r="1287" spans="1:1" s="883" customFormat="1">
      <c r="A1287" s="911"/>
    </row>
    <row r="1288" spans="1:1" s="883" customFormat="1">
      <c r="A1288" s="911"/>
    </row>
    <row r="1289" spans="1:1" s="883" customFormat="1">
      <c r="A1289" s="911"/>
    </row>
    <row r="1290" spans="1:1" s="883" customFormat="1">
      <c r="A1290" s="911"/>
    </row>
    <row r="1291" spans="1:1" s="883" customFormat="1">
      <c r="A1291" s="911"/>
    </row>
    <row r="1292" spans="1:1" s="883" customFormat="1">
      <c r="A1292" s="911"/>
    </row>
    <row r="1293" spans="1:1" s="883" customFormat="1">
      <c r="A1293" s="911"/>
    </row>
    <row r="1294" spans="1:1" s="883" customFormat="1">
      <c r="A1294" s="911"/>
    </row>
    <row r="1295" spans="1:1" s="883" customFormat="1">
      <c r="A1295" s="911"/>
    </row>
    <row r="1296" spans="1:1" s="883" customFormat="1">
      <c r="A1296" s="911"/>
    </row>
    <row r="1297" spans="1:1" s="883" customFormat="1">
      <c r="A1297" s="911"/>
    </row>
    <row r="1298" spans="1:1" s="883" customFormat="1">
      <c r="A1298" s="911"/>
    </row>
    <row r="1299" spans="1:1" s="883" customFormat="1">
      <c r="A1299" s="911"/>
    </row>
    <row r="1300" spans="1:1" s="883" customFormat="1">
      <c r="A1300" s="911"/>
    </row>
    <row r="1301" spans="1:1" s="883" customFormat="1">
      <c r="A1301" s="911"/>
    </row>
    <row r="1302" spans="1:1" s="883" customFormat="1">
      <c r="A1302" s="911"/>
    </row>
    <row r="1303" spans="1:1" s="883" customFormat="1">
      <c r="A1303" s="911"/>
    </row>
    <row r="1304" spans="1:1" s="883" customFormat="1">
      <c r="A1304" s="911"/>
    </row>
    <row r="1305" spans="1:1" s="883" customFormat="1">
      <c r="A1305" s="911"/>
    </row>
    <row r="1306" spans="1:1" s="883" customFormat="1">
      <c r="A1306" s="911"/>
    </row>
    <row r="1307" spans="1:1" s="883" customFormat="1">
      <c r="A1307" s="911"/>
    </row>
    <row r="1308" spans="1:1" s="883" customFormat="1">
      <c r="A1308" s="911"/>
    </row>
    <row r="1309" spans="1:1" s="883" customFormat="1">
      <c r="A1309" s="911"/>
    </row>
    <row r="1310" spans="1:1" s="883" customFormat="1">
      <c r="A1310" s="911"/>
    </row>
    <row r="1311" spans="1:1" s="883" customFormat="1">
      <c r="A1311" s="911"/>
    </row>
    <row r="1312" spans="1:1" s="883" customFormat="1">
      <c r="A1312" s="911"/>
    </row>
    <row r="1313" spans="1:1" s="883" customFormat="1">
      <c r="A1313" s="911"/>
    </row>
    <row r="1314" spans="1:1" s="883" customFormat="1">
      <c r="A1314" s="911"/>
    </row>
    <row r="1315" spans="1:1" s="883" customFormat="1">
      <c r="A1315" s="911"/>
    </row>
    <row r="1316" spans="1:1" s="883" customFormat="1">
      <c r="A1316" s="911"/>
    </row>
    <row r="1317" spans="1:1" s="883" customFormat="1">
      <c r="A1317" s="911"/>
    </row>
    <row r="1318" spans="1:1" s="883" customFormat="1">
      <c r="A1318" s="911"/>
    </row>
    <row r="1319" spans="1:1" s="883" customFormat="1">
      <c r="A1319" s="911"/>
    </row>
    <row r="1320" spans="1:1" s="883" customFormat="1">
      <c r="A1320" s="911"/>
    </row>
    <row r="1321" spans="1:1" s="883" customFormat="1">
      <c r="A1321" s="911"/>
    </row>
    <row r="1322" spans="1:1" s="883" customFormat="1">
      <c r="A1322" s="911"/>
    </row>
    <row r="1323" spans="1:1" s="883" customFormat="1">
      <c r="A1323" s="911"/>
    </row>
    <row r="1324" spans="1:1" s="883" customFormat="1">
      <c r="A1324" s="911"/>
    </row>
    <row r="1325" spans="1:1" s="883" customFormat="1">
      <c r="A1325" s="911"/>
    </row>
    <row r="1326" spans="1:1" s="883" customFormat="1">
      <c r="A1326" s="911"/>
    </row>
    <row r="1327" spans="1:1" s="883" customFormat="1">
      <c r="A1327" s="911"/>
    </row>
    <row r="1328" spans="1:1" s="883" customFormat="1">
      <c r="A1328" s="911"/>
    </row>
    <row r="1329" spans="1:1" s="883" customFormat="1">
      <c r="A1329" s="911"/>
    </row>
    <row r="1330" spans="1:1" s="883" customFormat="1">
      <c r="A1330" s="911"/>
    </row>
    <row r="1331" spans="1:1" s="883" customFormat="1">
      <c r="A1331" s="911"/>
    </row>
    <row r="1332" spans="1:1" s="883" customFormat="1">
      <c r="A1332" s="911"/>
    </row>
    <row r="1333" spans="1:1" s="883" customFormat="1">
      <c r="A1333" s="911"/>
    </row>
    <row r="1334" spans="1:1" s="883" customFormat="1">
      <c r="A1334" s="911"/>
    </row>
    <row r="1335" spans="1:1" s="883" customFormat="1">
      <c r="A1335" s="911"/>
    </row>
    <row r="1336" spans="1:1" s="883" customFormat="1">
      <c r="A1336" s="911"/>
    </row>
    <row r="1337" spans="1:1" s="883" customFormat="1">
      <c r="A1337" s="911"/>
    </row>
    <row r="1338" spans="1:1" s="883" customFormat="1">
      <c r="A1338" s="911"/>
    </row>
    <row r="1339" spans="1:1" s="883" customFormat="1">
      <c r="A1339" s="911"/>
    </row>
    <row r="1340" spans="1:1" s="883" customFormat="1">
      <c r="A1340" s="911"/>
    </row>
    <row r="1341" spans="1:1" s="883" customFormat="1">
      <c r="A1341" s="911"/>
    </row>
    <row r="1342" spans="1:1" s="883" customFormat="1">
      <c r="A1342" s="911"/>
    </row>
    <row r="1343" spans="1:1" s="883" customFormat="1">
      <c r="A1343" s="911"/>
    </row>
    <row r="1344" spans="1:1" s="883" customFormat="1">
      <c r="A1344" s="911"/>
    </row>
    <row r="1345" spans="1:1" s="883" customFormat="1">
      <c r="A1345" s="911"/>
    </row>
    <row r="1346" spans="1:1" s="883" customFormat="1">
      <c r="A1346" s="911"/>
    </row>
    <row r="1347" spans="1:1" s="883" customFormat="1">
      <c r="A1347" s="911"/>
    </row>
    <row r="1348" spans="1:1" s="883" customFormat="1">
      <c r="A1348" s="911"/>
    </row>
    <row r="1349" spans="1:1" s="883" customFormat="1">
      <c r="A1349" s="911"/>
    </row>
    <row r="1350" spans="1:1" s="883" customFormat="1">
      <c r="A1350" s="911"/>
    </row>
    <row r="1351" spans="1:1" s="883" customFormat="1">
      <c r="A1351" s="911"/>
    </row>
    <row r="1352" spans="1:1" s="883" customFormat="1">
      <c r="A1352" s="911"/>
    </row>
    <row r="1353" spans="1:1" s="883" customFormat="1">
      <c r="A1353" s="911"/>
    </row>
    <row r="1354" spans="1:1" s="883" customFormat="1">
      <c r="A1354" s="911"/>
    </row>
    <row r="1355" spans="1:1" s="883" customFormat="1">
      <c r="A1355" s="911"/>
    </row>
    <row r="1356" spans="1:1" s="883" customFormat="1">
      <c r="A1356" s="911"/>
    </row>
    <row r="1357" spans="1:1" s="883" customFormat="1">
      <c r="A1357" s="911"/>
    </row>
    <row r="1358" spans="1:1" s="883" customFormat="1">
      <c r="A1358" s="911"/>
    </row>
    <row r="1359" spans="1:1" s="883" customFormat="1">
      <c r="A1359" s="911"/>
    </row>
    <row r="1360" spans="1:1" s="883" customFormat="1">
      <c r="A1360" s="911"/>
    </row>
    <row r="1361" spans="1:1" s="883" customFormat="1">
      <c r="A1361" s="911"/>
    </row>
    <row r="1362" spans="1:1" s="883" customFormat="1">
      <c r="A1362" s="911"/>
    </row>
    <row r="1363" spans="1:1" s="883" customFormat="1">
      <c r="A1363" s="911"/>
    </row>
    <row r="1364" spans="1:1" s="883" customFormat="1">
      <c r="A1364" s="911"/>
    </row>
    <row r="1365" spans="1:1" s="883" customFormat="1">
      <c r="A1365" s="911"/>
    </row>
    <row r="1366" spans="1:1" s="883" customFormat="1">
      <c r="A1366" s="911"/>
    </row>
    <row r="1367" spans="1:1" s="883" customFormat="1">
      <c r="A1367" s="911"/>
    </row>
    <row r="1368" spans="1:1" s="883" customFormat="1">
      <c r="A1368" s="911"/>
    </row>
    <row r="1369" spans="1:1" s="883" customFormat="1">
      <c r="A1369" s="911"/>
    </row>
    <row r="1370" spans="1:1" s="883" customFormat="1">
      <c r="A1370" s="911"/>
    </row>
    <row r="1371" spans="1:1" s="883" customFormat="1">
      <c r="A1371" s="911"/>
    </row>
    <row r="1372" spans="1:1" s="883" customFormat="1">
      <c r="A1372" s="911"/>
    </row>
    <row r="1373" spans="1:1" s="883" customFormat="1">
      <c r="A1373" s="911"/>
    </row>
    <row r="1374" spans="1:1" s="883" customFormat="1">
      <c r="A1374" s="911"/>
    </row>
    <row r="1375" spans="1:1" s="883" customFormat="1">
      <c r="A1375" s="911"/>
    </row>
    <row r="1376" spans="1:1" s="883" customFormat="1">
      <c r="A1376" s="911"/>
    </row>
    <row r="1377" spans="1:1" s="883" customFormat="1">
      <c r="A1377" s="911"/>
    </row>
    <row r="1378" spans="1:1" s="883" customFormat="1">
      <c r="A1378" s="911"/>
    </row>
    <row r="1379" spans="1:1" s="883" customFormat="1">
      <c r="A1379" s="911"/>
    </row>
    <row r="1380" spans="1:1" s="883" customFormat="1">
      <c r="A1380" s="911"/>
    </row>
    <row r="1381" spans="1:1" s="883" customFormat="1">
      <c r="A1381" s="911"/>
    </row>
    <row r="1382" spans="1:1" s="883" customFormat="1">
      <c r="A1382" s="911"/>
    </row>
    <row r="1383" spans="1:1" s="883" customFormat="1">
      <c r="A1383" s="911"/>
    </row>
    <row r="1384" spans="1:1" s="883" customFormat="1">
      <c r="A1384" s="911"/>
    </row>
    <row r="1385" spans="1:1" s="883" customFormat="1">
      <c r="A1385" s="911"/>
    </row>
    <row r="1386" spans="1:1" s="883" customFormat="1">
      <c r="A1386" s="911"/>
    </row>
    <row r="1387" spans="1:1" s="883" customFormat="1">
      <c r="A1387" s="911"/>
    </row>
    <row r="1388" spans="1:1" s="883" customFormat="1">
      <c r="A1388" s="911"/>
    </row>
    <row r="1389" spans="1:1" s="883" customFormat="1">
      <c r="A1389" s="911"/>
    </row>
    <row r="1390" spans="1:1" s="883" customFormat="1">
      <c r="A1390" s="911"/>
    </row>
    <row r="1391" spans="1:1" s="883" customFormat="1">
      <c r="A1391" s="911"/>
    </row>
    <row r="1392" spans="1:1" s="883" customFormat="1">
      <c r="A1392" s="911"/>
    </row>
    <row r="1393" spans="1:1" s="883" customFormat="1">
      <c r="A1393" s="911"/>
    </row>
    <row r="1394" spans="1:1" s="883" customFormat="1">
      <c r="A1394" s="911"/>
    </row>
    <row r="1395" spans="1:1" s="883" customFormat="1">
      <c r="A1395" s="911"/>
    </row>
    <row r="1396" spans="1:1" s="883" customFormat="1">
      <c r="A1396" s="911"/>
    </row>
    <row r="1397" spans="1:1" s="883" customFormat="1">
      <c r="A1397" s="911"/>
    </row>
    <row r="1398" spans="1:1" s="883" customFormat="1">
      <c r="A1398" s="911"/>
    </row>
    <row r="1399" spans="1:1" s="883" customFormat="1">
      <c r="A1399" s="911"/>
    </row>
    <row r="1400" spans="1:1" s="883" customFormat="1">
      <c r="A1400" s="911"/>
    </row>
    <row r="1401" spans="1:1" s="883" customFormat="1">
      <c r="A1401" s="911"/>
    </row>
    <row r="1402" spans="1:1" s="883" customFormat="1">
      <c r="A1402" s="911"/>
    </row>
    <row r="1403" spans="1:1" s="883" customFormat="1">
      <c r="A1403" s="911"/>
    </row>
    <row r="1404" spans="1:1" s="883" customFormat="1">
      <c r="A1404" s="911"/>
    </row>
    <row r="1405" spans="1:1" s="883" customFormat="1">
      <c r="A1405" s="911"/>
    </row>
    <row r="1406" spans="1:1" s="883" customFormat="1">
      <c r="A1406" s="911"/>
    </row>
    <row r="1407" spans="1:1" s="883" customFormat="1">
      <c r="A1407" s="911"/>
    </row>
    <row r="1408" spans="1:1" s="883" customFormat="1">
      <c r="A1408" s="911"/>
    </row>
    <row r="1409" spans="1:1" s="883" customFormat="1">
      <c r="A1409" s="911"/>
    </row>
    <row r="1410" spans="1:1" s="883" customFormat="1">
      <c r="A1410" s="911"/>
    </row>
    <row r="1411" spans="1:1" s="883" customFormat="1">
      <c r="A1411" s="911"/>
    </row>
    <row r="1412" spans="1:1" s="883" customFormat="1">
      <c r="A1412" s="911"/>
    </row>
    <row r="1413" spans="1:1" s="883" customFormat="1">
      <c r="A1413" s="911"/>
    </row>
    <row r="1414" spans="1:1" s="883" customFormat="1">
      <c r="A1414" s="911"/>
    </row>
    <row r="1415" spans="1:1" s="883" customFormat="1">
      <c r="A1415" s="911"/>
    </row>
    <row r="1416" spans="1:1" s="883" customFormat="1">
      <c r="A1416" s="911"/>
    </row>
    <row r="1417" spans="1:1" s="883" customFormat="1">
      <c r="A1417" s="911"/>
    </row>
    <row r="1418" spans="1:1" s="883" customFormat="1">
      <c r="A1418" s="911"/>
    </row>
    <row r="1419" spans="1:1" s="883" customFormat="1">
      <c r="A1419" s="911"/>
    </row>
    <row r="1420" spans="1:1" s="883" customFormat="1">
      <c r="A1420" s="911"/>
    </row>
    <row r="1421" spans="1:1" s="883" customFormat="1">
      <c r="A1421" s="911"/>
    </row>
    <row r="1422" spans="1:1" s="883" customFormat="1">
      <c r="A1422" s="911"/>
    </row>
    <row r="1423" spans="1:1" s="883" customFormat="1">
      <c r="A1423" s="911"/>
    </row>
    <row r="1424" spans="1:1" s="883" customFormat="1">
      <c r="A1424" s="911"/>
    </row>
    <row r="1425" spans="1:1" s="883" customFormat="1">
      <c r="A1425" s="911"/>
    </row>
    <row r="1426" spans="1:1" s="883" customFormat="1">
      <c r="A1426" s="911"/>
    </row>
    <row r="1427" spans="1:1" s="883" customFormat="1">
      <c r="A1427" s="911"/>
    </row>
    <row r="1428" spans="1:1" s="883" customFormat="1">
      <c r="A1428" s="911"/>
    </row>
    <row r="1429" spans="1:1" s="883" customFormat="1">
      <c r="A1429" s="911"/>
    </row>
    <row r="1430" spans="1:1" s="883" customFormat="1">
      <c r="A1430" s="911"/>
    </row>
    <row r="1431" spans="1:1" s="883" customFormat="1">
      <c r="A1431" s="911"/>
    </row>
    <row r="1432" spans="1:1" s="883" customFormat="1">
      <c r="A1432" s="911"/>
    </row>
    <row r="1433" spans="1:1" s="883" customFormat="1">
      <c r="A1433" s="911"/>
    </row>
    <row r="1434" spans="1:1" s="883" customFormat="1">
      <c r="A1434" s="911"/>
    </row>
    <row r="1435" spans="1:1" s="883" customFormat="1">
      <c r="A1435" s="911"/>
    </row>
    <row r="1436" spans="1:1" s="883" customFormat="1">
      <c r="A1436" s="911"/>
    </row>
    <row r="1437" spans="1:1" s="883" customFormat="1">
      <c r="A1437" s="911"/>
    </row>
    <row r="1438" spans="1:1" s="883" customFormat="1">
      <c r="A1438" s="911"/>
    </row>
    <row r="1439" spans="1:1" s="883" customFormat="1">
      <c r="A1439" s="911"/>
    </row>
    <row r="1440" spans="1:1" s="883" customFormat="1">
      <c r="A1440" s="911"/>
    </row>
    <row r="1441" spans="1:1" s="883" customFormat="1">
      <c r="A1441" s="911"/>
    </row>
    <row r="1442" spans="1:1" s="883" customFormat="1">
      <c r="A1442" s="911"/>
    </row>
    <row r="1443" spans="1:1" s="883" customFormat="1">
      <c r="A1443" s="911"/>
    </row>
    <row r="1444" spans="1:1" s="883" customFormat="1">
      <c r="A1444" s="911"/>
    </row>
    <row r="1445" spans="1:1" s="883" customFormat="1">
      <c r="A1445" s="911"/>
    </row>
    <row r="1446" spans="1:1" s="883" customFormat="1">
      <c r="A1446" s="911"/>
    </row>
    <row r="1447" spans="1:1" s="883" customFormat="1">
      <c r="A1447" s="911"/>
    </row>
    <row r="1448" spans="1:1" s="883" customFormat="1">
      <c r="A1448" s="911"/>
    </row>
    <row r="1449" spans="1:1" s="883" customFormat="1">
      <c r="A1449" s="911"/>
    </row>
    <row r="1450" spans="1:1" s="883" customFormat="1">
      <c r="A1450" s="911"/>
    </row>
    <row r="1451" spans="1:1" s="883" customFormat="1">
      <c r="A1451" s="911"/>
    </row>
    <row r="1452" spans="1:1" s="883" customFormat="1">
      <c r="A1452" s="911"/>
    </row>
    <row r="1453" spans="1:1" s="883" customFormat="1">
      <c r="A1453" s="911"/>
    </row>
    <row r="1454" spans="1:1" s="883" customFormat="1">
      <c r="A1454" s="911"/>
    </row>
    <row r="1455" spans="1:1" s="883" customFormat="1">
      <c r="A1455" s="911"/>
    </row>
    <row r="1456" spans="1:1" s="883" customFormat="1">
      <c r="A1456" s="911"/>
    </row>
    <row r="1457" spans="1:1" s="883" customFormat="1">
      <c r="A1457" s="911"/>
    </row>
    <row r="1458" spans="1:1" s="883" customFormat="1">
      <c r="A1458" s="911"/>
    </row>
    <row r="1459" spans="1:1" s="883" customFormat="1">
      <c r="A1459" s="911"/>
    </row>
    <row r="1460" spans="1:1" s="883" customFormat="1">
      <c r="A1460" s="911"/>
    </row>
    <row r="1461" spans="1:1" s="883" customFormat="1">
      <c r="A1461" s="911"/>
    </row>
    <row r="1462" spans="1:1" s="883" customFormat="1">
      <c r="A1462" s="911"/>
    </row>
    <row r="1463" spans="1:1" s="883" customFormat="1">
      <c r="A1463" s="911"/>
    </row>
    <row r="1464" spans="1:1" s="883" customFormat="1">
      <c r="A1464" s="911"/>
    </row>
    <row r="1465" spans="1:1" s="883" customFormat="1">
      <c r="A1465" s="911"/>
    </row>
    <row r="1466" spans="1:1" s="883" customFormat="1">
      <c r="A1466" s="911"/>
    </row>
    <row r="1467" spans="1:1" s="883" customFormat="1">
      <c r="A1467" s="911"/>
    </row>
    <row r="1468" spans="1:1" s="883" customFormat="1">
      <c r="A1468" s="911"/>
    </row>
    <row r="1469" spans="1:1" s="883" customFormat="1">
      <c r="A1469" s="911"/>
    </row>
    <row r="1470" spans="1:1" s="883" customFormat="1">
      <c r="A1470" s="911"/>
    </row>
    <row r="1471" spans="1:1" s="883" customFormat="1">
      <c r="A1471" s="911"/>
    </row>
    <row r="1472" spans="1:1" s="883" customFormat="1">
      <c r="A1472" s="911"/>
    </row>
    <row r="1473" spans="1:1" s="883" customFormat="1">
      <c r="A1473" s="911"/>
    </row>
    <row r="1474" spans="1:1" s="883" customFormat="1">
      <c r="A1474" s="911"/>
    </row>
    <row r="1475" spans="1:1" s="883" customFormat="1">
      <c r="A1475" s="911"/>
    </row>
    <row r="1476" spans="1:1" s="883" customFormat="1">
      <c r="A1476" s="911"/>
    </row>
    <row r="1477" spans="1:1" s="883" customFormat="1">
      <c r="A1477" s="911"/>
    </row>
    <row r="1478" spans="1:1" s="883" customFormat="1">
      <c r="A1478" s="911"/>
    </row>
    <row r="1479" spans="1:1" s="883" customFormat="1">
      <c r="A1479" s="911"/>
    </row>
    <row r="1480" spans="1:1" s="883" customFormat="1">
      <c r="A1480" s="911"/>
    </row>
    <row r="1481" spans="1:1" s="883" customFormat="1">
      <c r="A1481" s="911"/>
    </row>
    <row r="1482" spans="1:1" s="883" customFormat="1">
      <c r="A1482" s="911"/>
    </row>
    <row r="1483" spans="1:1" s="883" customFormat="1">
      <c r="A1483" s="911"/>
    </row>
    <row r="1484" spans="1:1" s="883" customFormat="1">
      <c r="A1484" s="911"/>
    </row>
    <row r="1485" spans="1:1" s="883" customFormat="1">
      <c r="A1485" s="911"/>
    </row>
    <row r="1486" spans="1:1" s="883" customFormat="1">
      <c r="A1486" s="911"/>
    </row>
    <row r="1487" spans="1:1" s="883" customFormat="1">
      <c r="A1487" s="911"/>
    </row>
    <row r="1488" spans="1:1" s="883" customFormat="1">
      <c r="A1488" s="911"/>
    </row>
    <row r="1489" spans="1:1" s="883" customFormat="1">
      <c r="A1489" s="911"/>
    </row>
    <row r="1490" spans="1:1" s="883" customFormat="1">
      <c r="A1490" s="911"/>
    </row>
    <row r="1491" spans="1:1" s="883" customFormat="1">
      <c r="A1491" s="911"/>
    </row>
    <row r="1492" spans="1:1" s="883" customFormat="1">
      <c r="A1492" s="911"/>
    </row>
    <row r="1493" spans="1:1" s="883" customFormat="1">
      <c r="A1493" s="911"/>
    </row>
    <row r="1494" spans="1:1" s="883" customFormat="1">
      <c r="A1494" s="911"/>
    </row>
    <row r="1495" spans="1:1" s="883" customFormat="1">
      <c r="A1495" s="911"/>
    </row>
    <row r="1496" spans="1:1" s="883" customFormat="1">
      <c r="A1496" s="911"/>
    </row>
    <row r="1497" spans="1:1" s="883" customFormat="1">
      <c r="A1497" s="911"/>
    </row>
    <row r="1498" spans="1:1" s="883" customFormat="1">
      <c r="A1498" s="911"/>
    </row>
    <row r="1499" spans="1:1" s="883" customFormat="1">
      <c r="A1499" s="911"/>
    </row>
    <row r="1500" spans="1:1" s="883" customFormat="1">
      <c r="A1500" s="911"/>
    </row>
    <row r="1501" spans="1:1" s="883" customFormat="1">
      <c r="A1501" s="911"/>
    </row>
    <row r="1502" spans="1:1" s="883" customFormat="1">
      <c r="A1502" s="911"/>
    </row>
    <row r="1503" spans="1:1" s="883" customFormat="1">
      <c r="A1503" s="911"/>
    </row>
    <row r="1504" spans="1:1" s="883" customFormat="1">
      <c r="A1504" s="911"/>
    </row>
    <row r="1505" spans="1:1" s="883" customFormat="1">
      <c r="A1505" s="911"/>
    </row>
    <row r="1506" spans="1:1" s="883" customFormat="1">
      <c r="A1506" s="911"/>
    </row>
    <row r="1507" spans="1:1" s="883" customFormat="1">
      <c r="A1507" s="911"/>
    </row>
    <row r="1508" spans="1:1" s="883" customFormat="1">
      <c r="A1508" s="911"/>
    </row>
    <row r="1509" spans="1:1" s="883" customFormat="1">
      <c r="A1509" s="911"/>
    </row>
    <row r="1510" spans="1:1" s="883" customFormat="1">
      <c r="A1510" s="911"/>
    </row>
    <row r="1511" spans="1:1" s="883" customFormat="1">
      <c r="A1511" s="911"/>
    </row>
    <row r="1512" spans="1:1" s="883" customFormat="1">
      <c r="A1512" s="911"/>
    </row>
    <row r="1513" spans="1:1" s="883" customFormat="1">
      <c r="A1513" s="911"/>
    </row>
    <row r="1514" spans="1:1" s="883" customFormat="1">
      <c r="A1514" s="911"/>
    </row>
    <row r="1515" spans="1:1" s="883" customFormat="1">
      <c r="A1515" s="911"/>
    </row>
    <row r="1516" spans="1:1" s="883" customFormat="1">
      <c r="A1516" s="911"/>
    </row>
    <row r="1517" spans="1:1" s="883" customFormat="1">
      <c r="A1517" s="911"/>
    </row>
    <row r="1518" spans="1:1" s="883" customFormat="1">
      <c r="A1518" s="911"/>
    </row>
    <row r="1519" spans="1:1" s="883" customFormat="1">
      <c r="A1519" s="911"/>
    </row>
    <row r="1520" spans="1:1" s="883" customFormat="1">
      <c r="A1520" s="911"/>
    </row>
    <row r="1521" spans="1:1" s="883" customFormat="1">
      <c r="A1521" s="911"/>
    </row>
    <row r="1522" spans="1:1" s="883" customFormat="1">
      <c r="A1522" s="911"/>
    </row>
    <row r="1523" spans="1:1" s="883" customFormat="1">
      <c r="A1523" s="911"/>
    </row>
    <row r="1524" spans="1:1" s="883" customFormat="1">
      <c r="A1524" s="911"/>
    </row>
    <row r="1525" spans="1:1" s="883" customFormat="1">
      <c r="A1525" s="911"/>
    </row>
    <row r="1526" spans="1:1" s="883" customFormat="1">
      <c r="A1526" s="911"/>
    </row>
    <row r="1527" spans="1:1" s="883" customFormat="1">
      <c r="A1527" s="911"/>
    </row>
    <row r="1528" spans="1:1" s="883" customFormat="1">
      <c r="A1528" s="911"/>
    </row>
    <row r="1529" spans="1:1" s="883" customFormat="1">
      <c r="A1529" s="911"/>
    </row>
    <row r="1530" spans="1:1" s="883" customFormat="1">
      <c r="A1530" s="911"/>
    </row>
    <row r="1531" spans="1:1" s="883" customFormat="1">
      <c r="A1531" s="911"/>
    </row>
    <row r="1532" spans="1:1" s="883" customFormat="1">
      <c r="A1532" s="911"/>
    </row>
    <row r="1533" spans="1:1" s="883" customFormat="1">
      <c r="A1533" s="911"/>
    </row>
    <row r="1534" spans="1:1" s="883" customFormat="1">
      <c r="A1534" s="911"/>
    </row>
    <row r="1535" spans="1:1" s="883" customFormat="1">
      <c r="A1535" s="911"/>
    </row>
    <row r="1536" spans="1:1" s="883" customFormat="1">
      <c r="A1536" s="911"/>
    </row>
    <row r="1537" spans="1:1" s="883" customFormat="1">
      <c r="A1537" s="911"/>
    </row>
    <row r="1538" spans="1:1" s="883" customFormat="1">
      <c r="A1538" s="911"/>
    </row>
    <row r="1539" spans="1:1" s="883" customFormat="1">
      <c r="A1539" s="911"/>
    </row>
    <row r="1540" spans="1:1" s="883" customFormat="1">
      <c r="A1540" s="911"/>
    </row>
    <row r="1541" spans="1:1" s="883" customFormat="1">
      <c r="A1541" s="911"/>
    </row>
    <row r="1542" spans="1:1" s="883" customFormat="1">
      <c r="A1542" s="911"/>
    </row>
    <row r="1543" spans="1:1" s="883" customFormat="1">
      <c r="A1543" s="911"/>
    </row>
    <row r="1544" spans="1:1" s="883" customFormat="1">
      <c r="A1544" s="911"/>
    </row>
    <row r="1545" spans="1:1" s="883" customFormat="1">
      <c r="A1545" s="911"/>
    </row>
    <row r="1546" spans="1:1" s="883" customFormat="1">
      <c r="A1546" s="911"/>
    </row>
    <row r="1547" spans="1:1" s="883" customFormat="1">
      <c r="A1547" s="911"/>
    </row>
    <row r="1548" spans="1:1" s="883" customFormat="1">
      <c r="A1548" s="911"/>
    </row>
    <row r="1549" spans="1:1" s="883" customFormat="1">
      <c r="A1549" s="911"/>
    </row>
    <row r="1550" spans="1:1" s="883" customFormat="1">
      <c r="A1550" s="911"/>
    </row>
    <row r="1551" spans="1:1" s="883" customFormat="1">
      <c r="A1551" s="911"/>
    </row>
    <row r="1552" spans="1:1" s="883" customFormat="1">
      <c r="A1552" s="911"/>
    </row>
    <row r="1553" spans="1:1" s="883" customFormat="1">
      <c r="A1553" s="911"/>
    </row>
    <row r="1554" spans="1:1" s="883" customFormat="1">
      <c r="A1554" s="911"/>
    </row>
    <row r="1555" spans="1:1" s="883" customFormat="1">
      <c r="A1555" s="911"/>
    </row>
    <row r="1556" spans="1:1" s="883" customFormat="1">
      <c r="A1556" s="911"/>
    </row>
    <row r="1557" spans="1:1" s="883" customFormat="1">
      <c r="A1557" s="911"/>
    </row>
    <row r="1558" spans="1:1" s="883" customFormat="1">
      <c r="A1558" s="911"/>
    </row>
    <row r="1559" spans="1:1" s="883" customFormat="1">
      <c r="A1559" s="911"/>
    </row>
    <row r="1560" spans="1:1" s="883" customFormat="1">
      <c r="A1560" s="911"/>
    </row>
    <row r="1561" spans="1:1" s="883" customFormat="1">
      <c r="A1561" s="911"/>
    </row>
    <row r="1562" spans="1:1" s="883" customFormat="1">
      <c r="A1562" s="911"/>
    </row>
    <row r="1563" spans="1:1" s="883" customFormat="1">
      <c r="A1563" s="911"/>
    </row>
    <row r="1564" spans="1:1" s="883" customFormat="1">
      <c r="A1564" s="911"/>
    </row>
    <row r="1565" spans="1:1" s="883" customFormat="1">
      <c r="A1565" s="911"/>
    </row>
    <row r="1566" spans="1:1" s="883" customFormat="1">
      <c r="A1566" s="911"/>
    </row>
    <row r="1567" spans="1:1" s="883" customFormat="1">
      <c r="A1567" s="911"/>
    </row>
    <row r="1568" spans="1:1" s="883" customFormat="1">
      <c r="A1568" s="911"/>
    </row>
    <row r="1569" spans="1:1" s="883" customFormat="1">
      <c r="A1569" s="911"/>
    </row>
    <row r="1570" spans="1:1" s="883" customFormat="1">
      <c r="A1570" s="911"/>
    </row>
    <row r="1571" spans="1:1" s="883" customFormat="1">
      <c r="A1571" s="911"/>
    </row>
    <row r="1572" spans="1:1" s="883" customFormat="1">
      <c r="A1572" s="911"/>
    </row>
    <row r="1573" spans="1:1" s="883" customFormat="1">
      <c r="A1573" s="911"/>
    </row>
    <row r="1574" spans="1:1" s="883" customFormat="1">
      <c r="A1574" s="911"/>
    </row>
    <row r="1575" spans="1:1" s="883" customFormat="1">
      <c r="A1575" s="911"/>
    </row>
    <row r="1576" spans="1:1" s="883" customFormat="1">
      <c r="A1576" s="911"/>
    </row>
    <row r="1577" spans="1:1" s="883" customFormat="1">
      <c r="A1577" s="911"/>
    </row>
    <row r="1578" spans="1:1" s="883" customFormat="1">
      <c r="A1578" s="911"/>
    </row>
    <row r="1579" spans="1:1" s="883" customFormat="1">
      <c r="A1579" s="911"/>
    </row>
    <row r="1580" spans="1:1" s="883" customFormat="1">
      <c r="A1580" s="911"/>
    </row>
    <row r="1581" spans="1:1" s="883" customFormat="1">
      <c r="A1581" s="911"/>
    </row>
    <row r="1582" spans="1:1" s="883" customFormat="1">
      <c r="A1582" s="911"/>
    </row>
    <row r="1583" spans="1:1" s="883" customFormat="1">
      <c r="A1583" s="911"/>
    </row>
    <row r="1584" spans="1:1" s="883" customFormat="1">
      <c r="A1584" s="911"/>
    </row>
    <row r="1585" spans="1:1" s="883" customFormat="1">
      <c r="A1585" s="911"/>
    </row>
    <row r="1586" spans="1:1" s="883" customFormat="1">
      <c r="A1586" s="911"/>
    </row>
    <row r="1587" spans="1:1" s="883" customFormat="1">
      <c r="A1587" s="911"/>
    </row>
    <row r="1588" spans="1:1" s="883" customFormat="1">
      <c r="A1588" s="911"/>
    </row>
    <row r="1589" spans="1:1" s="883" customFormat="1">
      <c r="A1589" s="911"/>
    </row>
    <row r="1590" spans="1:1" s="883" customFormat="1">
      <c r="A1590" s="911"/>
    </row>
    <row r="1591" spans="1:1" s="883" customFormat="1">
      <c r="A1591" s="911"/>
    </row>
    <row r="1592" spans="1:1" s="883" customFormat="1">
      <c r="A1592" s="911"/>
    </row>
    <row r="1593" spans="1:1" s="883" customFormat="1">
      <c r="A1593" s="911"/>
    </row>
    <row r="1594" spans="1:1" s="883" customFormat="1">
      <c r="A1594" s="911"/>
    </row>
    <row r="1595" spans="1:1" s="883" customFormat="1">
      <c r="A1595" s="911"/>
    </row>
    <row r="1596" spans="1:1" s="883" customFormat="1">
      <c r="A1596" s="911"/>
    </row>
    <row r="1597" spans="1:1" s="883" customFormat="1">
      <c r="A1597" s="911"/>
    </row>
    <row r="1598" spans="1:1" s="883" customFormat="1">
      <c r="A1598" s="911"/>
    </row>
    <row r="1599" spans="1:1" s="883" customFormat="1">
      <c r="A1599" s="911"/>
    </row>
    <row r="1600" spans="1:1" s="883" customFormat="1">
      <c r="A1600" s="911"/>
    </row>
    <row r="1601" spans="1:1" s="883" customFormat="1">
      <c r="A1601" s="911"/>
    </row>
    <row r="1602" spans="1:1" s="883" customFormat="1">
      <c r="A1602" s="911"/>
    </row>
    <row r="1603" spans="1:1" s="883" customFormat="1">
      <c r="A1603" s="911"/>
    </row>
    <row r="1604" spans="1:1" s="883" customFormat="1">
      <c r="A1604" s="911"/>
    </row>
    <row r="1605" spans="1:1" s="883" customFormat="1">
      <c r="A1605" s="911"/>
    </row>
    <row r="1606" spans="1:1" s="883" customFormat="1">
      <c r="A1606" s="911"/>
    </row>
    <row r="1607" spans="1:1" s="883" customFormat="1">
      <c r="A1607" s="911"/>
    </row>
    <row r="1608" spans="1:1" s="883" customFormat="1">
      <c r="A1608" s="911"/>
    </row>
    <row r="1609" spans="1:1" s="883" customFormat="1">
      <c r="A1609" s="911"/>
    </row>
    <row r="1610" spans="1:1" s="883" customFormat="1">
      <c r="A1610" s="911"/>
    </row>
    <row r="1611" spans="1:1" s="883" customFormat="1">
      <c r="A1611" s="911"/>
    </row>
    <row r="1612" spans="1:1" s="883" customFormat="1">
      <c r="A1612" s="911"/>
    </row>
    <row r="1613" spans="1:1" s="883" customFormat="1">
      <c r="A1613" s="911"/>
    </row>
    <row r="1614" spans="1:1" s="883" customFormat="1">
      <c r="A1614" s="911"/>
    </row>
    <row r="1615" spans="1:1" s="883" customFormat="1">
      <c r="A1615" s="911"/>
    </row>
    <row r="1616" spans="1:1" s="883" customFormat="1">
      <c r="A1616" s="911"/>
    </row>
    <row r="1617" spans="1:1" s="883" customFormat="1">
      <c r="A1617" s="911"/>
    </row>
    <row r="1618" spans="1:1" s="883" customFormat="1">
      <c r="A1618" s="911"/>
    </row>
    <row r="1619" spans="1:1" s="883" customFormat="1">
      <c r="A1619" s="911"/>
    </row>
    <row r="1620" spans="1:1" s="883" customFormat="1">
      <c r="A1620" s="911"/>
    </row>
    <row r="1621" spans="1:1" s="883" customFormat="1">
      <c r="A1621" s="911"/>
    </row>
    <row r="1622" spans="1:1" s="883" customFormat="1">
      <c r="A1622" s="911"/>
    </row>
    <row r="1623" spans="1:1" s="883" customFormat="1">
      <c r="A1623" s="911"/>
    </row>
    <row r="1624" spans="1:1" s="883" customFormat="1">
      <c r="A1624" s="911"/>
    </row>
    <row r="1625" spans="1:1" s="883" customFormat="1">
      <c r="A1625" s="911"/>
    </row>
    <row r="1626" spans="1:1" s="883" customFormat="1">
      <c r="A1626" s="911"/>
    </row>
    <row r="1627" spans="1:1" s="883" customFormat="1">
      <c r="A1627" s="911"/>
    </row>
    <row r="1628" spans="1:1" s="883" customFormat="1">
      <c r="A1628" s="911"/>
    </row>
    <row r="1629" spans="1:1" s="883" customFormat="1">
      <c r="A1629" s="911"/>
    </row>
    <row r="1630" spans="1:1" s="883" customFormat="1">
      <c r="A1630" s="911"/>
    </row>
    <row r="1631" spans="1:1" s="883" customFormat="1">
      <c r="A1631" s="911"/>
    </row>
    <row r="1632" spans="1:1" s="883" customFormat="1">
      <c r="A1632" s="911"/>
    </row>
    <row r="1633" spans="1:1" s="883" customFormat="1">
      <c r="A1633" s="911"/>
    </row>
    <row r="1634" spans="1:1" s="883" customFormat="1">
      <c r="A1634" s="911"/>
    </row>
    <row r="1635" spans="1:1" s="883" customFormat="1">
      <c r="A1635" s="911"/>
    </row>
    <row r="1636" spans="1:1" s="883" customFormat="1">
      <c r="A1636" s="911"/>
    </row>
    <row r="1637" spans="1:1" s="883" customFormat="1">
      <c r="A1637" s="911"/>
    </row>
    <row r="1638" spans="1:1" s="883" customFormat="1">
      <c r="A1638" s="911"/>
    </row>
    <row r="1639" spans="1:1" s="883" customFormat="1">
      <c r="A1639" s="911"/>
    </row>
    <row r="1640" spans="1:1" s="883" customFormat="1">
      <c r="A1640" s="911"/>
    </row>
    <row r="1641" spans="1:1" s="883" customFormat="1">
      <c r="A1641" s="911"/>
    </row>
    <row r="1642" spans="1:1" s="883" customFormat="1">
      <c r="A1642" s="911"/>
    </row>
    <row r="1643" spans="1:1" s="883" customFormat="1">
      <c r="A1643" s="911"/>
    </row>
    <row r="1644" spans="1:1" s="883" customFormat="1">
      <c r="A1644" s="911"/>
    </row>
    <row r="1645" spans="1:1" s="883" customFormat="1">
      <c r="A1645" s="911"/>
    </row>
    <row r="1646" spans="1:1" s="883" customFormat="1">
      <c r="A1646" s="911"/>
    </row>
    <row r="1647" spans="1:1" s="883" customFormat="1">
      <c r="A1647" s="911"/>
    </row>
    <row r="1648" spans="1:1" s="883" customFormat="1">
      <c r="A1648" s="911"/>
    </row>
    <row r="1649" spans="1:1" s="883" customFormat="1">
      <c r="A1649" s="911"/>
    </row>
    <row r="1650" spans="1:1" s="883" customFormat="1">
      <c r="A1650" s="911"/>
    </row>
    <row r="1651" spans="1:1" s="883" customFormat="1">
      <c r="A1651" s="911"/>
    </row>
    <row r="1652" spans="1:1" s="883" customFormat="1">
      <c r="A1652" s="911"/>
    </row>
    <row r="1653" spans="1:1" s="883" customFormat="1">
      <c r="A1653" s="911"/>
    </row>
    <row r="1654" spans="1:1" s="883" customFormat="1">
      <c r="A1654" s="911"/>
    </row>
    <row r="1655" spans="1:1" s="883" customFormat="1">
      <c r="A1655" s="911"/>
    </row>
    <row r="1656" spans="1:1" s="883" customFormat="1">
      <c r="A1656" s="911"/>
    </row>
    <row r="1657" spans="1:1" s="883" customFormat="1">
      <c r="A1657" s="911"/>
    </row>
    <row r="1658" spans="1:1" s="883" customFormat="1">
      <c r="A1658" s="911"/>
    </row>
    <row r="1659" spans="1:1" s="883" customFormat="1">
      <c r="A1659" s="911"/>
    </row>
    <row r="1660" spans="1:1" s="883" customFormat="1">
      <c r="A1660" s="911"/>
    </row>
    <row r="1661" spans="1:1" s="883" customFormat="1">
      <c r="A1661" s="911"/>
    </row>
    <row r="1662" spans="1:1" s="883" customFormat="1">
      <c r="A1662" s="911"/>
    </row>
    <row r="1663" spans="1:1" s="883" customFormat="1">
      <c r="A1663" s="911"/>
    </row>
    <row r="1664" spans="1:1" s="883" customFormat="1">
      <c r="A1664" s="911"/>
    </row>
    <row r="1665" spans="1:1" s="883" customFormat="1">
      <c r="A1665" s="911"/>
    </row>
    <row r="1666" spans="1:1" s="883" customFormat="1">
      <c r="A1666" s="911"/>
    </row>
    <row r="1667" spans="1:1" s="883" customFormat="1">
      <c r="A1667" s="911"/>
    </row>
    <row r="1668" spans="1:1" s="883" customFormat="1">
      <c r="A1668" s="911"/>
    </row>
    <row r="1669" spans="1:1" s="883" customFormat="1">
      <c r="A1669" s="911"/>
    </row>
    <row r="1670" spans="1:1" s="883" customFormat="1">
      <c r="A1670" s="911"/>
    </row>
    <row r="1671" spans="1:1" s="883" customFormat="1">
      <c r="A1671" s="911"/>
    </row>
    <row r="1672" spans="1:1" s="883" customFormat="1">
      <c r="A1672" s="911"/>
    </row>
    <row r="1673" spans="1:1" s="883" customFormat="1">
      <c r="A1673" s="911"/>
    </row>
    <row r="1674" spans="1:1" s="883" customFormat="1">
      <c r="A1674" s="911"/>
    </row>
    <row r="1675" spans="1:1" s="883" customFormat="1">
      <c r="A1675" s="911"/>
    </row>
    <row r="1676" spans="1:1" s="883" customFormat="1">
      <c r="A1676" s="911"/>
    </row>
    <row r="1677" spans="1:1" s="883" customFormat="1">
      <c r="A1677" s="911"/>
    </row>
    <row r="1678" spans="1:1" s="883" customFormat="1">
      <c r="A1678" s="911"/>
    </row>
    <row r="1679" spans="1:1" s="883" customFormat="1">
      <c r="A1679" s="911"/>
    </row>
    <row r="1680" spans="1:1" s="883" customFormat="1">
      <c r="A1680" s="911"/>
    </row>
    <row r="1681" spans="1:1" s="883" customFormat="1">
      <c r="A1681" s="911"/>
    </row>
    <row r="1682" spans="1:1" s="883" customFormat="1">
      <c r="A1682" s="911"/>
    </row>
    <row r="1683" spans="1:1" s="883" customFormat="1">
      <c r="A1683" s="911"/>
    </row>
    <row r="1684" spans="1:1" s="883" customFormat="1">
      <c r="A1684" s="911"/>
    </row>
    <row r="1685" spans="1:1" s="883" customFormat="1">
      <c r="A1685" s="911"/>
    </row>
    <row r="1686" spans="1:1" s="883" customFormat="1">
      <c r="A1686" s="911"/>
    </row>
    <row r="1687" spans="1:1" s="883" customFormat="1">
      <c r="A1687" s="911"/>
    </row>
    <row r="1688" spans="1:1" s="883" customFormat="1">
      <c r="A1688" s="911"/>
    </row>
    <row r="1689" spans="1:1" s="883" customFormat="1">
      <c r="A1689" s="911"/>
    </row>
    <row r="1690" spans="1:1" s="883" customFormat="1">
      <c r="A1690" s="911"/>
    </row>
    <row r="1691" spans="1:1" s="883" customFormat="1">
      <c r="A1691" s="911"/>
    </row>
    <row r="1692" spans="1:1" s="883" customFormat="1">
      <c r="A1692" s="911"/>
    </row>
    <row r="1693" spans="1:1" s="883" customFormat="1">
      <c r="A1693" s="911"/>
    </row>
    <row r="1694" spans="1:1" s="883" customFormat="1">
      <c r="A1694" s="911"/>
    </row>
    <row r="1695" spans="1:1" s="883" customFormat="1">
      <c r="A1695" s="911"/>
    </row>
    <row r="1696" spans="1:1" s="883" customFormat="1">
      <c r="A1696" s="911"/>
    </row>
    <row r="1697" spans="1:1" s="883" customFormat="1">
      <c r="A1697" s="911"/>
    </row>
    <row r="1698" spans="1:1" s="883" customFormat="1">
      <c r="A1698" s="911"/>
    </row>
    <row r="1699" spans="1:1" s="883" customFormat="1">
      <c r="A1699" s="911"/>
    </row>
    <row r="1700" spans="1:1" s="883" customFormat="1">
      <c r="A1700" s="911"/>
    </row>
    <row r="1701" spans="1:1" s="883" customFormat="1">
      <c r="A1701" s="911"/>
    </row>
    <row r="1702" spans="1:1" s="883" customFormat="1">
      <c r="A1702" s="911"/>
    </row>
    <row r="1703" spans="1:1" s="883" customFormat="1">
      <c r="A1703" s="911"/>
    </row>
    <row r="1704" spans="1:1" s="883" customFormat="1">
      <c r="A1704" s="911"/>
    </row>
    <row r="1705" spans="1:1" s="883" customFormat="1">
      <c r="A1705" s="911"/>
    </row>
    <row r="1706" spans="1:1" s="883" customFormat="1">
      <c r="A1706" s="911"/>
    </row>
    <row r="1707" spans="1:1" s="883" customFormat="1">
      <c r="A1707" s="911"/>
    </row>
    <row r="1708" spans="1:1" s="883" customFormat="1">
      <c r="A1708" s="911"/>
    </row>
    <row r="1709" spans="1:1" s="883" customFormat="1">
      <c r="A1709" s="911"/>
    </row>
    <row r="1710" spans="1:1" s="883" customFormat="1">
      <c r="A1710" s="911"/>
    </row>
    <row r="1711" spans="1:1" s="883" customFormat="1">
      <c r="A1711" s="911"/>
    </row>
    <row r="1712" spans="1:1" s="883" customFormat="1">
      <c r="A1712" s="911"/>
    </row>
    <row r="1713" spans="1:1" s="883" customFormat="1">
      <c r="A1713" s="911"/>
    </row>
    <row r="1714" spans="1:1" s="883" customFormat="1">
      <c r="A1714" s="911"/>
    </row>
    <row r="1715" spans="1:1" s="883" customFormat="1">
      <c r="A1715" s="911"/>
    </row>
    <row r="1716" spans="1:1" s="883" customFormat="1">
      <c r="A1716" s="911"/>
    </row>
    <row r="1717" spans="1:1" s="883" customFormat="1">
      <c r="A1717" s="911"/>
    </row>
    <row r="1718" spans="1:1" s="883" customFormat="1">
      <c r="A1718" s="911"/>
    </row>
    <row r="1719" spans="1:1" s="883" customFormat="1">
      <c r="A1719" s="911"/>
    </row>
    <row r="1720" spans="1:1" s="883" customFormat="1">
      <c r="A1720" s="911"/>
    </row>
    <row r="1721" spans="1:1" s="883" customFormat="1">
      <c r="A1721" s="911"/>
    </row>
    <row r="1722" spans="1:1" s="883" customFormat="1">
      <c r="A1722" s="911"/>
    </row>
    <row r="1723" spans="1:1" s="883" customFormat="1">
      <c r="A1723" s="911"/>
    </row>
    <row r="1724" spans="1:1" s="883" customFormat="1">
      <c r="A1724" s="911"/>
    </row>
    <row r="1725" spans="1:1" s="883" customFormat="1">
      <c r="A1725" s="911"/>
    </row>
    <row r="1726" spans="1:1" s="883" customFormat="1">
      <c r="A1726" s="911"/>
    </row>
    <row r="1727" spans="1:1" s="883" customFormat="1">
      <c r="A1727" s="911"/>
    </row>
    <row r="1728" spans="1:1" s="883" customFormat="1">
      <c r="A1728" s="911"/>
    </row>
    <row r="1729" spans="1:1" s="883" customFormat="1">
      <c r="A1729" s="911"/>
    </row>
    <row r="1730" spans="1:1" s="883" customFormat="1">
      <c r="A1730" s="911"/>
    </row>
    <row r="1731" spans="1:1" s="883" customFormat="1">
      <c r="A1731" s="911"/>
    </row>
    <row r="1732" spans="1:1" s="883" customFormat="1">
      <c r="A1732" s="911"/>
    </row>
    <row r="1733" spans="1:1" s="883" customFormat="1">
      <c r="A1733" s="911"/>
    </row>
    <row r="1734" spans="1:1" s="883" customFormat="1">
      <c r="A1734" s="911"/>
    </row>
    <row r="1735" spans="1:1" s="883" customFormat="1">
      <c r="A1735" s="911"/>
    </row>
    <row r="1736" spans="1:1" s="883" customFormat="1">
      <c r="A1736" s="911"/>
    </row>
    <row r="1737" spans="1:1" s="883" customFormat="1">
      <c r="A1737" s="911"/>
    </row>
    <row r="1738" spans="1:1" s="883" customFormat="1">
      <c r="A1738" s="911"/>
    </row>
    <row r="1739" spans="1:1" s="883" customFormat="1">
      <c r="A1739" s="911"/>
    </row>
    <row r="1740" spans="1:1" s="883" customFormat="1">
      <c r="A1740" s="911"/>
    </row>
    <row r="1741" spans="1:1" s="883" customFormat="1">
      <c r="A1741" s="911"/>
    </row>
    <row r="1742" spans="1:1" s="883" customFormat="1">
      <c r="A1742" s="911"/>
    </row>
    <row r="1743" spans="1:1" s="883" customFormat="1">
      <c r="A1743" s="911"/>
    </row>
    <row r="1744" spans="1:1" s="883" customFormat="1">
      <c r="A1744" s="911"/>
    </row>
    <row r="1745" spans="1:1" s="883" customFormat="1">
      <c r="A1745" s="911"/>
    </row>
    <row r="1746" spans="1:1" s="883" customFormat="1">
      <c r="A1746" s="911"/>
    </row>
    <row r="1747" spans="1:1" s="883" customFormat="1">
      <c r="A1747" s="911"/>
    </row>
    <row r="1748" spans="1:1" s="883" customFormat="1">
      <c r="A1748" s="911"/>
    </row>
    <row r="1749" spans="1:1" s="883" customFormat="1">
      <c r="A1749" s="911"/>
    </row>
    <row r="1750" spans="1:1" s="883" customFormat="1">
      <c r="A1750" s="911"/>
    </row>
    <row r="1751" spans="1:1" s="883" customFormat="1">
      <c r="A1751" s="911"/>
    </row>
    <row r="1752" spans="1:1" s="883" customFormat="1">
      <c r="A1752" s="911"/>
    </row>
    <row r="1753" spans="1:1" s="883" customFormat="1">
      <c r="A1753" s="911"/>
    </row>
    <row r="1754" spans="1:1" s="883" customFormat="1">
      <c r="A1754" s="911"/>
    </row>
    <row r="1755" spans="1:1" s="883" customFormat="1">
      <c r="A1755" s="911"/>
    </row>
    <row r="1756" spans="1:1" s="883" customFormat="1">
      <c r="A1756" s="911"/>
    </row>
    <row r="1757" spans="1:1" s="883" customFormat="1">
      <c r="A1757" s="911"/>
    </row>
    <row r="1758" spans="1:1" s="883" customFormat="1">
      <c r="A1758" s="911"/>
    </row>
    <row r="1759" spans="1:1" s="883" customFormat="1">
      <c r="A1759" s="911"/>
    </row>
    <row r="1760" spans="1:1" s="883" customFormat="1">
      <c r="A1760" s="911"/>
    </row>
    <row r="1761" spans="1:1" s="883" customFormat="1">
      <c r="A1761" s="911"/>
    </row>
    <row r="1762" spans="1:1" s="883" customFormat="1">
      <c r="A1762" s="911"/>
    </row>
    <row r="1763" spans="1:1" s="883" customFormat="1">
      <c r="A1763" s="911"/>
    </row>
    <row r="1764" spans="1:1" s="883" customFormat="1">
      <c r="A1764" s="911"/>
    </row>
    <row r="1765" spans="1:1" s="883" customFormat="1">
      <c r="A1765" s="911"/>
    </row>
    <row r="1766" spans="1:1" s="883" customFormat="1">
      <c r="A1766" s="911"/>
    </row>
    <row r="1767" spans="1:1" s="883" customFormat="1">
      <c r="A1767" s="911"/>
    </row>
    <row r="1768" spans="1:1" s="883" customFormat="1">
      <c r="A1768" s="911"/>
    </row>
    <row r="1769" spans="1:1" s="883" customFormat="1">
      <c r="A1769" s="911"/>
    </row>
    <row r="1770" spans="1:1" s="883" customFormat="1">
      <c r="A1770" s="911"/>
    </row>
    <row r="1771" spans="1:1" s="883" customFormat="1">
      <c r="A1771" s="911"/>
    </row>
    <row r="1772" spans="1:1" s="883" customFormat="1">
      <c r="A1772" s="911"/>
    </row>
    <row r="1773" spans="1:1" s="883" customFormat="1">
      <c r="A1773" s="911"/>
    </row>
    <row r="1774" spans="1:1" s="883" customFormat="1">
      <c r="A1774" s="911"/>
    </row>
    <row r="1775" spans="1:1" s="883" customFormat="1">
      <c r="A1775" s="911"/>
    </row>
    <row r="1776" spans="1:1" s="883" customFormat="1">
      <c r="A1776" s="911"/>
    </row>
    <row r="1777" spans="1:1" s="883" customFormat="1">
      <c r="A1777" s="911"/>
    </row>
    <row r="1778" spans="1:1" s="883" customFormat="1">
      <c r="A1778" s="911"/>
    </row>
    <row r="1779" spans="1:1" s="883" customFormat="1">
      <c r="A1779" s="911"/>
    </row>
    <row r="1780" spans="1:1" s="883" customFormat="1">
      <c r="A1780" s="911"/>
    </row>
    <row r="1781" spans="1:1" s="883" customFormat="1">
      <c r="A1781" s="911"/>
    </row>
    <row r="1782" spans="1:1" s="883" customFormat="1">
      <c r="A1782" s="911"/>
    </row>
    <row r="1783" spans="1:1" s="883" customFormat="1">
      <c r="A1783" s="911"/>
    </row>
    <row r="1784" spans="1:1" s="883" customFormat="1">
      <c r="A1784" s="911"/>
    </row>
    <row r="1785" spans="1:1" s="883" customFormat="1">
      <c r="A1785" s="911"/>
    </row>
    <row r="1786" spans="1:1" s="883" customFormat="1">
      <c r="A1786" s="911"/>
    </row>
    <row r="1787" spans="1:1" s="883" customFormat="1">
      <c r="A1787" s="911"/>
    </row>
    <row r="1788" spans="1:1" s="883" customFormat="1">
      <c r="A1788" s="911"/>
    </row>
    <row r="1789" spans="1:1" s="883" customFormat="1">
      <c r="A1789" s="911"/>
    </row>
    <row r="1790" spans="1:1" s="883" customFormat="1">
      <c r="A1790" s="911"/>
    </row>
    <row r="1791" spans="1:1" s="883" customFormat="1">
      <c r="A1791" s="911"/>
    </row>
    <row r="1792" spans="1:1" s="883" customFormat="1">
      <c r="A1792" s="911"/>
    </row>
    <row r="1793" spans="1:1" s="883" customFormat="1">
      <c r="A1793" s="911"/>
    </row>
    <row r="1794" spans="1:1" s="883" customFormat="1">
      <c r="A1794" s="911"/>
    </row>
    <row r="1795" spans="1:1" s="883" customFormat="1">
      <c r="A1795" s="911"/>
    </row>
    <row r="1796" spans="1:1" s="883" customFormat="1">
      <c r="A1796" s="911"/>
    </row>
    <row r="1797" spans="1:1" s="883" customFormat="1">
      <c r="A1797" s="911"/>
    </row>
    <row r="1798" spans="1:1" s="883" customFormat="1">
      <c r="A1798" s="911"/>
    </row>
    <row r="1799" spans="1:1" s="883" customFormat="1">
      <c r="A1799" s="911"/>
    </row>
    <row r="1800" spans="1:1" s="883" customFormat="1">
      <c r="A1800" s="911"/>
    </row>
    <row r="1801" spans="1:1" s="883" customFormat="1">
      <c r="A1801" s="911"/>
    </row>
    <row r="1802" spans="1:1" s="883" customFormat="1">
      <c r="A1802" s="911"/>
    </row>
    <row r="1803" spans="1:1" s="883" customFormat="1">
      <c r="A1803" s="911"/>
    </row>
    <row r="1804" spans="1:1" s="883" customFormat="1">
      <c r="A1804" s="911"/>
    </row>
    <row r="1805" spans="1:1" s="883" customFormat="1">
      <c r="A1805" s="911"/>
    </row>
    <row r="1806" spans="1:1" s="883" customFormat="1">
      <c r="A1806" s="911"/>
    </row>
    <row r="1807" spans="1:1" s="883" customFormat="1">
      <c r="A1807" s="911"/>
    </row>
    <row r="1808" spans="1:1" s="883" customFormat="1">
      <c r="A1808" s="911"/>
    </row>
    <row r="1809" spans="1:1" s="883" customFormat="1">
      <c r="A1809" s="911"/>
    </row>
    <row r="1810" spans="1:1" s="883" customFormat="1">
      <c r="A1810" s="911"/>
    </row>
    <row r="1811" spans="1:1" s="883" customFormat="1">
      <c r="A1811" s="911"/>
    </row>
    <row r="1812" spans="1:1" s="883" customFormat="1">
      <c r="A1812" s="911"/>
    </row>
    <row r="1813" spans="1:1" s="883" customFormat="1">
      <c r="A1813" s="911"/>
    </row>
    <row r="1814" spans="1:1" s="883" customFormat="1">
      <c r="A1814" s="911"/>
    </row>
    <row r="1815" spans="1:1" s="883" customFormat="1">
      <c r="A1815" s="911"/>
    </row>
    <row r="1816" spans="1:1" s="883" customFormat="1">
      <c r="A1816" s="911"/>
    </row>
    <row r="1817" spans="1:1" s="883" customFormat="1">
      <c r="A1817" s="911"/>
    </row>
    <row r="1818" spans="1:1" s="883" customFormat="1">
      <c r="A1818" s="911"/>
    </row>
    <row r="1819" spans="1:1" s="883" customFormat="1">
      <c r="A1819" s="911"/>
    </row>
    <row r="1820" spans="1:1" s="883" customFormat="1">
      <c r="A1820" s="911"/>
    </row>
    <row r="1821" spans="1:1" s="883" customFormat="1">
      <c r="A1821" s="911"/>
    </row>
    <row r="1822" spans="1:1" s="883" customFormat="1">
      <c r="A1822" s="911"/>
    </row>
    <row r="1823" spans="1:1" s="883" customFormat="1">
      <c r="A1823" s="911"/>
    </row>
    <row r="1824" spans="1:1" s="883" customFormat="1">
      <c r="A1824" s="911"/>
    </row>
    <row r="1825" spans="1:1" s="883" customFormat="1">
      <c r="A1825" s="911"/>
    </row>
    <row r="1826" spans="1:1" s="883" customFormat="1">
      <c r="A1826" s="911"/>
    </row>
    <row r="1827" spans="1:1" s="883" customFormat="1">
      <c r="A1827" s="911"/>
    </row>
    <row r="1828" spans="1:1" s="883" customFormat="1">
      <c r="A1828" s="911"/>
    </row>
    <row r="1829" spans="1:1" s="883" customFormat="1">
      <c r="A1829" s="911"/>
    </row>
    <row r="1830" spans="1:1" s="883" customFormat="1">
      <c r="A1830" s="911"/>
    </row>
    <row r="1831" spans="1:1" s="883" customFormat="1">
      <c r="A1831" s="911"/>
    </row>
    <row r="1832" spans="1:1" s="883" customFormat="1">
      <c r="A1832" s="911"/>
    </row>
    <row r="1833" spans="1:1" s="883" customFormat="1">
      <c r="A1833" s="911"/>
    </row>
    <row r="1834" spans="1:1" s="883" customFormat="1">
      <c r="A1834" s="911"/>
    </row>
    <row r="1835" spans="1:1" s="883" customFormat="1">
      <c r="A1835" s="911"/>
    </row>
    <row r="1836" spans="1:1" s="883" customFormat="1">
      <c r="A1836" s="911"/>
    </row>
    <row r="1837" spans="1:1" s="883" customFormat="1">
      <c r="A1837" s="911"/>
    </row>
    <row r="1838" spans="1:1" s="883" customFormat="1">
      <c r="A1838" s="911"/>
    </row>
    <row r="1839" spans="1:1" s="883" customFormat="1">
      <c r="A1839" s="911"/>
    </row>
    <row r="1840" spans="1:1" s="883" customFormat="1">
      <c r="A1840" s="911"/>
    </row>
    <row r="1841" spans="1:1" s="883" customFormat="1">
      <c r="A1841" s="911"/>
    </row>
    <row r="1842" spans="1:1" s="883" customFormat="1">
      <c r="A1842" s="911"/>
    </row>
    <row r="1843" spans="1:1" s="883" customFormat="1">
      <c r="A1843" s="911"/>
    </row>
    <row r="1844" spans="1:1" s="883" customFormat="1">
      <c r="A1844" s="911"/>
    </row>
    <row r="1845" spans="1:1" s="883" customFormat="1">
      <c r="A1845" s="911"/>
    </row>
    <row r="1846" spans="1:1" s="883" customFormat="1">
      <c r="A1846" s="911"/>
    </row>
    <row r="1847" spans="1:1" s="883" customFormat="1">
      <c r="A1847" s="911"/>
    </row>
    <row r="1848" spans="1:1" s="883" customFormat="1">
      <c r="A1848" s="911"/>
    </row>
    <row r="1849" spans="1:1" s="883" customFormat="1">
      <c r="A1849" s="911"/>
    </row>
    <row r="1850" spans="1:1" s="883" customFormat="1">
      <c r="A1850" s="911"/>
    </row>
    <row r="1851" spans="1:1" s="883" customFormat="1">
      <c r="A1851" s="911"/>
    </row>
    <row r="1852" spans="1:1" s="883" customFormat="1">
      <c r="A1852" s="911"/>
    </row>
    <row r="1853" spans="1:1" s="883" customFormat="1">
      <c r="A1853" s="911"/>
    </row>
    <row r="1854" spans="1:1" s="883" customFormat="1">
      <c r="A1854" s="911"/>
    </row>
    <row r="1855" spans="1:1" s="883" customFormat="1">
      <c r="A1855" s="911"/>
    </row>
    <row r="1856" spans="1:1" s="883" customFormat="1">
      <c r="A1856" s="911"/>
    </row>
    <row r="1857" spans="1:1" s="883" customFormat="1">
      <c r="A1857" s="911"/>
    </row>
    <row r="1858" spans="1:1" s="883" customFormat="1">
      <c r="A1858" s="911"/>
    </row>
    <row r="1859" spans="1:1" s="883" customFormat="1">
      <c r="A1859" s="911"/>
    </row>
    <row r="1860" spans="1:1" s="883" customFormat="1">
      <c r="A1860" s="911"/>
    </row>
    <row r="1861" spans="1:1" s="883" customFormat="1">
      <c r="A1861" s="911"/>
    </row>
    <row r="1862" spans="1:1" s="883" customFormat="1">
      <c r="A1862" s="911"/>
    </row>
    <row r="1863" spans="1:1" s="883" customFormat="1">
      <c r="A1863" s="911"/>
    </row>
    <row r="1864" spans="1:1" s="883" customFormat="1">
      <c r="A1864" s="911"/>
    </row>
    <row r="1865" spans="1:1" s="883" customFormat="1">
      <c r="A1865" s="911"/>
    </row>
    <row r="1866" spans="1:1" s="883" customFormat="1">
      <c r="A1866" s="911"/>
    </row>
    <row r="1867" spans="1:1" s="883" customFormat="1">
      <c r="A1867" s="911"/>
    </row>
    <row r="1868" spans="1:1" s="883" customFormat="1">
      <c r="A1868" s="911"/>
    </row>
    <row r="1869" spans="1:1" s="883" customFormat="1">
      <c r="A1869" s="911"/>
    </row>
    <row r="1870" spans="1:1" s="883" customFormat="1">
      <c r="A1870" s="911"/>
    </row>
    <row r="1871" spans="1:1" s="883" customFormat="1">
      <c r="A1871" s="911"/>
    </row>
    <row r="1872" spans="1:1" s="883" customFormat="1">
      <c r="A1872" s="911"/>
    </row>
    <row r="1873" spans="1:1" s="883" customFormat="1">
      <c r="A1873" s="911"/>
    </row>
    <row r="1874" spans="1:1" s="883" customFormat="1">
      <c r="A1874" s="911"/>
    </row>
    <row r="1875" spans="1:1" s="883" customFormat="1">
      <c r="A1875" s="911"/>
    </row>
    <row r="1876" spans="1:1" s="883" customFormat="1">
      <c r="A1876" s="911"/>
    </row>
    <row r="1877" spans="1:1" s="883" customFormat="1">
      <c r="A1877" s="911"/>
    </row>
    <row r="1878" spans="1:1" s="883" customFormat="1">
      <c r="A1878" s="911"/>
    </row>
    <row r="1879" spans="1:1" s="883" customFormat="1">
      <c r="A1879" s="911"/>
    </row>
    <row r="1880" spans="1:1" s="883" customFormat="1">
      <c r="A1880" s="911"/>
    </row>
    <row r="1881" spans="1:1" s="883" customFormat="1">
      <c r="A1881" s="911"/>
    </row>
    <row r="1882" spans="1:1" s="883" customFormat="1">
      <c r="A1882" s="911"/>
    </row>
    <row r="1883" spans="1:1" s="883" customFormat="1">
      <c r="A1883" s="911"/>
    </row>
    <row r="1884" spans="1:1" s="883" customFormat="1">
      <c r="A1884" s="911"/>
    </row>
    <row r="1885" spans="1:1" s="883" customFormat="1">
      <c r="A1885" s="911"/>
    </row>
    <row r="1886" spans="1:1" s="883" customFormat="1">
      <c r="A1886" s="911"/>
    </row>
    <row r="1887" spans="1:1" s="883" customFormat="1">
      <c r="A1887" s="911"/>
    </row>
    <row r="1888" spans="1:1" s="883" customFormat="1">
      <c r="A1888" s="911"/>
    </row>
    <row r="1889" spans="1:1" s="883" customFormat="1">
      <c r="A1889" s="911"/>
    </row>
    <row r="1890" spans="1:1" s="883" customFormat="1">
      <c r="A1890" s="911"/>
    </row>
    <row r="1891" spans="1:1" s="883" customFormat="1">
      <c r="A1891" s="911"/>
    </row>
    <row r="1892" spans="1:1" s="883" customFormat="1">
      <c r="A1892" s="911"/>
    </row>
    <row r="1893" spans="1:1" s="883" customFormat="1">
      <c r="A1893" s="911"/>
    </row>
    <row r="1894" spans="1:1" s="883" customFormat="1">
      <c r="A1894" s="911"/>
    </row>
    <row r="1895" spans="1:1" s="883" customFormat="1">
      <c r="A1895" s="911"/>
    </row>
    <row r="1896" spans="1:1" s="883" customFormat="1">
      <c r="A1896" s="911"/>
    </row>
    <row r="1897" spans="1:1" s="883" customFormat="1">
      <c r="A1897" s="911"/>
    </row>
    <row r="1898" spans="1:1" s="883" customFormat="1">
      <c r="A1898" s="911"/>
    </row>
    <row r="1899" spans="1:1" s="883" customFormat="1">
      <c r="A1899" s="911"/>
    </row>
    <row r="1900" spans="1:1" s="883" customFormat="1">
      <c r="A1900" s="911"/>
    </row>
    <row r="1901" spans="1:1" s="883" customFormat="1">
      <c r="A1901" s="911"/>
    </row>
    <row r="1902" spans="1:1" s="883" customFormat="1">
      <c r="A1902" s="911"/>
    </row>
    <row r="1903" spans="1:1" s="883" customFormat="1">
      <c r="A1903" s="911"/>
    </row>
    <row r="1904" spans="1:1" s="883" customFormat="1">
      <c r="A1904" s="911"/>
    </row>
    <row r="1905" spans="1:1" s="883" customFormat="1">
      <c r="A1905" s="911"/>
    </row>
    <row r="1906" spans="1:1" s="883" customFormat="1">
      <c r="A1906" s="911"/>
    </row>
    <row r="1907" spans="1:1" s="883" customFormat="1">
      <c r="A1907" s="911"/>
    </row>
    <row r="1908" spans="1:1" s="883" customFormat="1">
      <c r="A1908" s="911"/>
    </row>
    <row r="1909" spans="1:1" s="883" customFormat="1">
      <c r="A1909" s="911"/>
    </row>
    <row r="1910" spans="1:1" s="883" customFormat="1">
      <c r="A1910" s="911"/>
    </row>
    <row r="1911" spans="1:1" s="883" customFormat="1">
      <c r="A1911" s="911"/>
    </row>
    <row r="1912" spans="1:1" s="883" customFormat="1">
      <c r="A1912" s="911"/>
    </row>
    <row r="1913" spans="1:1" s="883" customFormat="1">
      <c r="A1913" s="911"/>
    </row>
    <row r="1914" spans="1:1" s="883" customFormat="1">
      <c r="A1914" s="911"/>
    </row>
    <row r="1915" spans="1:1" s="883" customFormat="1">
      <c r="A1915" s="911"/>
    </row>
    <row r="1916" spans="1:1" s="883" customFormat="1">
      <c r="A1916" s="911"/>
    </row>
    <row r="1917" spans="1:1" s="883" customFormat="1">
      <c r="A1917" s="911"/>
    </row>
    <row r="1918" spans="1:1" s="883" customFormat="1">
      <c r="A1918" s="911"/>
    </row>
    <row r="1919" spans="1:1" s="883" customFormat="1">
      <c r="A1919" s="911"/>
    </row>
    <row r="1920" spans="1:1" s="883" customFormat="1">
      <c r="A1920" s="911"/>
    </row>
    <row r="1921" spans="1:1" s="883" customFormat="1">
      <c r="A1921" s="911"/>
    </row>
    <row r="1922" spans="1:1" s="883" customFormat="1">
      <c r="A1922" s="911"/>
    </row>
    <row r="1923" spans="1:1" s="883" customFormat="1">
      <c r="A1923" s="911"/>
    </row>
    <row r="1924" spans="1:1" s="883" customFormat="1">
      <c r="A1924" s="911"/>
    </row>
    <row r="1925" spans="1:1" s="883" customFormat="1">
      <c r="A1925" s="911"/>
    </row>
    <row r="1926" spans="1:1" s="883" customFormat="1">
      <c r="A1926" s="911"/>
    </row>
    <row r="1927" spans="1:1" s="883" customFormat="1">
      <c r="A1927" s="911"/>
    </row>
    <row r="1928" spans="1:1" s="883" customFormat="1">
      <c r="A1928" s="911"/>
    </row>
    <row r="1929" spans="1:1" s="883" customFormat="1">
      <c r="A1929" s="911"/>
    </row>
    <row r="1930" spans="1:1" s="883" customFormat="1">
      <c r="A1930" s="911"/>
    </row>
    <row r="1931" spans="1:1" s="883" customFormat="1">
      <c r="A1931" s="911"/>
    </row>
    <row r="1932" spans="1:1" s="883" customFormat="1">
      <c r="A1932" s="911"/>
    </row>
    <row r="1933" spans="1:1" s="883" customFormat="1">
      <c r="A1933" s="911"/>
    </row>
    <row r="1934" spans="1:1" s="883" customFormat="1">
      <c r="A1934" s="911"/>
    </row>
    <row r="1935" spans="1:1" s="883" customFormat="1">
      <c r="A1935" s="911"/>
    </row>
    <row r="1936" spans="1:1" s="883" customFormat="1">
      <c r="A1936" s="911"/>
    </row>
    <row r="1937" spans="1:1" s="883" customFormat="1">
      <c r="A1937" s="911"/>
    </row>
    <row r="1938" spans="1:1" s="883" customFormat="1">
      <c r="A1938" s="911"/>
    </row>
    <row r="1939" spans="1:1" s="883" customFormat="1">
      <c r="A1939" s="911"/>
    </row>
    <row r="1940" spans="1:1" s="883" customFormat="1">
      <c r="A1940" s="911"/>
    </row>
    <row r="1941" spans="1:1" s="883" customFormat="1">
      <c r="A1941" s="911"/>
    </row>
    <row r="1942" spans="1:1" s="883" customFormat="1">
      <c r="A1942" s="911"/>
    </row>
    <row r="1943" spans="1:1" s="883" customFormat="1">
      <c r="A1943" s="911"/>
    </row>
    <row r="1944" spans="1:1" s="883" customFormat="1">
      <c r="A1944" s="911"/>
    </row>
    <row r="1945" spans="1:1" s="883" customFormat="1">
      <c r="A1945" s="911"/>
    </row>
    <row r="1946" spans="1:1" s="883" customFormat="1">
      <c r="A1946" s="911"/>
    </row>
    <row r="1947" spans="1:1" s="883" customFormat="1">
      <c r="A1947" s="911"/>
    </row>
    <row r="1948" spans="1:1" s="883" customFormat="1">
      <c r="A1948" s="911"/>
    </row>
    <row r="1949" spans="1:1" s="883" customFormat="1">
      <c r="A1949" s="911"/>
    </row>
    <row r="1950" spans="1:1" s="883" customFormat="1">
      <c r="A1950" s="911"/>
    </row>
    <row r="1951" spans="1:1" s="883" customFormat="1">
      <c r="A1951" s="911"/>
    </row>
    <row r="1952" spans="1:1" s="883" customFormat="1">
      <c r="A1952" s="911"/>
    </row>
    <row r="1953" spans="1:1" s="883" customFormat="1">
      <c r="A1953" s="911"/>
    </row>
    <row r="1954" spans="1:1" s="883" customFormat="1">
      <c r="A1954" s="911"/>
    </row>
    <row r="1955" spans="1:1" s="883" customFormat="1">
      <c r="A1955" s="911"/>
    </row>
    <row r="1956" spans="1:1" s="883" customFormat="1">
      <c r="A1956" s="911"/>
    </row>
    <row r="1957" spans="1:1" s="883" customFormat="1">
      <c r="A1957" s="911"/>
    </row>
    <row r="1958" spans="1:1" s="883" customFormat="1">
      <c r="A1958" s="911"/>
    </row>
    <row r="1959" spans="1:1" s="883" customFormat="1">
      <c r="A1959" s="911"/>
    </row>
    <row r="1960" spans="1:1" s="883" customFormat="1">
      <c r="A1960" s="911"/>
    </row>
    <row r="1961" spans="1:1" s="883" customFormat="1">
      <c r="A1961" s="911"/>
    </row>
    <row r="1962" spans="1:1" s="883" customFormat="1">
      <c r="A1962" s="911"/>
    </row>
    <row r="1963" spans="1:1" s="883" customFormat="1">
      <c r="A1963" s="911"/>
    </row>
    <row r="1964" spans="1:1" s="883" customFormat="1">
      <c r="A1964" s="911"/>
    </row>
    <row r="1965" spans="1:1" s="883" customFormat="1">
      <c r="A1965" s="911"/>
    </row>
    <row r="1966" spans="1:1" s="883" customFormat="1">
      <c r="A1966" s="911"/>
    </row>
    <row r="1967" spans="1:1" s="883" customFormat="1" ht="17.25" customHeight="1">
      <c r="A1967" s="911"/>
    </row>
    <row r="1968" spans="1:1" s="883" customFormat="1">
      <c r="A1968" s="911"/>
    </row>
    <row r="1969" spans="1:1" s="883" customFormat="1">
      <c r="A1969" s="911"/>
    </row>
    <row r="1970" spans="1:1" s="883" customFormat="1">
      <c r="A1970" s="911"/>
    </row>
    <row r="1971" spans="1:1" s="883" customFormat="1">
      <c r="A1971" s="911"/>
    </row>
    <row r="1972" spans="1:1" s="883" customFormat="1">
      <c r="A1972" s="911"/>
    </row>
    <row r="1973" spans="1:1" s="883" customFormat="1">
      <c r="A1973" s="911"/>
    </row>
    <row r="1974" spans="1:1" s="883" customFormat="1">
      <c r="A1974" s="911"/>
    </row>
    <row r="1975" spans="1:1" s="883" customFormat="1">
      <c r="A1975" s="911"/>
    </row>
    <row r="1976" spans="1:1" s="883" customFormat="1">
      <c r="A1976" s="911"/>
    </row>
    <row r="1977" spans="1:1" s="883" customFormat="1">
      <c r="A1977" s="911"/>
    </row>
    <row r="1978" spans="1:1" s="883" customFormat="1">
      <c r="A1978" s="911"/>
    </row>
    <row r="1979" spans="1:1" s="883" customFormat="1">
      <c r="A1979" s="911"/>
    </row>
    <row r="1980" spans="1:1" s="883" customFormat="1">
      <c r="A1980" s="911"/>
    </row>
    <row r="1981" spans="1:1" s="883" customFormat="1">
      <c r="A1981" s="911"/>
    </row>
    <row r="1982" spans="1:1" s="883" customFormat="1">
      <c r="A1982" s="911"/>
    </row>
    <row r="1983" spans="1:1" s="883" customFormat="1">
      <c r="A1983" s="911"/>
    </row>
    <row r="1984" spans="1:1" s="883" customFormat="1">
      <c r="A1984" s="911"/>
    </row>
    <row r="1985" spans="1:1" s="883" customFormat="1">
      <c r="A1985" s="911"/>
    </row>
    <row r="1986" spans="1:1" s="883" customFormat="1">
      <c r="A1986" s="911"/>
    </row>
    <row r="1987" spans="1:1" s="883" customFormat="1">
      <c r="A1987" s="911"/>
    </row>
    <row r="1988" spans="1:1" s="883" customFormat="1">
      <c r="A1988" s="911"/>
    </row>
    <row r="1989" spans="1:1" s="883" customFormat="1">
      <c r="A1989" s="911"/>
    </row>
    <row r="1990" spans="1:1" s="883" customFormat="1">
      <c r="A1990" s="911"/>
    </row>
    <row r="1991" spans="1:1" s="883" customFormat="1">
      <c r="A1991" s="911"/>
    </row>
    <row r="1992" spans="1:1" s="883" customFormat="1">
      <c r="A1992" s="911"/>
    </row>
    <row r="1993" spans="1:1" s="883" customFormat="1">
      <c r="A1993" s="911"/>
    </row>
    <row r="1994" spans="1:1" s="883" customFormat="1">
      <c r="A1994" s="911"/>
    </row>
    <row r="1995" spans="1:1" s="883" customFormat="1">
      <c r="A1995" s="911"/>
    </row>
    <row r="1996" spans="1:1" s="883" customFormat="1">
      <c r="A1996" s="911"/>
    </row>
    <row r="1997" spans="1:1" s="883" customFormat="1">
      <c r="A1997" s="911"/>
    </row>
    <row r="1998" spans="1:1" s="883" customFormat="1">
      <c r="A1998" s="911"/>
    </row>
    <row r="1999" spans="1:1" s="883" customFormat="1">
      <c r="A1999" s="884"/>
    </row>
  </sheetData>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79489" r:id="rId3" name="NavigateCombBox">
              <controlPr defaultSize="0" autoPict="0" macro="[0]!NavigateBox">
                <anchor moveWithCells="1">
                  <from>
                    <xdr:col>0</xdr:col>
                    <xdr:colOff>0</xdr:colOff>
                    <xdr:row>0</xdr:row>
                    <xdr:rowOff>0</xdr:rowOff>
                  </from>
                  <to>
                    <xdr:col>0</xdr:col>
                    <xdr:colOff>1945809</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0" tint="-0.14996795556505021"/>
  </sheetPr>
  <dimension ref="A1:I461"/>
  <sheetViews>
    <sheetView tabSelected="1" workbookViewId="0">
      <pane xSplit="2" ySplit="2" topLeftCell="C90" activePane="bottomRight" state="frozen"/>
      <selection pane="topRight"/>
      <selection pane="bottomLeft"/>
      <selection pane="bottomRight" activeCell="A2" sqref="A2"/>
    </sheetView>
  </sheetViews>
  <sheetFormatPr defaultColWidth="9" defaultRowHeight="14.35" outlineLevelRow="1"/>
  <cols>
    <col min="1" max="1" width="17" style="5" customWidth="1"/>
    <col min="2" max="2" width="39.75" style="5" customWidth="1"/>
    <col min="3" max="6" width="8.1875" style="5" bestFit="1" customWidth="1"/>
    <col min="7" max="7" width="17.125" style="5" customWidth="1"/>
    <col min="8" max="8" width="9.75" style="5" customWidth="1"/>
    <col min="9" max="9" width="10.75" style="2" customWidth="1"/>
    <col min="10" max="16384" width="9" style="5"/>
  </cols>
  <sheetData>
    <row r="1" spans="1:9" ht="23.4" customHeight="1">
      <c r="A1" s="847"/>
      <c r="B1" s="848"/>
      <c r="C1" s="102"/>
      <c r="D1" s="102"/>
      <c r="E1" s="102"/>
      <c r="F1" s="102"/>
      <c r="I1" s="867"/>
    </row>
    <row r="2" spans="1:9">
      <c r="A2" s="849" t="str">
        <f>'历史年度（原始）'!A2</f>
        <v>单位：亿元</v>
      </c>
      <c r="B2" s="850"/>
      <c r="C2" s="851">
        <v>42369</v>
      </c>
      <c r="D2" s="851">
        <v>42735</v>
      </c>
      <c r="E2" s="851">
        <v>43100</v>
      </c>
      <c r="F2" s="851">
        <v>43465</v>
      </c>
      <c r="I2" s="868"/>
    </row>
    <row r="3" spans="1:9">
      <c r="A3" s="852" t="s">
        <v>855</v>
      </c>
      <c r="B3" s="848"/>
      <c r="I3" s="868"/>
    </row>
    <row r="4" spans="1:9" outlineLevel="1">
      <c r="A4" s="853" t="s">
        <v>856</v>
      </c>
      <c r="B4" s="848"/>
      <c r="I4" s="868"/>
    </row>
    <row r="5" spans="1:9" outlineLevel="1">
      <c r="A5" s="854"/>
      <c r="B5" s="855" t="s">
        <v>857</v>
      </c>
      <c r="C5" s="102">
        <f>'历史年度（原始）'!B7</f>
        <v>13.1927602149</v>
      </c>
      <c r="D5" s="102">
        <f>'历史年度（原始）'!C7</f>
        <v>17.362587665</v>
      </c>
      <c r="E5" s="102">
        <f>'历史年度（原始）'!D7</f>
        <v>19.875579137999999</v>
      </c>
      <c r="F5" s="102">
        <f>'历史年度（原始）'!E7</f>
        <v>23.620428396199998</v>
      </c>
      <c r="I5" s="868"/>
    </row>
    <row r="6" spans="1:9" outlineLevel="1">
      <c r="A6" s="740" t="s">
        <v>858</v>
      </c>
      <c r="B6" s="855" t="s">
        <v>859</v>
      </c>
      <c r="C6" s="102">
        <f>'历史年度（原始）'!B14</f>
        <v>8.3774469138000001</v>
      </c>
      <c r="D6" s="102">
        <f>'历史年度（原始）'!C14</f>
        <v>10.937385246</v>
      </c>
      <c r="E6" s="102">
        <f>'历史年度（原始）'!D14</f>
        <v>13.2217180949</v>
      </c>
      <c r="F6" s="102">
        <f>'历史年度（原始）'!E14</f>
        <v>15.4379428183</v>
      </c>
      <c r="I6" s="868"/>
    </row>
    <row r="7" spans="1:9" outlineLevel="1">
      <c r="A7" s="854"/>
      <c r="B7" s="855" t="s">
        <v>860</v>
      </c>
      <c r="C7" s="102">
        <f>'历史年度（原始）'!B24</f>
        <v>4.9200656900000007E-2</v>
      </c>
      <c r="D7" s="102">
        <f>'历史年度（原始）'!C24</f>
        <v>0.12651449770000001</v>
      </c>
      <c r="E7" s="102">
        <f>'历史年度（原始）'!D24</f>
        <v>0.28420940039999998</v>
      </c>
      <c r="F7" s="102">
        <f>'历史年度（原始）'!E24</f>
        <v>0.32729466509999999</v>
      </c>
      <c r="I7" s="868"/>
    </row>
    <row r="8" spans="1:9" outlineLevel="1">
      <c r="A8" s="854"/>
      <c r="B8" s="855" t="s">
        <v>861</v>
      </c>
      <c r="C8" s="102">
        <f>'历史年度（原始）'!B25</f>
        <v>0.4301314007</v>
      </c>
      <c r="D8" s="102">
        <f>'历史年度（原始）'!C25</f>
        <v>0.51447692550000002</v>
      </c>
      <c r="E8" s="102">
        <f>'历史年度（原始）'!D25</f>
        <v>0.68345308090000001</v>
      </c>
      <c r="F8" s="102">
        <f>'历史年度（原始）'!E25</f>
        <v>0.67827201180000007</v>
      </c>
      <c r="I8" s="867"/>
    </row>
    <row r="9" spans="1:9" outlineLevel="1">
      <c r="A9" s="854"/>
      <c r="B9" s="855" t="s">
        <v>862</v>
      </c>
      <c r="C9" s="102">
        <f>'历史年度（原始）'!B26</f>
        <v>1.4364657703999999</v>
      </c>
      <c r="D9" s="102">
        <f>'历史年度（原始）'!C26</f>
        <v>1.8918100594999998</v>
      </c>
      <c r="E9" s="102">
        <f>'历史年度（原始）'!D26</f>
        <v>2.4434639690999997</v>
      </c>
      <c r="F9" s="102">
        <f>'历史年度（原始）'!E26</f>
        <v>1.3848596878999999</v>
      </c>
      <c r="I9" s="868"/>
    </row>
    <row r="10" spans="1:9" outlineLevel="1">
      <c r="A10" s="854"/>
      <c r="B10" s="855" t="s">
        <v>863</v>
      </c>
      <c r="C10" s="102" t="e">
        <f>C148-C149</f>
        <v>#VALUE!</v>
      </c>
      <c r="D10" s="102" t="e">
        <f t="shared" ref="D10:F10" si="0">D148-D149</f>
        <v>#VALUE!</v>
      </c>
      <c r="E10" s="102" t="e">
        <f t="shared" si="0"/>
        <v>#VALUE!</v>
      </c>
      <c r="F10" s="102" t="e">
        <f t="shared" si="0"/>
        <v>#VALUE!</v>
      </c>
      <c r="I10" s="868"/>
    </row>
    <row r="11" spans="1:9" outlineLevel="1">
      <c r="A11" s="854"/>
      <c r="B11" s="855" t="s">
        <v>864</v>
      </c>
      <c r="C11" s="102">
        <f>'历史年度（原始）'!B30</f>
        <v>8.1315124500000002E-2</v>
      </c>
      <c r="D11" s="102">
        <f>'历史年度（原始）'!C30</f>
        <v>5.8446824100000003E-2</v>
      </c>
      <c r="E11" s="102">
        <f>'历史年度（原始）'!D30</f>
        <v>5.5743501100000002E-2</v>
      </c>
      <c r="F11" s="102">
        <f>'历史年度（原始）'!E30</f>
        <v>0.260987091</v>
      </c>
      <c r="I11" s="868"/>
    </row>
    <row r="12" spans="1:9" outlineLevel="1">
      <c r="A12" s="740" t="s">
        <v>865</v>
      </c>
      <c r="B12" s="855" t="s">
        <v>866</v>
      </c>
      <c r="C12" s="102">
        <f>('历史年度（原始）'!B6-C5)-('历史年度（原始）'!B13-C6-C7-C8-C9-'历史年度（原始）'!B27-C11)</f>
        <v>4.163336342344337E-16</v>
      </c>
      <c r="D12" s="102">
        <f>('历史年度（原始）'!C6-D5)-('历史年度（原始）'!C13-D6-D7-D8-D9-'历史年度（原始）'!C27-D11)</f>
        <v>-8.4654505627668186E-16</v>
      </c>
      <c r="E12" s="102">
        <f>('历史年度（原始）'!D6-E5)-('历史年度（原始）'!D13-E6-E7-E8-E9-'历史年度（原始）'!D27-E11)</f>
        <v>7.6327832942979512E-17</v>
      </c>
      <c r="F12" s="102">
        <f>('历史年度（原始）'!E6-F5)-('历史年度（原始）'!E13-F6-F7-F8-F9-'历史年度（原始）'!E27-F11)</f>
        <v>-1.3342462273000004</v>
      </c>
      <c r="G12" s="857"/>
      <c r="I12" s="868"/>
    </row>
    <row r="13" spans="1:9" outlineLevel="1">
      <c r="A13" s="854"/>
      <c r="B13" s="855" t="s">
        <v>867</v>
      </c>
      <c r="C13" s="102" t="e">
        <f>C5-C6-C7-C8-C9-C10-C11+C12-C150</f>
        <v>#VALUE!</v>
      </c>
      <c r="D13" s="102" t="e">
        <f t="shared" ref="D13:F13" si="1">D5-D6-D7-D8-D9-D10-D11+D12-D150</f>
        <v>#VALUE!</v>
      </c>
      <c r="E13" s="102" t="e">
        <f t="shared" si="1"/>
        <v>#VALUE!</v>
      </c>
      <c r="F13" s="102" t="e">
        <f t="shared" si="1"/>
        <v>#VALUE!</v>
      </c>
      <c r="I13" s="868"/>
    </row>
    <row r="14" spans="1:9" outlineLevel="1">
      <c r="A14" s="740" t="s">
        <v>858</v>
      </c>
      <c r="B14" s="855" t="s">
        <v>868</v>
      </c>
      <c r="C14" s="102">
        <f>IF(ISERROR(C13*('历史年度（原始）'!B51/'历史年度（原始）'!B50)),0,C13*('历史年度（原始）'!B51/'历史年度（原始）'!B50))</f>
        <v>0</v>
      </c>
      <c r="D14" s="102">
        <f>IF(ISERROR(D13*('历史年度（原始）'!C51/'历史年度（原始）'!C50)),0,D13*('历史年度（原始）'!C51/'历史年度（原始）'!C50))</f>
        <v>0</v>
      </c>
      <c r="E14" s="102">
        <f>IF(ISERROR(E13*('历史年度（原始）'!D51/'历史年度（原始）'!D50)),0,E13*('历史年度（原始）'!D51/'历史年度（原始）'!D50))</f>
        <v>0</v>
      </c>
      <c r="F14" s="102">
        <f>IF(ISERROR(F13*('历史年度（原始）'!E51/'历史年度（原始）'!E50)),0,F13*('历史年度（原始）'!E51/'历史年度（原始）'!E50))</f>
        <v>0</v>
      </c>
      <c r="I14" s="868"/>
    </row>
    <row r="15" spans="1:9" outlineLevel="1">
      <c r="A15" s="854"/>
      <c r="B15" s="856" t="s">
        <v>869</v>
      </c>
      <c r="C15" s="100" t="e">
        <f>C13-C14</f>
        <v>#VALUE!</v>
      </c>
      <c r="D15" s="100" t="e">
        <f t="shared" ref="D15:F15" si="2">D13-D14</f>
        <v>#VALUE!</v>
      </c>
      <c r="E15" s="100" t="e">
        <f t="shared" si="2"/>
        <v>#VALUE!</v>
      </c>
      <c r="F15" s="100" t="e">
        <f t="shared" si="2"/>
        <v>#VALUE!</v>
      </c>
      <c r="G15" s="857"/>
      <c r="I15" s="867"/>
    </row>
    <row r="16" spans="1:9" ht="15.05" outlineLevel="1">
      <c r="A16" s="854"/>
      <c r="B16" s="855" t="s">
        <v>870</v>
      </c>
      <c r="C16" s="858">
        <f>IF(ISERROR(C14/C13),0,C14/C13)</f>
        <v>0</v>
      </c>
      <c r="D16" s="858">
        <f t="shared" ref="D16:F16" si="3">IF(ISERROR(D14/D13),0,D14/D13)</f>
        <v>0</v>
      </c>
      <c r="E16" s="858">
        <f t="shared" si="3"/>
        <v>0</v>
      </c>
      <c r="F16" s="858">
        <f t="shared" si="3"/>
        <v>0</v>
      </c>
      <c r="G16" s="365"/>
      <c r="H16" s="365"/>
      <c r="I16" s="868"/>
    </row>
    <row r="17" spans="1:9" outlineLevel="1">
      <c r="A17" s="853" t="s">
        <v>871</v>
      </c>
      <c r="B17" s="848"/>
      <c r="C17" s="859"/>
      <c r="D17" s="859"/>
      <c r="E17" s="859"/>
      <c r="F17" s="859"/>
      <c r="I17" s="868"/>
    </row>
    <row r="18" spans="1:9" ht="15.35" outlineLevel="1">
      <c r="A18" s="212"/>
      <c r="B18" s="855" t="s">
        <v>872</v>
      </c>
      <c r="C18" s="102">
        <f>'历史年度（原始）'!B36</f>
        <v>-1.7687092800000002E-2</v>
      </c>
      <c r="D18" s="102">
        <f>'历史年度（原始）'!C36</f>
        <v>5.9466944600000002E-2</v>
      </c>
      <c r="E18" s="102">
        <f>'历史年度（原始）'!D36</f>
        <v>-1.0830954299999999E-2</v>
      </c>
      <c r="F18" s="102">
        <f>'历史年度（原始）'!E36</f>
        <v>-3.1188881499999998E-2</v>
      </c>
      <c r="I18" s="868"/>
    </row>
    <row r="19" spans="1:9" outlineLevel="1">
      <c r="A19" s="740" t="s">
        <v>865</v>
      </c>
      <c r="B19" s="855" t="s">
        <v>873</v>
      </c>
      <c r="C19" s="102">
        <f>'历史年度（原始）'!B35-'历史年度（原始）'!B36</f>
        <v>8.6289337000000008E-3</v>
      </c>
      <c r="D19" s="102">
        <f>'历史年度（原始）'!C35-'历史年度（原始）'!C36</f>
        <v>0</v>
      </c>
      <c r="E19" s="102">
        <f>'历史年度（原始）'!D35-'历史年度（原始）'!D36</f>
        <v>0.75359670169999993</v>
      </c>
      <c r="F19" s="102">
        <f>'历史年度（原始）'!E35-'历史年度（原始）'!E36</f>
        <v>0.31473099589999998</v>
      </c>
      <c r="I19" s="868"/>
    </row>
    <row r="20" spans="1:9" outlineLevel="1">
      <c r="A20" s="860"/>
      <c r="B20" s="855" t="s">
        <v>874</v>
      </c>
      <c r="C20" s="102">
        <f>'历史年度（原始）'!B34</f>
        <v>0</v>
      </c>
      <c r="D20" s="102">
        <f>'历史年度（原始）'!C34</f>
        <v>0</v>
      </c>
      <c r="E20" s="102">
        <f>'历史年度（原始）'!D34</f>
        <v>0</v>
      </c>
      <c r="F20" s="102">
        <f>'历史年度（原始）'!E34</f>
        <v>0</v>
      </c>
      <c r="I20" s="868"/>
    </row>
    <row r="21" spans="1:9" outlineLevel="1">
      <c r="A21" s="860"/>
      <c r="B21" s="855" t="s">
        <v>875</v>
      </c>
      <c r="C21" s="102">
        <f>-'历史年度（原始）'!B47+'历史年度（原始）'!B39+'历史年度（原始）'!B45</f>
        <v>-1.47621653E-2</v>
      </c>
      <c r="D21" s="102">
        <f>-'历史年度（原始）'!C47+'历史年度（原始）'!C39+'历史年度（原始）'!C45</f>
        <v>-9.3132087000000006E-3</v>
      </c>
      <c r="E21" s="102">
        <f>-'历史年度（原始）'!D47+'历史年度（原始）'!D39+'历史年度（原始）'!D45</f>
        <v>0</v>
      </c>
      <c r="F21" s="102">
        <f>-'历史年度（原始）'!E47+'历史年度（原始）'!E39+'历史年度（原始）'!E45</f>
        <v>-5.0947778000000003E-3</v>
      </c>
      <c r="I21" s="868"/>
    </row>
    <row r="22" spans="1:9" outlineLevel="1">
      <c r="A22" s="860"/>
      <c r="B22" s="855" t="s">
        <v>876</v>
      </c>
      <c r="C22" s="102">
        <f>'历史年度（原始）'!B37+'历史年度（原始）'!B38+'历史年度（原始）'!B40+'历史年度（原始）'!B44-'历史年度（原始）'!B45-'历史年度（原始）'!B46+'历史年度（原始）'!B47+'历史年度（原始）'!B41+'历史年度（原始）'!B42+'历史年度（原始）'!B48+'历史年度（原始）'!B49+'历史年度（原始）'!B52</f>
        <v>0.23262440339999998</v>
      </c>
      <c r="D22" s="102">
        <f>'历史年度（原始）'!C37+'历史年度（原始）'!C38+'历史年度（原始）'!C40+'历史年度（原始）'!C44-'历史年度（原始）'!C45-'历史年度（原始）'!C46+'历史年度（原始）'!C47+'历史年度（原始）'!C41+'历史年度（原始）'!C42+'历史年度（原始）'!C48+'历史年度（原始）'!C49+'历史年度（原始）'!C52</f>
        <v>0.22743353460000001</v>
      </c>
      <c r="E22" s="102">
        <f>'历史年度（原始）'!D37+'历史年度（原始）'!D38+'历史年度（原始）'!D40+'历史年度（原始）'!D44-'历史年度（原始）'!D45-'历史年度（原始）'!D46+'历史年度（原始）'!D47+'历史年度（原始）'!D41+'历史年度（原始）'!D42+'历史年度（原始）'!D48+'历史年度（原始）'!D49+'历史年度（原始）'!D52</f>
        <v>0.23194698019999999</v>
      </c>
      <c r="F22" s="102">
        <f>'历史年度（原始）'!E37+'历史年度（原始）'!E38+'历史年度（原始）'!E40+'历史年度（原始）'!E44-'历史年度（原始）'!E45-'历史年度（原始）'!E46+'历史年度（原始）'!E47+'历史年度（原始）'!E41+'历史年度（原始）'!E42+'历史年度（原始）'!E48+'历史年度（原始）'!E49+'历史年度（原始）'!E52</f>
        <v>0.91264189849999999</v>
      </c>
      <c r="I22" s="867"/>
    </row>
    <row r="23" spans="1:9" ht="15.35" outlineLevel="1">
      <c r="A23" s="212"/>
      <c r="B23" s="855" t="s">
        <v>877</v>
      </c>
      <c r="C23" s="102">
        <f>C18+C19+C20+C21+C22</f>
        <v>0.20880407899999998</v>
      </c>
      <c r="D23" s="102">
        <f t="shared" ref="D23:F23" si="4">D18+D19+D20+D21+D22</f>
        <v>0.27758727050000004</v>
      </c>
      <c r="E23" s="102">
        <f t="shared" si="4"/>
        <v>0.97471272759999983</v>
      </c>
      <c r="F23" s="102">
        <f t="shared" si="4"/>
        <v>1.1910892351</v>
      </c>
      <c r="I23" s="868"/>
    </row>
    <row r="24" spans="1:9" outlineLevel="1">
      <c r="A24" s="740" t="s">
        <v>858</v>
      </c>
      <c r="B24" s="855" t="s">
        <v>878</v>
      </c>
      <c r="C24" s="102">
        <f>IF(ISERROR(C23*('历史年度（原始）'!B51/'历史年度（原始）'!B50)),0,C23*('历史年度（原始）'!B51/'历史年度（原始）'!B50))</f>
        <v>2.0212007692228716E-2</v>
      </c>
      <c r="D24" s="102">
        <f>IF(ISERROR(D23*('历史年度（原始）'!C51/'历史年度（原始）'!C50)),0,D23*('历史年度（原始）'!C51/'历史年度（原始）'!C50))</f>
        <v>2.2755383030903534E-2</v>
      </c>
      <c r="E24" s="102">
        <f>IF(ISERROR(E23*('历史年度（原始）'!D51/'历史年度（原始）'!D50)),0,E23*('历史年度（原始）'!D51/'历史年度（原始）'!D50))</f>
        <v>0.10242594302738146</v>
      </c>
      <c r="F24" s="102">
        <f>IF(ISERROR(F23*('历史年度（原始）'!E51/'历史年度（原始）'!E50)),0,F23*('历史年度（原始）'!E51/'历史年度（原始）'!E50))</f>
        <v>0.15429913020724081</v>
      </c>
      <c r="I24" s="868"/>
    </row>
    <row r="25" spans="1:9" outlineLevel="1">
      <c r="A25" s="740" t="s">
        <v>865</v>
      </c>
      <c r="B25" s="855" t="s">
        <v>879</v>
      </c>
      <c r="C25" s="102">
        <f>'历史年度（原始）'!B51-C14-C24</f>
        <v>0.26008405560777131</v>
      </c>
      <c r="D25" s="102">
        <f>'历史年度（原始）'!C51-D14-D24</f>
        <v>0.29696902736909647</v>
      </c>
      <c r="E25" s="102">
        <f>'历史年度（原始）'!D51-E14-E24</f>
        <v>0.30155829327261857</v>
      </c>
      <c r="F25" s="102">
        <f>'历史年度（原始）'!E51-F14-F24</f>
        <v>0.56447551789275918</v>
      </c>
      <c r="I25" s="868"/>
    </row>
    <row r="26" spans="1:9" outlineLevel="1">
      <c r="B26" s="856" t="s">
        <v>880</v>
      </c>
      <c r="C26" s="100">
        <f>C23-C24+C25</f>
        <v>0.44867612691554259</v>
      </c>
      <c r="D26" s="100">
        <f t="shared" ref="D26:F26" si="5">D23-D24+D25</f>
        <v>0.55180091483819305</v>
      </c>
      <c r="E26" s="100">
        <f t="shared" si="5"/>
        <v>1.173845077845237</v>
      </c>
      <c r="F26" s="100">
        <f t="shared" si="5"/>
        <v>1.6012656227855184</v>
      </c>
      <c r="I26" s="868"/>
    </row>
    <row r="27" spans="1:9" outlineLevel="1">
      <c r="B27" s="861"/>
      <c r="C27" s="100"/>
      <c r="D27" s="100"/>
      <c r="E27" s="100"/>
      <c r="F27" s="100"/>
      <c r="I27" s="868"/>
    </row>
    <row r="28" spans="1:9" outlineLevel="1">
      <c r="A28" s="853" t="s">
        <v>881</v>
      </c>
      <c r="B28" s="861"/>
      <c r="C28" s="100"/>
      <c r="D28" s="100"/>
      <c r="E28" s="100"/>
      <c r="F28" s="100"/>
      <c r="I28" s="868"/>
    </row>
    <row r="29" spans="1:9" outlineLevel="1">
      <c r="A29" s="854"/>
      <c r="B29" s="856" t="s">
        <v>882</v>
      </c>
      <c r="C29" s="100" t="e">
        <f>C15+C26</f>
        <v>#VALUE!</v>
      </c>
      <c r="D29" s="100" t="e">
        <f t="shared" ref="D29:F29" si="6">D15+D26</f>
        <v>#VALUE!</v>
      </c>
      <c r="E29" s="100" t="e">
        <f t="shared" si="6"/>
        <v>#VALUE!</v>
      </c>
      <c r="F29" s="100" t="e">
        <f t="shared" si="6"/>
        <v>#VALUE!</v>
      </c>
      <c r="I29" s="867"/>
    </row>
    <row r="30" spans="1:9" outlineLevel="1">
      <c r="A30" s="740" t="s">
        <v>858</v>
      </c>
      <c r="B30" s="855" t="s">
        <v>883</v>
      </c>
      <c r="C30" s="102">
        <f>'历史年度（原始）'!B56</f>
        <v>-1.8422254400000001E-2</v>
      </c>
      <c r="D30" s="102">
        <f>'历史年度（原始）'!C56</f>
        <v>-1.08002532E-2</v>
      </c>
      <c r="E30" s="102">
        <f>'历史年度（原始）'!D56</f>
        <v>2.7697708099999999E-2</v>
      </c>
      <c r="F30" s="102">
        <f>'历史年度（原始）'!E56</f>
        <v>4.3855862999999995E-2</v>
      </c>
      <c r="I30" s="868"/>
    </row>
    <row r="31" spans="1:9" outlineLevel="1">
      <c r="A31" s="854"/>
      <c r="B31" s="856" t="s">
        <v>884</v>
      </c>
      <c r="C31" s="102"/>
      <c r="D31" s="102"/>
      <c r="E31" s="102"/>
      <c r="F31" s="102"/>
      <c r="I31" s="868"/>
    </row>
    <row r="32" spans="1:9" outlineLevel="1">
      <c r="A32" s="854"/>
      <c r="B32" s="862" t="s">
        <v>885</v>
      </c>
      <c r="C32" s="100" t="e">
        <f>C29-C30</f>
        <v>#VALUE!</v>
      </c>
      <c r="D32" s="100" t="e">
        <f t="shared" ref="D32:F32" si="7">D29-D30</f>
        <v>#VALUE!</v>
      </c>
      <c r="E32" s="100" t="e">
        <f t="shared" si="7"/>
        <v>#VALUE!</v>
      </c>
      <c r="F32" s="100" t="e">
        <f t="shared" si="7"/>
        <v>#VALUE!</v>
      </c>
      <c r="I32" s="868"/>
    </row>
    <row r="33" spans="1:9" outlineLevel="1">
      <c r="A33" s="854"/>
      <c r="B33" s="863" t="s">
        <v>886</v>
      </c>
      <c r="C33" s="102">
        <f>'历史年度（原始）'!B57</f>
        <v>2.6337792224999999</v>
      </c>
      <c r="D33" s="102">
        <f>'历史年度（原始）'!C57</f>
        <v>3.5913145807999998</v>
      </c>
      <c r="E33" s="102">
        <f>'历史年度（原始）'!D57</f>
        <v>3.4127403301999997</v>
      </c>
      <c r="F33" s="102">
        <f>'历史年度（原始）'!E57</f>
        <v>4.7858437068999997</v>
      </c>
      <c r="I33" s="868"/>
    </row>
    <row r="34" spans="1:9" outlineLevel="1">
      <c r="A34" s="854"/>
      <c r="B34" s="863" t="s">
        <v>887</v>
      </c>
      <c r="C34" s="864">
        <f>IF(ISERROR((C32-C33)/C33),0,(C32-C33)/C33)</f>
        <v>0</v>
      </c>
      <c r="D34" s="864">
        <f t="shared" ref="D34:F34" si="8">IF(ISERROR((D32-D33)/D33),0,(D32-D33)/D33)</f>
        <v>0</v>
      </c>
      <c r="E34" s="864">
        <f t="shared" si="8"/>
        <v>0</v>
      </c>
      <c r="F34" s="864">
        <f t="shared" si="8"/>
        <v>0</v>
      </c>
      <c r="I34" s="868"/>
    </row>
    <row r="35" spans="1:9" outlineLevel="1">
      <c r="A35" s="740" t="s">
        <v>858</v>
      </c>
      <c r="B35" s="855" t="s">
        <v>888</v>
      </c>
      <c r="C35" s="102" t="e">
        <f>IF(OR([1]!EM_S_RETAINEDEARN(目录!$C$4,9,C$2)="",[1]!EM_S_RETAINEDEARN(目录!$C$4,9,C$2)="--",[1]!EM_S_RETAINEDEARN(目录!$C$4,9,C$2)="NULL"),0,[1]!EM_S_RETAINEDEARN(目录!$C$4,9,C$2)/unit)</f>
        <v>#VALUE!</v>
      </c>
      <c r="D35" s="102" t="e">
        <f>IF(OR([1]!EM_S_RETAINEDEARN(目录!$C$4,9,D$2)="",[1]!EM_S_RETAINEDEARN(目录!$C$4,9,D$2)="--",[1]!EM_S_RETAINEDEARN(目录!$C$4,9,D$2)="NULL"),0,[1]!EM_S_RETAINEDEARN(目录!$C$4,9,D$2)/unit)</f>
        <v>#VALUE!</v>
      </c>
      <c r="E35" s="102" t="e">
        <f>IF(OR([1]!EM_S_RETAINEDEARN(目录!$C$4,9,E$2)="",[1]!EM_S_RETAINEDEARN(目录!$C$4,9,E$2)="--",[1]!EM_S_RETAINEDEARN(目录!$C$4,9,E$2)="NULL"),0,[1]!EM_S_RETAINEDEARN(目录!$C$4,9,E$2)/unit)</f>
        <v>#VALUE!</v>
      </c>
      <c r="F35" s="102" t="e">
        <f>IF(OR([1]!EM_S_RETAINEDEARN(目录!$C$4,9,F$2)="",[1]!EM_S_RETAINEDEARN(目录!$C$4,9,F$2)="--",[1]!EM_S_RETAINEDEARN(目录!$C$4,9,F$2)="NULL"),0,[1]!EM_S_RETAINEDEARN(目录!$C$4,9,F$2)/unit)</f>
        <v>#VALUE!</v>
      </c>
      <c r="I35" s="868"/>
    </row>
    <row r="36" spans="1:9" outlineLevel="1">
      <c r="A36" s="860"/>
      <c r="B36" s="856" t="s">
        <v>889</v>
      </c>
      <c r="C36" s="100" t="e">
        <f>C32-C35</f>
        <v>#VALUE!</v>
      </c>
      <c r="D36" s="100" t="e">
        <f t="shared" ref="D36:F36" si="9">D32-D35</f>
        <v>#VALUE!</v>
      </c>
      <c r="E36" s="100" t="e">
        <f t="shared" si="9"/>
        <v>#VALUE!</v>
      </c>
      <c r="F36" s="100" t="e">
        <f t="shared" si="9"/>
        <v>#VALUE!</v>
      </c>
      <c r="I36" s="867"/>
    </row>
    <row r="37" spans="1:9">
      <c r="A37" s="860"/>
      <c r="B37" s="861"/>
      <c r="C37" s="100"/>
      <c r="D37" s="100"/>
      <c r="E37" s="100"/>
      <c r="F37" s="100"/>
      <c r="I37" s="868"/>
    </row>
    <row r="38" spans="1:9">
      <c r="A38" s="852" t="s">
        <v>890</v>
      </c>
      <c r="B38" s="848"/>
      <c r="C38" s="102"/>
      <c r="D38" s="102"/>
      <c r="E38" s="102"/>
      <c r="F38" s="102"/>
      <c r="I38" s="868"/>
    </row>
    <row r="39" spans="1:9" outlineLevel="1">
      <c r="A39" s="853" t="s">
        <v>891</v>
      </c>
      <c r="B39" s="848"/>
      <c r="C39" s="102"/>
      <c r="D39" s="102"/>
      <c r="E39" s="102"/>
      <c r="F39" s="102"/>
      <c r="I39" s="868"/>
    </row>
    <row r="40" spans="1:9" ht="15.05" outlineLevel="1">
      <c r="A40" s="860"/>
      <c r="B40" s="855" t="s">
        <v>892</v>
      </c>
      <c r="C40" s="865">
        <f>'历史年度（原始）'!B64+('历史年度（原始）'!B79+'历史年度（原始）'!B80+'历史年度（原始）'!B120)-('历史年度（原始）'!B146+'历史年度（原始）'!B147+'历史年度（原始）'!B145+'历史年度（原始）'!B144+'历史年度（原始）'!B175+'历史年度（原始）'!B155+'历史年度（原始）'!B176)</f>
        <v>0.96667874829999989</v>
      </c>
      <c r="D40" s="865">
        <f>'历史年度（原始）'!C64+('历史年度（原始）'!C79+'历史年度（原始）'!C80+'历史年度（原始）'!C120)-('历史年度（原始）'!C146+'历史年度（原始）'!C147+'历史年度（原始）'!C145+'历史年度（原始）'!C144+'历史年度（原始）'!C175+'历史年度（原始）'!C155+'历史年度（原始）'!C176)</f>
        <v>1.5793793950000001</v>
      </c>
      <c r="E40" s="865">
        <f>'历史年度（原始）'!D64+('历史年度（原始）'!D79+'历史年度（原始）'!D80+'历史年度（原始）'!D120)-('历史年度（原始）'!D146+'历史年度（原始）'!D147+'历史年度（原始）'!D145+'历史年度（原始）'!D144+'历史年度（原始）'!D175+'历史年度（原始）'!D155+'历史年度（原始）'!D176)</f>
        <v>2.5659734576000002</v>
      </c>
      <c r="F40" s="865">
        <f>'历史年度（原始）'!E64+('历史年度（原始）'!E79+'历史年度（原始）'!E80+'历史年度（原始）'!E120)-('历史年度（原始）'!E146+'历史年度（原始）'!E147+'历史年度（原始）'!E145+'历史年度（原始）'!E144+'历史年度（原始）'!E175+'历史年度（原始）'!E155+'历史年度（原始）'!E176)</f>
        <v>2.5321442329999995</v>
      </c>
      <c r="G40" s="365"/>
      <c r="H40" s="365"/>
      <c r="I40" s="868"/>
    </row>
    <row r="41" spans="1:9" outlineLevel="1">
      <c r="A41" s="860"/>
      <c r="B41" s="855" t="s">
        <v>893</v>
      </c>
      <c r="C41" s="102">
        <f>'历史年度（原始）'!B68</f>
        <v>0</v>
      </c>
      <c r="D41" s="102">
        <f>'历史年度（原始）'!C68</f>
        <v>0</v>
      </c>
      <c r="E41" s="102">
        <f>'历史年度（原始）'!D68</f>
        <v>0</v>
      </c>
      <c r="F41" s="102">
        <f>'历史年度（原始）'!E68</f>
        <v>0</v>
      </c>
      <c r="I41" s="868"/>
    </row>
    <row r="42" spans="1:9" outlineLevel="1">
      <c r="A42" s="860"/>
      <c r="B42" s="855" t="s">
        <v>894</v>
      </c>
      <c r="C42" s="102">
        <f>MAX('历史年度（原始）'!B73+'历史年度（原始）'!B74,'历史年度（原始）'!B72)</f>
        <v>5.9732056991999993</v>
      </c>
      <c r="D42" s="102">
        <f>MAX('历史年度（原始）'!C73+'历史年度（原始）'!C74,'历史年度（原始）'!C72)</f>
        <v>8.2483419815999994</v>
      </c>
      <c r="E42" s="102">
        <f>MAX('历史年度（原始）'!D73+'历史年度（原始）'!D74,'历史年度（原始）'!D72)</f>
        <v>9.1053278984000006</v>
      </c>
      <c r="F42" s="102">
        <f>MAX('历史年度（原始）'!E73+'历史年度（原始）'!E74,'历史年度（原始）'!E72)</f>
        <v>9.7467808342999991</v>
      </c>
      <c r="I42" s="868"/>
    </row>
    <row r="43" spans="1:9" outlineLevel="1">
      <c r="A43" s="860"/>
      <c r="B43" s="855" t="s">
        <v>895</v>
      </c>
      <c r="C43" s="102">
        <f>'历史年度（原始）'!B75</f>
        <v>6.4983149400000009E-2</v>
      </c>
      <c r="D43" s="102">
        <f>'历史年度（原始）'!C75</f>
        <v>7.41195033E-2</v>
      </c>
      <c r="E43" s="102">
        <f>'历史年度（原始）'!D75</f>
        <v>0.20613596910000001</v>
      </c>
      <c r="F43" s="102">
        <f>'历史年度（原始）'!E75</f>
        <v>0.1174587751</v>
      </c>
      <c r="I43" s="867"/>
    </row>
    <row r="44" spans="1:9" outlineLevel="1">
      <c r="A44" s="860"/>
      <c r="B44" s="855" t="s">
        <v>896</v>
      </c>
      <c r="C44" s="102">
        <f>'历史年度（原始）'!B81</f>
        <v>6.1536670199999997E-2</v>
      </c>
      <c r="D44" s="102">
        <f>'历史年度（原始）'!C81</f>
        <v>0.13204210560000001</v>
      </c>
      <c r="E44" s="102">
        <f>'历史年度（原始）'!D81</f>
        <v>4.2675326999999999E-2</v>
      </c>
      <c r="F44" s="102">
        <f>'历史年度（原始）'!E81</f>
        <v>0.18944407559999998</v>
      </c>
      <c r="I44" s="868"/>
    </row>
    <row r="45" spans="1:9" outlineLevel="1">
      <c r="A45" s="860"/>
      <c r="B45" s="855" t="s">
        <v>897</v>
      </c>
      <c r="C45" s="102">
        <f>'历史年度（原始）'!B88</f>
        <v>2.0659563218999999</v>
      </c>
      <c r="D45" s="102">
        <f>'历史年度（原始）'!C88</f>
        <v>2.6631389558</v>
      </c>
      <c r="E45" s="102">
        <f>'历史年度（原始）'!D88</f>
        <v>3.8222355762999998</v>
      </c>
      <c r="F45" s="102">
        <f>'历史年度（原始）'!E88</f>
        <v>4.5665514328999999</v>
      </c>
      <c r="I45" s="868"/>
    </row>
    <row r="46" spans="1:9" outlineLevel="1">
      <c r="A46" s="860"/>
      <c r="B46" s="855" t="s">
        <v>898</v>
      </c>
      <c r="C46" s="102">
        <f>'历史年度（原始）'!B65+'历史年度（原始）'!B66+'历史年度（原始）'!B67+'历史年度（原始）'!B76+'历史年度（原始）'!B77+'历史年度（原始）'!B78+'历史年度（原始）'!B85+'历史年度（原始）'!B82+'历史年度（原始）'!B83+'历史年度（原始）'!B84+'历史年度（原始）'!B86+'历史年度（原始）'!B87</f>
        <v>0</v>
      </c>
      <c r="D46" s="102">
        <f>'历史年度（原始）'!C65+'历史年度（原始）'!C66+'历史年度（原始）'!C67+'历史年度（原始）'!C76+'历史年度（原始）'!C77+'历史年度（原始）'!C78+'历史年度（原始）'!C85+'历史年度（原始）'!C82+'历史年度（原始）'!C83+'历史年度（原始）'!C84+'历史年度（原始）'!C86+'历史年度（原始）'!C87</f>
        <v>0</v>
      </c>
      <c r="E46" s="102">
        <f>'历史年度（原始）'!D65+'历史年度（原始）'!D66+'历史年度（原始）'!D67+'历史年度（原始）'!D76+'历史年度（原始）'!D77+'历史年度（原始）'!D78+'历史年度（原始）'!D85+'历史年度（原始）'!D82+'历史年度（原始）'!D83+'历史年度（原始）'!D84+'历史年度（原始）'!D86+'历史年度（原始）'!D87</f>
        <v>0</v>
      </c>
      <c r="F46" s="102">
        <f>'历史年度（原始）'!E65+'历史年度（原始）'!E66+'历史年度（原始）'!E67+'历史年度（原始）'!E76+'历史年度（原始）'!E77+'历史年度（原始）'!E78+'历史年度（原始）'!E85+'历史年度（原始）'!E82+'历史年度（原始）'!E83+'历史年度（原始）'!E84+'历史年度（原始）'!E86+'历史年度（原始）'!E87</f>
        <v>0</v>
      </c>
      <c r="I46" s="868"/>
    </row>
    <row r="47" spans="1:9" outlineLevel="1">
      <c r="A47" s="860"/>
      <c r="B47" s="855" t="s">
        <v>899</v>
      </c>
      <c r="C47" s="102">
        <f>'历史年度（原始）'!B91+'历史年度（原始）'!B93+'历史年度（原始）'!B94+'历史年度（原始）'!B95+'历史年度（原始）'!B71+'历史年度（原始）'!B90+'历史年度（原始）'!B89+'历史年度（原始）'!B92</f>
        <v>0.17853054409999999</v>
      </c>
      <c r="D47" s="102">
        <f>'历史年度（原始）'!C91+'历史年度（原始）'!C93+'历史年度（原始）'!C94+'历史年度（原始）'!C95+'历史年度（原始）'!C71+'历史年度（原始）'!C90+'历史年度（原始）'!C89+'历史年度（原始）'!C92</f>
        <v>0.2329343445</v>
      </c>
      <c r="E47" s="102">
        <f>'历史年度（原始）'!D91+'历史年度（原始）'!D93+'历史年度（原始）'!D94+'历史年度（原始）'!D95+'历史年度（原始）'!D71+'历史年度（原始）'!D90+'历史年度（原始）'!D89+'历史年度（原始）'!D92</f>
        <v>0.20904762229999999</v>
      </c>
      <c r="F47" s="102">
        <f>'历史年度（原始）'!E91+'历史年度（原始）'!E93+'历史年度（原始）'!E94+'历史年度（原始）'!E95+'历史年度（原始）'!E71+'历史年度（原始）'!E90+'历史年度（原始）'!E89+'历史年度（原始）'!E92</f>
        <v>0.3705894039</v>
      </c>
      <c r="I47" s="868"/>
    </row>
    <row r="48" spans="1:9" outlineLevel="1">
      <c r="A48" s="860"/>
      <c r="B48" s="856" t="s">
        <v>900</v>
      </c>
      <c r="C48" s="100">
        <f>SUM(C40:C47)</f>
        <v>9.3108911330999966</v>
      </c>
      <c r="D48" s="100">
        <f t="shared" ref="D48:F48" si="10">SUM(D40:D47)</f>
        <v>12.929956285800001</v>
      </c>
      <c r="E48" s="100">
        <f t="shared" si="10"/>
        <v>15.951395850700001</v>
      </c>
      <c r="F48" s="100">
        <f t="shared" si="10"/>
        <v>17.522968754799994</v>
      </c>
      <c r="I48" s="868"/>
    </row>
    <row r="49" spans="1:9" outlineLevel="1">
      <c r="A49" s="860"/>
      <c r="B49" s="855" t="s">
        <v>901</v>
      </c>
      <c r="C49" s="102">
        <f>'历史年度（原始）'!B105</f>
        <v>0</v>
      </c>
      <c r="D49" s="102">
        <f>'历史年度（原始）'!C105</f>
        <v>0</v>
      </c>
      <c r="E49" s="102">
        <f>'历史年度（原始）'!D105</f>
        <v>0</v>
      </c>
      <c r="F49" s="102">
        <f>'历史年度（原始）'!E105</f>
        <v>0</v>
      </c>
      <c r="I49" s="868"/>
    </row>
    <row r="50" spans="1:9" outlineLevel="1">
      <c r="A50" s="860"/>
      <c r="B50" s="855" t="s">
        <v>902</v>
      </c>
      <c r="C50" s="102">
        <f>'历史年度（原始）'!B106</f>
        <v>0.55489486090000006</v>
      </c>
      <c r="D50" s="102">
        <f>'历史年度（原始）'!C106</f>
        <v>0.6076075755</v>
      </c>
      <c r="E50" s="102">
        <f>'历史年度（原始）'!D106</f>
        <v>0.29220969229999999</v>
      </c>
      <c r="F50" s="102">
        <f>'历史年度（原始）'!E106</f>
        <v>0.2610208108</v>
      </c>
      <c r="I50" s="867"/>
    </row>
    <row r="51" spans="1:9" outlineLevel="1">
      <c r="A51" s="860"/>
      <c r="B51" s="855" t="s">
        <v>903</v>
      </c>
      <c r="C51" s="102">
        <f>'历史年度（原始）'!B98+'历史年度（原始）'!B103+'历史年度（原始）'!B104+'历史年度（原始）'!B99+'历史年度（原始）'!B100+'历史年度（原始）'!B101+'历史年度（原始）'!B102+'历史年度（原始）'!B107+'历史年度（原始）'!B108</f>
        <v>0.2</v>
      </c>
      <c r="D51" s="102">
        <f>'历史年度（原始）'!C98+'历史年度（原始）'!C103+'历史年度（原始）'!C104+'历史年度（原始）'!C99+'历史年度（原始）'!C100+'历史年度（原始）'!C101+'历史年度（原始）'!C102+'历史年度（原始）'!C107+'历史年度（原始）'!C108</f>
        <v>0.2</v>
      </c>
      <c r="E51" s="102">
        <f>'历史年度（原始）'!D98+'历史年度（原始）'!D103+'历史年度（原始）'!D104+'历史年度（原始）'!D99+'历史年度（原始）'!D100+'历史年度（原始）'!D101+'历史年度（原始）'!D102+'历史年度（原始）'!D107+'历史年度（原始）'!D108</f>
        <v>0.23599999999999999</v>
      </c>
      <c r="F51" s="102">
        <f>'历史年度（原始）'!E98+'历史年度（原始）'!E103+'历史年度（原始）'!E104+'历史年度（原始）'!E99+'历史年度（原始）'!E100+'历史年度（原始）'!E101+'历史年度（原始）'!E102+'历史年度（原始）'!E107+'历史年度（原始）'!E108</f>
        <v>3.5999999999999997E-2</v>
      </c>
      <c r="I51" s="868"/>
    </row>
    <row r="52" spans="1:9" outlineLevel="1">
      <c r="A52" s="860"/>
      <c r="B52" s="855" t="s">
        <v>904</v>
      </c>
      <c r="C52" s="102">
        <f>'历史年度（原始）'!B109</f>
        <v>0</v>
      </c>
      <c r="D52" s="102">
        <f>'历史年度（原始）'!C109</f>
        <v>0</v>
      </c>
      <c r="E52" s="102">
        <f>'历史年度（原始）'!D109</f>
        <v>0</v>
      </c>
      <c r="F52" s="102">
        <f>'历史年度（原始）'!E109</f>
        <v>0</v>
      </c>
      <c r="I52" s="868"/>
    </row>
    <row r="53" spans="1:9" outlineLevel="1">
      <c r="A53" s="860"/>
      <c r="B53" s="855" t="s">
        <v>905</v>
      </c>
      <c r="C53" s="102">
        <f>'历史年度（原始）'!B110+'历史年度（原始）'!B113+'历史年度（原始）'!B114+'历史年度（原始）'!B115</f>
        <v>17.272306730699999</v>
      </c>
      <c r="D53" s="102">
        <f>'历史年度（原始）'!C110+'历史年度（原始）'!C113+'历史年度（原始）'!C114+'历史年度（原始）'!C115</f>
        <v>20.6658689538</v>
      </c>
      <c r="E53" s="102">
        <f>'历史年度（原始）'!D110+'历史年度（原始）'!D113+'历史年度（原始）'!D114+'历史年度（原始）'!D115</f>
        <v>22.440433412499999</v>
      </c>
      <c r="F53" s="102">
        <f>'历史年度（原始）'!E110+'历史年度（原始）'!E113+'历史年度（原始）'!E114+'历史年度（原始）'!E115</f>
        <v>24.6299196698</v>
      </c>
      <c r="I53" s="868"/>
    </row>
    <row r="54" spans="1:9" outlineLevel="1">
      <c r="A54" s="860"/>
      <c r="B54" s="855" t="s">
        <v>906</v>
      </c>
      <c r="C54" s="102">
        <f>'历史年度（原始）'!B111+'历史年度（原始）'!B112</f>
        <v>2.1778602419999999</v>
      </c>
      <c r="D54" s="102">
        <f>'历史年度（原始）'!C111+'历史年度（原始）'!C112</f>
        <v>2.7510781761000001</v>
      </c>
      <c r="E54" s="102">
        <f>'历史年度（原始）'!D111+'历史年度（原始）'!D112</f>
        <v>2.0236812793999999</v>
      </c>
      <c r="F54" s="102">
        <f>'历史年度（原始）'!E111+'历史年度（原始）'!E112</f>
        <v>2.0865982441999997</v>
      </c>
      <c r="I54" s="868"/>
    </row>
    <row r="55" spans="1:9" outlineLevel="1">
      <c r="A55" s="860"/>
      <c r="B55" s="855" t="s">
        <v>907</v>
      </c>
      <c r="C55" s="102">
        <f>'历史年度（原始）'!B116</f>
        <v>0.87847352769999998</v>
      </c>
      <c r="D55" s="102">
        <f>'历史年度（原始）'!C116</f>
        <v>0.91476143189999992</v>
      </c>
      <c r="E55" s="102">
        <f>'历史年度（原始）'!D116</f>
        <v>1.0711834944</v>
      </c>
      <c r="F55" s="102">
        <f>'历史年度（原始）'!E116</f>
        <v>1.0650512071</v>
      </c>
      <c r="I55" s="868"/>
    </row>
    <row r="56" spans="1:9" outlineLevel="1">
      <c r="A56" s="860"/>
      <c r="B56" s="855" t="s">
        <v>908</v>
      </c>
      <c r="C56" s="102">
        <f>'历史年度（原始）'!B117</f>
        <v>0</v>
      </c>
      <c r="D56" s="102">
        <f>'历史年度（原始）'!C117</f>
        <v>0</v>
      </c>
      <c r="E56" s="102">
        <f>'历史年度（原始）'!D117</f>
        <v>0</v>
      </c>
      <c r="F56" s="102">
        <f>'历史年度（原始）'!E117</f>
        <v>0</v>
      </c>
      <c r="I56" s="868"/>
    </row>
    <row r="57" spans="1:9" outlineLevel="1">
      <c r="A57" s="860"/>
      <c r="B57" s="855" t="s">
        <v>909</v>
      </c>
      <c r="C57" s="102">
        <f>'历史年度（原始）'!B118</f>
        <v>0.41805607890000002</v>
      </c>
      <c r="D57" s="102">
        <f>'历史年度（原始）'!C118</f>
        <v>0.41805607890000002</v>
      </c>
      <c r="E57" s="102">
        <f>'历史年度（原始）'!D118</f>
        <v>3.3030545101</v>
      </c>
      <c r="F57" s="102">
        <f>'历史年度（原始）'!E118</f>
        <v>3.3030545101</v>
      </c>
      <c r="I57" s="867"/>
    </row>
    <row r="58" spans="1:9" outlineLevel="1">
      <c r="A58" s="860"/>
      <c r="B58" s="855" t="s">
        <v>910</v>
      </c>
      <c r="C58" s="102">
        <f>'历史年度（原始）'!B119</f>
        <v>0.19962215739999997</v>
      </c>
      <c r="D58" s="102">
        <f>'历史年度（原始）'!C119</f>
        <v>0.16973872600000001</v>
      </c>
      <c r="E58" s="102">
        <f>'历史年度（原始）'!D119</f>
        <v>0.15180597029999998</v>
      </c>
      <c r="F58" s="102">
        <f>'历史年度（原始）'!E119</f>
        <v>0.2095509052</v>
      </c>
      <c r="I58" s="868"/>
    </row>
    <row r="59" spans="1:9" outlineLevel="1">
      <c r="A59" s="860"/>
      <c r="B59" s="855" t="s">
        <v>911</v>
      </c>
      <c r="C59" s="102">
        <f>'历史年度（原始）'!B121+'历史年度（原始）'!B122+'历史年度（原始）'!B123</f>
        <v>0.17193834789999998</v>
      </c>
      <c r="D59" s="102">
        <f>'历史年度（原始）'!C121+'历史年度（原始）'!C122+'历史年度（原始）'!C123</f>
        <v>0.118679011</v>
      </c>
      <c r="E59" s="102">
        <f>'历史年度（原始）'!D121+'历史年度（原始）'!D122+'历史年度（原始）'!D123</f>
        <v>0.45159087640000001</v>
      </c>
      <c r="F59" s="102">
        <f>'历史年度（原始）'!E121+'历史年度（原始）'!E122+'历史年度（原始）'!E123</f>
        <v>0.77012401790000007</v>
      </c>
      <c r="I59" s="868"/>
    </row>
    <row r="60" spans="1:9" outlineLevel="1">
      <c r="A60" s="860"/>
      <c r="B60" s="856" t="s">
        <v>912</v>
      </c>
      <c r="C60" s="100">
        <f>SUM(C49:C59)</f>
        <v>21.873151945499998</v>
      </c>
      <c r="D60" s="100">
        <f t="shared" ref="D60:F60" si="11">SUM(D49:D59)</f>
        <v>25.845789953200004</v>
      </c>
      <c r="E60" s="100">
        <f t="shared" si="11"/>
        <v>29.969959235399998</v>
      </c>
      <c r="F60" s="100">
        <f t="shared" si="11"/>
        <v>32.361319365100002</v>
      </c>
      <c r="I60" s="868"/>
    </row>
    <row r="61" spans="1:9" ht="15.35" outlineLevel="1">
      <c r="A61" s="212"/>
      <c r="B61" s="856" t="s">
        <v>913</v>
      </c>
      <c r="C61" s="100">
        <f>C48+C60</f>
        <v>31.184043078599995</v>
      </c>
      <c r="D61" s="100">
        <f t="shared" ref="D61:F61" si="12">D48+D60</f>
        <v>38.775746239000007</v>
      </c>
      <c r="E61" s="100">
        <f t="shared" si="12"/>
        <v>45.9213550861</v>
      </c>
      <c r="F61" s="100">
        <f t="shared" si="12"/>
        <v>49.884288119899992</v>
      </c>
      <c r="I61" s="868"/>
    </row>
    <row r="62" spans="1:9" outlineLevel="1">
      <c r="A62" s="853"/>
      <c r="B62" s="866"/>
      <c r="C62" s="864"/>
      <c r="D62" s="864"/>
      <c r="E62" s="864"/>
      <c r="F62" s="864"/>
      <c r="I62" s="868"/>
    </row>
    <row r="63" spans="1:9" outlineLevel="1">
      <c r="A63" s="853" t="s">
        <v>914</v>
      </c>
      <c r="B63" s="866"/>
      <c r="C63" s="864"/>
      <c r="D63" s="864"/>
      <c r="E63" s="864"/>
      <c r="F63" s="864"/>
      <c r="I63" s="868"/>
    </row>
    <row r="64" spans="1:9" ht="15.35" outlineLevel="1">
      <c r="A64" s="212"/>
      <c r="B64" s="855" t="s">
        <v>915</v>
      </c>
      <c r="C64" s="102">
        <f>'历史年度（原始）'!B129+'历史年度（原始）'!B157</f>
        <v>2.0656444515999999</v>
      </c>
      <c r="D64" s="102">
        <f>'历史年度（原始）'!C129+'历史年度（原始）'!C157</f>
        <v>6.0129907884999998</v>
      </c>
      <c r="E64" s="102">
        <f>'历史年度（原始）'!D129+'历史年度（原始）'!D157</f>
        <v>4.1000000000000002E-2</v>
      </c>
      <c r="F64" s="102">
        <f>'历史年度（原始）'!E129+'历史年度（原始）'!E157</f>
        <v>0.60194173890000002</v>
      </c>
      <c r="I64" s="867"/>
    </row>
    <row r="65" spans="2:9" outlineLevel="1">
      <c r="B65" s="855" t="s">
        <v>916</v>
      </c>
      <c r="C65" s="102">
        <f>'历史年度（原始）'!B133</f>
        <v>0</v>
      </c>
      <c r="D65" s="102">
        <f>'历史年度（原始）'!C133</f>
        <v>0</v>
      </c>
      <c r="E65" s="102">
        <f>'历史年度（原始）'!D133</f>
        <v>0</v>
      </c>
      <c r="F65" s="102">
        <f>'历史年度（原始）'!E133</f>
        <v>0</v>
      </c>
      <c r="I65" s="868"/>
    </row>
    <row r="66" spans="2:9" outlineLevel="1">
      <c r="B66" s="855" t="s">
        <v>917</v>
      </c>
      <c r="C66" s="102">
        <f>MAX('历史年度（原始）'!B138+'历史年度（原始）'!B139,'历史年度（原始）'!B137)</f>
        <v>1.9141556823000001</v>
      </c>
      <c r="D66" s="102">
        <f>MAX('历史年度（原始）'!C138+'历史年度（原始）'!C139,'历史年度（原始）'!C137)</f>
        <v>2.6850836087999999</v>
      </c>
      <c r="E66" s="102">
        <f>MAX('历史年度（原始）'!D138+'历史年度（原始）'!D139,'历史年度（原始）'!D137)</f>
        <v>3.0255233304000004</v>
      </c>
      <c r="F66" s="102">
        <f>MAX('历史年度（原始）'!E138+'历史年度（原始）'!E139,'历史年度（原始）'!E137)</f>
        <v>3.4634935802999998</v>
      </c>
      <c r="I66" s="868"/>
    </row>
    <row r="67" spans="2:9" outlineLevel="1">
      <c r="B67" s="855" t="s">
        <v>918</v>
      </c>
      <c r="C67" s="102">
        <f>'历史年度（原始）'!B140</f>
        <v>5.22186995E-2</v>
      </c>
      <c r="D67" s="102">
        <f>'历史年度（原始）'!C140</f>
        <v>3.5731680799999999E-2</v>
      </c>
      <c r="E67" s="102">
        <f>'历史年度（原始）'!D140</f>
        <v>7.0910990399999999E-2</v>
      </c>
      <c r="F67" s="102">
        <f>'历史年度（原始）'!E140</f>
        <v>4.9269376500000003E-2</v>
      </c>
      <c r="I67" s="868"/>
    </row>
    <row r="68" spans="2:9" outlineLevel="1">
      <c r="B68" s="855" t="s">
        <v>919</v>
      </c>
      <c r="C68" s="102">
        <f>'历史年度（原始）'!B150</f>
        <v>1.8314447712000002</v>
      </c>
      <c r="D68" s="102">
        <f>'历史年度（原始）'!C150</f>
        <v>2.3626225775999998</v>
      </c>
      <c r="E68" s="102">
        <f>'历史年度（原始）'!D150</f>
        <v>2.2768442952000001</v>
      </c>
      <c r="F68" s="102">
        <f>'历史年度（原始）'!E150</f>
        <v>2.1930258155</v>
      </c>
      <c r="I68" s="868"/>
    </row>
    <row r="69" spans="2:9" outlineLevel="1">
      <c r="B69" s="855" t="s">
        <v>920</v>
      </c>
      <c r="C69" s="102">
        <f>'历史年度（原始）'!B130+'历史年度（原始）'!B131+'历史年度（原始）'!B132+'历史年度（原始）'!B142+'历史年度（原始）'!B143+'历史年度（原始）'!B148+'历史年度（原始）'!B152+'历史年度（原始）'!B153+'历史年度（原始）'!B154+'历史年度（原始）'!B136+'历史年度（原始）'!B149+'历史年度（原始）'!B156</f>
        <v>0</v>
      </c>
      <c r="D69" s="102">
        <f>'历史年度（原始）'!C130+'历史年度（原始）'!C131+'历史年度（原始）'!C132+'历史年度（原始）'!C142+'历史年度（原始）'!C143+'历史年度（原始）'!C148+'历史年度（原始）'!C152+'历史年度（原始）'!C153+'历史年度（原始）'!C154+'历史年度（原始）'!C136+'历史年度（原始）'!C149+'历史年度（原始）'!C156</f>
        <v>0</v>
      </c>
      <c r="E69" s="102">
        <f>'历史年度（原始）'!D130+'历史年度（原始）'!D131+'历史年度（原始）'!D132+'历史年度（原始）'!D142+'历史年度（原始）'!D143+'历史年度（原始）'!D148+'历史年度（原始）'!D152+'历史年度（原始）'!D153+'历史年度（原始）'!D154+'历史年度（原始）'!D136+'历史年度（原始）'!D149+'历史年度（原始）'!D156</f>
        <v>0</v>
      </c>
      <c r="F69" s="102">
        <f>'历史年度（原始）'!E130+'历史年度（原始）'!E131+'历史年度（原始）'!E132+'历史年度（原始）'!E142+'历史年度（原始）'!E143+'历史年度（原始）'!E148+'历史年度（原始）'!E152+'历史年度（原始）'!E153+'历史年度（原始）'!E154+'历史年度（原始）'!E136+'历史年度（原始）'!E149+'历史年度（原始）'!E156</f>
        <v>0</v>
      </c>
      <c r="I69" s="868"/>
    </row>
    <row r="70" spans="2:9" outlineLevel="1">
      <c r="B70" s="855" t="s">
        <v>921</v>
      </c>
      <c r="C70" s="102">
        <f>'历史年度（原始）'!B141+'历史年度（原始）'!B151+'历史年度（原始）'!B158+'历史年度（原始）'!B159+'历史年度（原始）'!B160+'历史年度（原始）'!B161+'历史年度（原始）'!B162+'历史年度（原始）'!B163</f>
        <v>0.1695398071</v>
      </c>
      <c r="D70" s="102">
        <f>'历史年度（原始）'!C141+'历史年度（原始）'!C151+'历史年度（原始）'!C158+'历史年度（原始）'!C159+'历史年度（原始）'!C160+'历史年度（原始）'!C161+'历史年度（原始）'!C162+'历史年度（原始）'!C163</f>
        <v>0.19965858210000001</v>
      </c>
      <c r="E70" s="102">
        <f>'历史年度（原始）'!D141+'历史年度（原始）'!D151+'历史年度（原始）'!D158+'历史年度（原始）'!D159+'历史年度（原始）'!D160+'历史年度（原始）'!D161+'历史年度（原始）'!D162+'历史年度（原始）'!D163</f>
        <v>0</v>
      </c>
      <c r="F70" s="102">
        <f>'历史年度（原始）'!E141+'历史年度（原始）'!E151+'历史年度（原始）'!E158+'历史年度（原始）'!E159+'历史年度（原始）'!E160+'历史年度（原始）'!E161+'历史年度（原始）'!E162+'历史年度（原始）'!E163</f>
        <v>0</v>
      </c>
      <c r="I70" s="868"/>
    </row>
    <row r="71" spans="2:9" outlineLevel="1">
      <c r="B71" s="856" t="s">
        <v>922</v>
      </c>
      <c r="C71" s="100">
        <f>SUM(C64:C70)</f>
        <v>6.0330034116999993</v>
      </c>
      <c r="D71" s="100">
        <f t="shared" ref="D71:F71" si="13">SUM(D64:D70)</f>
        <v>11.296087237799998</v>
      </c>
      <c r="E71" s="100">
        <f t="shared" si="13"/>
        <v>5.4142786160000007</v>
      </c>
      <c r="F71" s="100">
        <f t="shared" si="13"/>
        <v>6.3077305111999991</v>
      </c>
      <c r="I71" s="867"/>
    </row>
    <row r="72" spans="2:9" outlineLevel="1">
      <c r="B72" s="855" t="s">
        <v>923</v>
      </c>
      <c r="C72" s="102">
        <f>'历史年度（原始）'!B166</f>
        <v>0.12</v>
      </c>
      <c r="D72" s="102">
        <f>'历史年度（原始）'!C166</f>
        <v>0.82563432859999997</v>
      </c>
      <c r="E72" s="102">
        <f>'历史年度（原始）'!D166</f>
        <v>0</v>
      </c>
      <c r="F72" s="102">
        <f>'历史年度（原始）'!E166</f>
        <v>0</v>
      </c>
      <c r="I72" s="868"/>
    </row>
    <row r="73" spans="2:9" outlineLevel="1">
      <c r="B73" s="855" t="s">
        <v>924</v>
      </c>
      <c r="C73" s="102">
        <f>'历史年度（原始）'!B168</f>
        <v>0</v>
      </c>
      <c r="D73" s="102">
        <f>'历史年度（原始）'!C168</f>
        <v>0</v>
      </c>
      <c r="E73" s="102">
        <f>'历史年度（原始）'!D168</f>
        <v>0</v>
      </c>
      <c r="F73" s="102">
        <f>'历史年度（原始）'!E168</f>
        <v>0</v>
      </c>
      <c r="I73" s="868"/>
    </row>
    <row r="74" spans="2:9" outlineLevel="1">
      <c r="B74" s="855" t="s">
        <v>925</v>
      </c>
      <c r="C74" s="102">
        <f>'历史年度（原始）'!B171+'历史年度（原始）'!B172</f>
        <v>0.94477767999999995</v>
      </c>
      <c r="D74" s="102">
        <f>'历史年度（原始）'!C171+'历史年度（原始）'!C172</f>
        <v>0</v>
      </c>
      <c r="E74" s="102">
        <f>'历史年度（原始）'!D171+'历史年度（原始）'!D172</f>
        <v>0</v>
      </c>
      <c r="F74" s="102">
        <f>'历史年度（原始）'!E171+'历史年度（原始）'!E172</f>
        <v>0</v>
      </c>
      <c r="I74" s="868"/>
    </row>
    <row r="75" spans="2:9" outlineLevel="1">
      <c r="B75" s="855" t="s">
        <v>926</v>
      </c>
      <c r="C75" s="102">
        <f>'历史年度（原始）'!B173</f>
        <v>0</v>
      </c>
      <c r="D75" s="102">
        <f>'历史年度（原始）'!C173</f>
        <v>0</v>
      </c>
      <c r="E75" s="102">
        <f>'历史年度（原始）'!D173</f>
        <v>0</v>
      </c>
      <c r="F75" s="102">
        <f>'历史年度（原始）'!E173</f>
        <v>0</v>
      </c>
      <c r="I75" s="868"/>
    </row>
    <row r="76" spans="2:9" outlineLevel="1">
      <c r="B76" s="855" t="s">
        <v>927</v>
      </c>
      <c r="C76" s="102">
        <f>'历史年度（原始）'!B174</f>
        <v>0</v>
      </c>
      <c r="D76" s="102">
        <f>'历史年度（原始）'!C174</f>
        <v>0</v>
      </c>
      <c r="E76" s="102">
        <f>'历史年度（原始）'!D174</f>
        <v>0</v>
      </c>
      <c r="F76" s="102">
        <f>'历史年度（原始）'!E174</f>
        <v>0</v>
      </c>
      <c r="I76" s="868"/>
    </row>
    <row r="77" spans="2:9" outlineLevel="1">
      <c r="B77" s="855" t="s">
        <v>928</v>
      </c>
      <c r="C77" s="102">
        <f>'历史年度（原始）'!B177+'历史年度（原始）'!B178+'历史年度（原始）'!B179+'历史年度（原始）'!B167</f>
        <v>0</v>
      </c>
      <c r="D77" s="102">
        <f>'历史年度（原始）'!C177+'历史年度（原始）'!C178+'历史年度（原始）'!C179+'历史年度（原始）'!C167</f>
        <v>0</v>
      </c>
      <c r="E77" s="102">
        <f>'历史年度（原始）'!D177+'历史年度（原始）'!D178+'历史年度（原始）'!D179+'历史年度（原始）'!D167</f>
        <v>0</v>
      </c>
      <c r="F77" s="102">
        <f>'历史年度（原始）'!E177+'历史年度（原始）'!E178+'历史年度（原始）'!E179+'历史年度（原始）'!E167</f>
        <v>0</v>
      </c>
      <c r="I77" s="868"/>
    </row>
    <row r="78" spans="2:9" outlineLevel="1">
      <c r="B78" s="856" t="s">
        <v>929</v>
      </c>
      <c r="C78" s="100">
        <f>SUM(C72:C77)</f>
        <v>1.0647776799999999</v>
      </c>
      <c r="D78" s="100">
        <f t="shared" ref="D78:F78" si="14">SUM(D72:D77)</f>
        <v>0.82563432859999997</v>
      </c>
      <c r="E78" s="100">
        <f t="shared" si="14"/>
        <v>0</v>
      </c>
      <c r="F78" s="100">
        <f t="shared" si="14"/>
        <v>0</v>
      </c>
      <c r="I78" s="867"/>
    </row>
    <row r="79" spans="2:9" outlineLevel="1">
      <c r="B79" s="856" t="s">
        <v>930</v>
      </c>
      <c r="C79" s="102"/>
      <c r="D79" s="102"/>
      <c r="E79" s="102"/>
      <c r="F79" s="102"/>
      <c r="I79" s="868"/>
    </row>
    <row r="80" spans="2:9" outlineLevel="1">
      <c r="B80" s="869" t="s">
        <v>885</v>
      </c>
      <c r="C80" s="102">
        <f>C71+C78</f>
        <v>7.097781091699999</v>
      </c>
      <c r="D80" s="102">
        <f t="shared" ref="D80:F80" si="15">D71+D78</f>
        <v>12.121721566399998</v>
      </c>
      <c r="E80" s="102">
        <f t="shared" si="15"/>
        <v>5.4142786160000007</v>
      </c>
      <c r="F80" s="102">
        <f t="shared" si="15"/>
        <v>6.3077305111999991</v>
      </c>
      <c r="I80" s="868"/>
    </row>
    <row r="81" spans="1:9" outlineLevel="1">
      <c r="B81" s="866"/>
      <c r="C81" s="864"/>
      <c r="D81" s="864"/>
      <c r="E81" s="864"/>
      <c r="F81" s="864"/>
      <c r="I81" s="868"/>
    </row>
    <row r="82" spans="1:9" outlineLevel="1">
      <c r="B82" s="866"/>
      <c r="C82" s="864"/>
      <c r="D82" s="864"/>
      <c r="E82" s="864"/>
      <c r="F82" s="864"/>
      <c r="I82" s="868"/>
    </row>
    <row r="83" spans="1:9" outlineLevel="1">
      <c r="B83" s="861"/>
      <c r="C83" s="102"/>
      <c r="D83" s="102"/>
      <c r="E83" s="102"/>
      <c r="F83" s="102"/>
      <c r="I83" s="868"/>
    </row>
    <row r="84" spans="1:9" outlineLevel="1">
      <c r="A84" s="853" t="s">
        <v>931</v>
      </c>
      <c r="B84" s="870"/>
      <c r="C84" s="100"/>
      <c r="D84" s="100"/>
      <c r="E84" s="100"/>
      <c r="F84" s="100"/>
      <c r="I84" s="868"/>
    </row>
    <row r="85" spans="1:9" outlineLevel="1">
      <c r="B85" s="855" t="s">
        <v>932</v>
      </c>
      <c r="C85" s="102">
        <f>'历史年度（原始）'!B185</f>
        <v>7.4093881399999999</v>
      </c>
      <c r="D85" s="102">
        <f>'历史年度（原始）'!C185</f>
        <v>7.5547481400000001</v>
      </c>
      <c r="E85" s="102">
        <f>'历史年度（原始）'!D185</f>
        <v>8.1661535399999998</v>
      </c>
      <c r="F85" s="102">
        <f>'历史年度（原始）'!E185</f>
        <v>8.1203735399999992</v>
      </c>
      <c r="I85" s="867"/>
    </row>
    <row r="86" spans="1:9" outlineLevel="1">
      <c r="B86" s="855" t="s">
        <v>933</v>
      </c>
      <c r="C86" s="102">
        <f>'历史年度（原始）'!B190-'历史年度（原始）'!B191</f>
        <v>8.4261393568000003</v>
      </c>
      <c r="D86" s="102">
        <f>'历史年度（原始）'!C190-'历史年度（原始）'!C191</f>
        <v>8.7407487140999987</v>
      </c>
      <c r="E86" s="102">
        <f>'历史年度（原始）'!D190-'历史年度（原始）'!D191</f>
        <v>19.726764313699999</v>
      </c>
      <c r="F86" s="102">
        <f>'历史年度（原始）'!E190-'历史年度（原始）'!E191</f>
        <v>19.561780815199999</v>
      </c>
      <c r="I86" s="868"/>
    </row>
    <row r="87" spans="1:9" outlineLevel="1">
      <c r="B87" s="855" t="s">
        <v>934</v>
      </c>
      <c r="C87" s="102">
        <f>C90-C85-C86</f>
        <v>8.2560972212999992</v>
      </c>
      <c r="D87" s="102">
        <f t="shared" ref="D87:F87" si="16">D90-D85-D86</f>
        <v>10.3746908029</v>
      </c>
      <c r="E87" s="102">
        <f t="shared" si="16"/>
        <v>12.141992080100003</v>
      </c>
      <c r="F87" s="102">
        <f t="shared" si="16"/>
        <v>15.300538666299996</v>
      </c>
      <c r="I87" s="868"/>
    </row>
    <row r="88" spans="1:9" outlineLevel="1">
      <c r="B88" s="855"/>
      <c r="C88" s="102"/>
      <c r="D88" s="102"/>
      <c r="E88" s="102"/>
      <c r="F88" s="102"/>
      <c r="I88" s="868"/>
    </row>
    <row r="89" spans="1:9" outlineLevel="1">
      <c r="B89" s="848"/>
      <c r="C89" s="102"/>
      <c r="D89" s="102"/>
      <c r="E89" s="102"/>
      <c r="F89" s="102"/>
      <c r="I89" s="868"/>
    </row>
    <row r="90" spans="1:9" outlineLevel="1">
      <c r="B90" s="856" t="s">
        <v>935</v>
      </c>
      <c r="C90" s="100">
        <f>'历史年度（原始）'!B202</f>
        <v>24.0916247181</v>
      </c>
      <c r="D90" s="100">
        <f>'历史年度（原始）'!C202</f>
        <v>26.670187657</v>
      </c>
      <c r="E90" s="100">
        <f>'历史年度（原始）'!D202</f>
        <v>40.034909933800002</v>
      </c>
      <c r="F90" s="100">
        <f>'历史年度（原始）'!E202</f>
        <v>42.982693021499998</v>
      </c>
      <c r="I90" s="868"/>
    </row>
    <row r="91" spans="1:9" outlineLevel="1">
      <c r="B91" s="855" t="s">
        <v>936</v>
      </c>
      <c r="C91" s="102">
        <f>'历史年度（原始）'!B203</f>
        <v>-5.3627312E-3</v>
      </c>
      <c r="D91" s="102">
        <f>'历史年度（原始）'!C203</f>
        <v>-1.61629844E-2</v>
      </c>
      <c r="E91" s="102">
        <f>'历史年度（原始）'!D203</f>
        <v>0.47216653630000005</v>
      </c>
      <c r="F91" s="102">
        <f>'历史年度（原始）'!E203</f>
        <v>0.59386458720000002</v>
      </c>
      <c r="I91" s="868"/>
    </row>
    <row r="92" spans="1:9" outlineLevel="1">
      <c r="B92" s="856" t="s">
        <v>937</v>
      </c>
      <c r="C92" s="100">
        <f>'历史年度（原始）'!B206</f>
        <v>24.086261986900002</v>
      </c>
      <c r="D92" s="100">
        <f>'历史年度（原始）'!C206</f>
        <v>26.654024672600002</v>
      </c>
      <c r="E92" s="100">
        <f>'历史年度（原始）'!D206</f>
        <v>40.507076470100003</v>
      </c>
      <c r="F92" s="100">
        <f>'历史年度（原始）'!E206</f>
        <v>43.5765576087</v>
      </c>
      <c r="I92" s="867"/>
    </row>
    <row r="93" spans="1:9" outlineLevel="1">
      <c r="B93" s="861"/>
      <c r="C93" s="100"/>
      <c r="D93" s="100"/>
      <c r="E93" s="100"/>
      <c r="F93" s="100"/>
      <c r="I93" s="868"/>
    </row>
    <row r="94" spans="1:9" outlineLevel="1">
      <c r="B94" s="856" t="s">
        <v>938</v>
      </c>
      <c r="C94" s="100">
        <f>C80+C92</f>
        <v>31.184043078600002</v>
      </c>
      <c r="D94" s="100">
        <f t="shared" ref="D94:F94" si="17">D80+D92</f>
        <v>38.775746239</v>
      </c>
      <c r="E94" s="100">
        <f t="shared" si="17"/>
        <v>45.921355086100007</v>
      </c>
      <c r="F94" s="100">
        <f t="shared" si="17"/>
        <v>49.884288119899999</v>
      </c>
      <c r="I94" s="868"/>
    </row>
    <row r="95" spans="1:9" outlineLevel="1">
      <c r="B95" s="863" t="s">
        <v>939</v>
      </c>
      <c r="C95" s="864">
        <f>(C61-C94)/C61</f>
        <v>-2.2785459023679618E-16</v>
      </c>
      <c r="D95" s="864">
        <f t="shared" ref="D95:F95" si="18">(D61-D94)/D61</f>
        <v>1.8324411640734538E-16</v>
      </c>
      <c r="E95" s="864">
        <f t="shared" si="18"/>
        <v>-1.5473035027556828E-16</v>
      </c>
      <c r="F95" s="864">
        <f t="shared" si="18"/>
        <v>-1.4243818295096573E-16</v>
      </c>
      <c r="I95" s="868"/>
    </row>
    <row r="96" spans="1:9">
      <c r="B96" s="848"/>
      <c r="C96" s="102"/>
      <c r="D96" s="102"/>
      <c r="E96" s="102"/>
      <c r="F96" s="102"/>
      <c r="I96" s="868"/>
    </row>
    <row r="97" spans="1:9">
      <c r="A97" s="1027" t="s">
        <v>940</v>
      </c>
      <c r="B97" s="1028"/>
      <c r="C97" s="100"/>
      <c r="D97" s="100"/>
      <c r="E97" s="100"/>
      <c r="F97" s="100"/>
      <c r="I97" s="868"/>
    </row>
    <row r="98" spans="1:9" outlineLevel="1">
      <c r="A98" s="1029" t="s">
        <v>941</v>
      </c>
      <c r="B98" s="1028"/>
      <c r="C98" s="102"/>
      <c r="D98" s="102"/>
      <c r="E98" s="102"/>
      <c r="F98" s="102"/>
      <c r="I98" s="868"/>
    </row>
    <row r="99" spans="1:9" outlineLevel="1">
      <c r="A99" s="425"/>
      <c r="B99" s="872" t="s">
        <v>869</v>
      </c>
      <c r="C99" s="102">
        <f>'历史年度（原始）'!B298+'历史年度（原始）'!B308+'历史年度（原始）'!B309+'历史年度（原始）'!B310+'历史年度（原始）'!B312+'历史年度（原始）'!B320</f>
        <v>2.6391772924999999</v>
      </c>
      <c r="D99" s="102">
        <f>'历史年度（原始）'!C298+'历史年度（原始）'!C308+'历史年度（原始）'!C309+'历史年度（原始）'!C310+'历史年度（原始）'!C312+'历史年度（原始）'!C320</f>
        <v>3.5303605917000001</v>
      </c>
      <c r="E99" s="102">
        <f>'历史年度（原始）'!D298+'历史年度（原始）'!D308+'历史年度（原始）'!D309+'历史年度（原始）'!D310+'历史年度（原始）'!D312+'历史年度（原始）'!D320</f>
        <v>2.7040210830999998</v>
      </c>
      <c r="F99" s="102">
        <f>'历史年度（原始）'!E298+'历史年度（原始）'!E308+'历史年度（原始）'!E309+'历史年度（原始）'!E310+'历史年度（原始）'!E312+'历史年度（原始）'!E320</f>
        <v>4.5760471426999993</v>
      </c>
      <c r="I99" s="867"/>
    </row>
    <row r="100" spans="1:9" outlineLevel="1">
      <c r="A100" s="425"/>
      <c r="B100" s="872" t="s">
        <v>942</v>
      </c>
      <c r="C100" s="102">
        <f>'历史年度（原始）'!B300+'历史年度（原始）'!B303+'历史年度（原始）'!B304+'历史年度（原始）'!B305</f>
        <v>1.4049729526999999</v>
      </c>
      <c r="D100" s="102">
        <f>'历史年度（原始）'!C300+'历史年度（原始）'!C303+'历史年度（原始）'!C304+'历史年度（原始）'!C305</f>
        <v>1.8035099397999999</v>
      </c>
      <c r="E100" s="102">
        <f>'历史年度（原始）'!D300+'历史年度（原始）'!D303+'历史年度（原始）'!D304+'历史年度（原始）'!D305</f>
        <v>2.2835377573</v>
      </c>
      <c r="F100" s="102">
        <f>'历史年度（原始）'!E300+'历史年度（原始）'!E303+'历史年度（原始）'!E304+'历史年度（原始）'!E305</f>
        <v>2.5847545046000002</v>
      </c>
      <c r="I100" s="868"/>
    </row>
    <row r="101" spans="1:9" outlineLevel="1">
      <c r="A101" s="425"/>
      <c r="B101" s="872" t="s">
        <v>943</v>
      </c>
      <c r="C101" s="102">
        <f>'历史年度（原始）'!B299</f>
        <v>8.1315124500000002E-2</v>
      </c>
      <c r="D101" s="102">
        <f>'历史年度（原始）'!C299</f>
        <v>5.8446824100000003E-2</v>
      </c>
      <c r="E101" s="102">
        <f>'历史年度（原始）'!D299</f>
        <v>5.5743501100000002E-2</v>
      </c>
      <c r="F101" s="102">
        <f>'历史年度（原始）'!E299</f>
        <v>0.260987091</v>
      </c>
      <c r="I101" s="868"/>
    </row>
    <row r="102" spans="1:9" outlineLevel="1">
      <c r="A102" s="425"/>
      <c r="B102" s="872" t="s">
        <v>944</v>
      </c>
      <c r="C102" s="102" t="e">
        <f>'历史年度（原始）'!B311-'历史年度（简化）'!C150</f>
        <v>#VALUE!</v>
      </c>
      <c r="D102" s="102" t="e">
        <f>'历史年度（原始）'!C311-'历史年度（简化）'!D150</f>
        <v>#VALUE!</v>
      </c>
      <c r="E102" s="102" t="e">
        <f>'历史年度（原始）'!D311-'历史年度（简化）'!E150</f>
        <v>#VALUE!</v>
      </c>
      <c r="F102" s="102" t="e">
        <f>'历史年度（原始）'!E311-'历史年度（简化）'!F150</f>
        <v>#VALUE!</v>
      </c>
      <c r="I102" s="868"/>
    </row>
    <row r="103" spans="1:9" outlineLevel="1">
      <c r="A103" s="425"/>
      <c r="B103" s="855" t="s">
        <v>945</v>
      </c>
      <c r="C103" s="102" t="e">
        <f>'历史年度（简化）'!C150</f>
        <v>#VALUE!</v>
      </c>
      <c r="D103" s="102" t="e">
        <f>'历史年度（简化）'!D150</f>
        <v>#VALUE!</v>
      </c>
      <c r="E103" s="102" t="e">
        <f>'历史年度（简化）'!E150</f>
        <v>#VALUE!</v>
      </c>
      <c r="F103" s="102" t="e">
        <f>'历史年度（简化）'!F150</f>
        <v>#VALUE!</v>
      </c>
      <c r="I103" s="868"/>
    </row>
    <row r="104" spans="1:9" outlineLevel="1">
      <c r="A104" s="425"/>
      <c r="B104" s="872" t="s">
        <v>946</v>
      </c>
      <c r="C104" s="102">
        <f>'历史年度（原始）'!B317</f>
        <v>-9.746466949999999E-2</v>
      </c>
      <c r="D104" s="102">
        <f>'历史年度（原始）'!C317</f>
        <v>-0.58466690460000004</v>
      </c>
      <c r="E104" s="102">
        <f>'历史年度（原始）'!D317</f>
        <v>-0.73316385799999995</v>
      </c>
      <c r="F104" s="102">
        <f>'历史年度（原始）'!E317</f>
        <v>-0.95158185870000001</v>
      </c>
      <c r="I104" s="868"/>
    </row>
    <row r="105" spans="1:9" outlineLevel="1">
      <c r="A105" s="425"/>
      <c r="B105" s="872" t="s">
        <v>947</v>
      </c>
      <c r="C105" s="102">
        <f>'历史年度（原始）'!B318</f>
        <v>3.4418724022000005</v>
      </c>
      <c r="D105" s="102">
        <f>'历史年度（原始）'!C318</f>
        <v>-2.4338847158000001</v>
      </c>
      <c r="E105" s="102">
        <f>'历史年度（原始）'!D318</f>
        <v>-0.64508637820000003</v>
      </c>
      <c r="F105" s="102">
        <f>'历史年度（原始）'!E318</f>
        <v>-2.0287177600000001</v>
      </c>
      <c r="I105" s="868"/>
    </row>
    <row r="106" spans="1:9" outlineLevel="1">
      <c r="A106" s="425"/>
      <c r="B106" s="872" t="s">
        <v>948</v>
      </c>
      <c r="C106" s="102">
        <f>'历史年度（原始）'!B319</f>
        <v>-4.1469658520000001</v>
      </c>
      <c r="D106" s="102">
        <f>'历史年度（原始）'!C319</f>
        <v>1.5406979406000001</v>
      </c>
      <c r="E106" s="102">
        <f>'历史年度（原始）'!D319</f>
        <v>0.57673724829999995</v>
      </c>
      <c r="F106" s="102">
        <f>'历史年度（原始）'!E319</f>
        <v>1.3373698620000001</v>
      </c>
      <c r="I106" s="867"/>
    </row>
    <row r="107" spans="1:9" outlineLevel="1">
      <c r="A107" s="425"/>
      <c r="B107" s="872" t="s">
        <v>949</v>
      </c>
      <c r="C107" s="102">
        <f>'历史年度（原始）'!B306+'历史年度（原始）'!B307+'历史年度（原始）'!B313+'历史年度（原始）'!B321+'历史年度（原始）'!B322+'历史年度（原始）'!B323+'历史年度（原始）'!B316</f>
        <v>4.5768618399999995E-2</v>
      </c>
      <c r="D107" s="102">
        <f>'历史年度（原始）'!C306+'历史年度（原始）'!C307+'历史年度（原始）'!C313+'历史年度（原始）'!C321+'历史年度（原始）'!C322+'历史年度（原始）'!C323+'历史年度（原始）'!C316</f>
        <v>0.15042659010000003</v>
      </c>
      <c r="E107" s="102">
        <f>'历史年度（原始）'!D306+'历史年度（原始）'!D307+'历史年度（原始）'!D313+'历史年度（原始）'!D321+'历史年度（原始）'!D322+'历史年度（原始）'!D323+'历史年度（原始）'!D316</f>
        <v>0.15985110150000001</v>
      </c>
      <c r="F107" s="102">
        <f>'历史年度（原始）'!E306+'历史年度（原始）'!E307+'历史年度（原始）'!E313+'历史年度（原始）'!E321+'历史年度（原始）'!E322+'历史年度（原始）'!E323+'历史年度（原始）'!E316</f>
        <v>0.17311789599999999</v>
      </c>
      <c r="I107" s="868"/>
    </row>
    <row r="108" spans="1:9" outlineLevel="1">
      <c r="A108" s="425"/>
      <c r="B108" s="873" t="s">
        <v>950</v>
      </c>
      <c r="C108" s="100" t="e">
        <f>SUM(C99:C107)</f>
        <v>#VALUE!</v>
      </c>
      <c r="D108" s="100" t="e">
        <f t="shared" ref="D108:F108" si="19">SUM(D99:D107)</f>
        <v>#VALUE!</v>
      </c>
      <c r="E108" s="100" t="e">
        <f t="shared" si="19"/>
        <v>#VALUE!</v>
      </c>
      <c r="F108" s="100" t="e">
        <f t="shared" si="19"/>
        <v>#VALUE!</v>
      </c>
      <c r="I108" s="868"/>
    </row>
    <row r="109" spans="1:9" outlineLevel="1">
      <c r="A109" s="425"/>
      <c r="B109" s="863" t="s">
        <v>951</v>
      </c>
      <c r="C109" s="100">
        <f>IF(ISERROR((C108-'历史年度（原始）'!B244)/'历史年度（原始）'!B244),0,(C108-'历史年度（原始）'!B244)/'历史年度（原始）'!B244)</f>
        <v>0</v>
      </c>
      <c r="D109" s="100">
        <f>IF(ISERROR((D108-'历史年度（原始）'!C244)/'历史年度（原始）'!C244),0,(D108-'历史年度（原始）'!C244)/'历史年度（原始）'!C244)</f>
        <v>0</v>
      </c>
      <c r="E109" s="100">
        <f>IF(ISERROR((E108-'历史年度（原始）'!D244)/'历史年度（原始）'!D244),0,(E108-'历史年度（原始）'!D244)/'历史年度（原始）'!D244)</f>
        <v>0</v>
      </c>
      <c r="F109" s="100">
        <f>IF(ISERROR((F108-'历史年度（原始）'!E244)/'历史年度（原始）'!E244),0,(F108-'历史年度（原始）'!E244)/'历史年度（原始）'!E244)</f>
        <v>0</v>
      </c>
      <c r="I109" s="868"/>
    </row>
    <row r="110" spans="1:9" outlineLevel="1">
      <c r="A110" s="425"/>
      <c r="B110" s="874"/>
      <c r="C110" s="100"/>
      <c r="D110" s="100"/>
      <c r="E110" s="100"/>
      <c r="F110" s="100"/>
      <c r="I110" s="868"/>
    </row>
    <row r="111" spans="1:9" outlineLevel="1">
      <c r="A111" s="1029" t="s">
        <v>952</v>
      </c>
      <c r="B111" s="1028"/>
      <c r="C111" s="102"/>
      <c r="D111" s="102"/>
      <c r="E111" s="102"/>
      <c r="F111" s="102"/>
      <c r="I111" s="868"/>
    </row>
    <row r="112" spans="1:9" outlineLevel="1">
      <c r="A112" s="871"/>
      <c r="B112" s="872" t="s">
        <v>953</v>
      </c>
      <c r="C112" s="102">
        <f>'历史年度（原始）'!B246</f>
        <v>0</v>
      </c>
      <c r="D112" s="102">
        <f>'历史年度（原始）'!C246</f>
        <v>0</v>
      </c>
      <c r="E112" s="102">
        <f>'历史年度（原始）'!D246</f>
        <v>0</v>
      </c>
      <c r="F112" s="102">
        <f>'历史年度（原始）'!E246</f>
        <v>0.5</v>
      </c>
      <c r="I112" s="868"/>
    </row>
    <row r="113" spans="1:9" outlineLevel="1">
      <c r="A113" s="425"/>
      <c r="B113" s="872" t="s">
        <v>954</v>
      </c>
      <c r="C113" s="102">
        <f>'历史年度（原始）'!B247</f>
        <v>8.6289337000000008E-3</v>
      </c>
      <c r="D113" s="102">
        <f>'历史年度（原始）'!C247</f>
        <v>0</v>
      </c>
      <c r="E113" s="102">
        <f>'历史年度（原始）'!D247</f>
        <v>0</v>
      </c>
      <c r="F113" s="102">
        <f>'历史年度（原始）'!E247</f>
        <v>1.7539314699999999E-2</v>
      </c>
      <c r="I113" s="867"/>
    </row>
    <row r="114" spans="1:9" outlineLevel="1">
      <c r="A114" s="871"/>
      <c r="B114" s="872" t="s">
        <v>875</v>
      </c>
      <c r="C114" s="102">
        <f>'历史年度（原始）'!B248+'历史年度（原始）'!B249</f>
        <v>1.56E-3</v>
      </c>
      <c r="D114" s="102">
        <f>'历史年度（原始）'!C248+'历史年度（原始）'!C249</f>
        <v>2.0207856100000001E-2</v>
      </c>
      <c r="E114" s="102">
        <f>'历史年度（原始）'!D248+'历史年度（原始）'!D249</f>
        <v>1.2963708400000001E-2</v>
      </c>
      <c r="F114" s="102">
        <f>'历史年度（原始）'!E248+'历史年度（原始）'!E249</f>
        <v>5.8935001399999999E-2</v>
      </c>
      <c r="I114" s="868"/>
    </row>
    <row r="115" spans="1:9" outlineLevel="1">
      <c r="A115" s="425"/>
      <c r="B115" s="872" t="s">
        <v>955</v>
      </c>
      <c r="C115" s="102">
        <f>'历史年度（原始）'!B251+'历史年度（原始）'!B252+'历史年度（原始）'!B253+'历史年度（原始）'!B250</f>
        <v>1.97</v>
      </c>
      <c r="D115" s="102">
        <f>'历史年度（原始）'!C251+'历史年度（原始）'!C252+'历史年度（原始）'!C253+'历史年度（原始）'!C250</f>
        <v>0</v>
      </c>
      <c r="E115" s="102">
        <f>'历史年度（原始）'!D251+'历史年度（原始）'!D252+'历史年度（原始）'!D253+'历史年度（原始）'!D250</f>
        <v>0</v>
      </c>
      <c r="F115" s="102">
        <f>'历史年度（原始）'!E251+'历史年度（原始）'!E252+'历史年度（原始）'!E253+'历史年度（原始）'!E250</f>
        <v>0</v>
      </c>
      <c r="I115" s="868"/>
    </row>
    <row r="116" spans="1:9" ht="22.55" outlineLevel="1">
      <c r="A116" s="425"/>
      <c r="B116" s="875" t="s">
        <v>956</v>
      </c>
      <c r="C116" s="102">
        <f>'历史年度（原始）'!B255</f>
        <v>3.8893775612999999</v>
      </c>
      <c r="D116" s="102">
        <f>'历史年度（原始）'!C255</f>
        <v>6.7222075112999997</v>
      </c>
      <c r="E116" s="102">
        <f>'历史年度（原始）'!D255</f>
        <v>3.5880515348000004</v>
      </c>
      <c r="F116" s="102">
        <f>'历史年度（原始）'!E255</f>
        <v>4.2876282118000004</v>
      </c>
      <c r="I116" s="868"/>
    </row>
    <row r="117" spans="1:9" outlineLevel="1">
      <c r="A117" s="425"/>
      <c r="B117" s="872" t="s">
        <v>957</v>
      </c>
      <c r="C117" s="876" t="e">
        <f>'历史年度（原始）'!B256+'历史年度（原始）'!B258-C118-C119</f>
        <v>#VALUE!</v>
      </c>
      <c r="D117" s="876" t="e">
        <f>'历史年度（原始）'!C256+'历史年度（原始）'!C258-D118-D119</f>
        <v>#VALUE!</v>
      </c>
      <c r="E117" s="876" t="e">
        <f>'历史年度（原始）'!D256+'历史年度（原始）'!D258-E118-E119</f>
        <v>#VALUE!</v>
      </c>
      <c r="F117" s="876" t="e">
        <f>'历史年度（原始）'!E256+'历史年度（原始）'!E258-F118-F119</f>
        <v>#VALUE!</v>
      </c>
      <c r="I117" s="868"/>
    </row>
    <row r="118" spans="1:9" outlineLevel="1">
      <c r="A118" s="877"/>
      <c r="B118" s="872" t="s">
        <v>958</v>
      </c>
      <c r="C118" s="878" t="e">
        <f>IF(OR([1]!EM_S_STM07_BS(目录!$C$4,10,C2,iRepType)="",[1]!EM_S_STM07_BS(目录!$C$4,10,C2,iRepType)="--",[1]!EM_S_STM07_BS(目录!$C$4,10,C2,iRepType)="NULL")=TRUE,0,[1]!EM_S_STM07_BS(目录!$C$4,10,C2,iRepType))/unit-IF(OR([1]!EM_S_STM07_BS(目录!$C$4,10,YEAR(C2)-1&amp;"-12-31",iRepType)="",[1]!EM_S_STM07_BS(目录!$C$4,10,YEAR(C2)-1&amp;"-12-31",iRepType)="--",[1]!EM_S_STM07_BS(目录!$C$4,10,YEAR(C2)-1&amp;"-12-31",iRepType)="NULL")=TRUE,0,[1]!EM_S_STM07_BS(目录!$C$4,10,YEAR(C2)-1&amp;"-12-31",iRepType))/unit+IF(OR([1]!EM_S_STM07_BS(目录!$C$4,76,C2,iRepType)="",[1]!EM_S_STM07_BS(目录!$C$4,76,C2,iRepType)="--",[1]!EM_S_STM07_BS(目录!$C$4,76,C2,iRepType)="NULL")=TRUE,0,[1]!EM_S_STM07_BS(目录!$C$4,76,C2,iRepType))/unit-IF(OR([1]!EM_S_STM07_BS(目录!$C$4,76,YEAR(C2)-1&amp;"-12-31",iRepType)="",[1]!EM_S_STM07_BS(目录!$C$4,76,YEAR(C2)-1&amp;"-12-31",iRepType)="--",[1]!EM_S_STM07_BS(目录!$C$4,76,YEAR(C2)-1&amp;"-12-31",iRepType)="NULL")=TRUE,0,[1]!EM_S_STM07_BS(目录!$C$4,76,YEAR(C2)-1&amp;"-12-31",iRepType))/unit</f>
        <v>#VALUE!</v>
      </c>
      <c r="D118" s="878" t="e">
        <f>IF(OR([1]!EM_S_STM07_BS(目录!$C$4,10,D2,iRepType)="",[1]!EM_S_STM07_BS(目录!$C$4,10,D2,iRepType)="--",[1]!EM_S_STM07_BS(目录!$C$4,10,D2,iRepType)="NULL")=TRUE,0,[1]!EM_S_STM07_BS(目录!$C$4,10,D2,iRepType))/unit-IF(OR([1]!EM_S_STM07_BS(目录!$C$4,10,YEAR(D2)-1&amp;"-12-31",iRepType)="",[1]!EM_S_STM07_BS(目录!$C$4,10,YEAR(D2)-1&amp;"-12-31",iRepType)="--",[1]!EM_S_STM07_BS(目录!$C$4,10,YEAR(D2)-1&amp;"-12-31",iRepType)="NULL")=TRUE,0,[1]!EM_S_STM07_BS(目录!$C$4,10,YEAR(D2)-1&amp;"-12-31",iRepType))/unit+IF(OR([1]!EM_S_STM07_BS(目录!$C$4,76,D2,iRepType)="",[1]!EM_S_STM07_BS(目录!$C$4,76,D2,iRepType)="--",[1]!EM_S_STM07_BS(目录!$C$4,76,D2,iRepType)="NULL")=TRUE,0,[1]!EM_S_STM07_BS(目录!$C$4,76,D2,iRepType))/unit-IF(OR([1]!EM_S_STM07_BS(目录!$C$4,76,YEAR(D2)-1&amp;"-12-31",iRepType)="",[1]!EM_S_STM07_BS(目录!$C$4,76,YEAR(D2)-1&amp;"-12-31",iRepType)="--",[1]!EM_S_STM07_BS(目录!$C$4,76,YEAR(D2)-1&amp;"-12-31",iRepType)="NULL")=TRUE,0,[1]!EM_S_STM07_BS(目录!$C$4,76,YEAR(D2)-1&amp;"-12-31",iRepType))/unit</f>
        <v>#VALUE!</v>
      </c>
      <c r="E118" s="878" t="e">
        <f>IF(OR([1]!EM_S_STM07_BS(目录!$C$4,10,E2,iRepType)="",[1]!EM_S_STM07_BS(目录!$C$4,10,E2,iRepType)="--",[1]!EM_S_STM07_BS(目录!$C$4,10,E2,iRepType)="NULL")=TRUE,0,[1]!EM_S_STM07_BS(目录!$C$4,10,E2,iRepType))/unit-IF(OR([1]!EM_S_STM07_BS(目录!$C$4,10,YEAR(E2)-1&amp;"-12-31",iRepType)="",[1]!EM_S_STM07_BS(目录!$C$4,10,YEAR(E2)-1&amp;"-12-31",iRepType)="--",[1]!EM_S_STM07_BS(目录!$C$4,10,YEAR(E2)-1&amp;"-12-31",iRepType)="NULL")=TRUE,0,[1]!EM_S_STM07_BS(目录!$C$4,10,YEAR(E2)-1&amp;"-12-31",iRepType))/unit+IF(OR([1]!EM_S_STM07_BS(目录!$C$4,76,E2,iRepType)="",[1]!EM_S_STM07_BS(目录!$C$4,76,E2,iRepType)="--",[1]!EM_S_STM07_BS(目录!$C$4,76,E2,iRepType)="NULL")=TRUE,0,[1]!EM_S_STM07_BS(目录!$C$4,76,E2,iRepType))/unit-IF(OR([1]!EM_S_STM07_BS(目录!$C$4,76,YEAR(E2)-1&amp;"-12-31",iRepType)="",[1]!EM_S_STM07_BS(目录!$C$4,76,YEAR(E2)-1&amp;"-12-31",iRepType)="--",[1]!EM_S_STM07_BS(目录!$C$4,76,YEAR(E2)-1&amp;"-12-31",iRepType)="NULL")=TRUE,0,[1]!EM_S_STM07_BS(目录!$C$4,76,YEAR(E2)-1&amp;"-12-31",iRepType))/unit</f>
        <v>#VALUE!</v>
      </c>
      <c r="F118" s="878" t="e">
        <f>IF(OR([1]!EM_S_STM07_BS(目录!$C$4,10,F2,iRepType)="",[1]!EM_S_STM07_BS(目录!$C$4,10,F2,iRepType)="--",[1]!EM_S_STM07_BS(目录!$C$4,10,F2,iRepType)="NULL")=TRUE,0,[1]!EM_S_STM07_BS(目录!$C$4,10,F2,iRepType))/unit-IF(OR([1]!EM_S_STM07_BS(目录!$C$4,10,YEAR(F2)-1&amp;"-12-31",iRepType)="",[1]!EM_S_STM07_BS(目录!$C$4,10,YEAR(F2)-1&amp;"-12-31",iRepType)="--",[1]!EM_S_STM07_BS(目录!$C$4,10,YEAR(F2)-1&amp;"-12-31",iRepType)="NULL")=TRUE,0,[1]!EM_S_STM07_BS(目录!$C$4,10,YEAR(F2)-1&amp;"-12-31",iRepType))/unit+IF(OR([1]!EM_S_STM07_BS(目录!$C$4,76,F2,iRepType)="",[1]!EM_S_STM07_BS(目录!$C$4,76,F2,iRepType)="--",[1]!EM_S_STM07_BS(目录!$C$4,76,F2,iRepType)="NULL")=TRUE,0,[1]!EM_S_STM07_BS(目录!$C$4,76,F2,iRepType))/unit-IF(OR([1]!EM_S_STM07_BS(目录!$C$4,76,YEAR(F2)-1&amp;"-12-31",iRepType)="",[1]!EM_S_STM07_BS(目录!$C$4,76,YEAR(F2)-1&amp;"-12-31",iRepType)="--",[1]!EM_S_STM07_BS(目录!$C$4,76,YEAR(F2)-1&amp;"-12-31",iRepType)="NULL")=TRUE,0,[1]!EM_S_STM07_BS(目录!$C$4,76,YEAR(F2)-1&amp;"-12-31",iRepType))/unit</f>
        <v>#VALUE!</v>
      </c>
      <c r="G118" s="5" t="e">
        <f>IF(OR([1]!EM_S_STM07_BS(目录!$C$4,10,G2,iRepType)="",[1]!EM_S_STM07_BS(目录!$C$4,10,G2,iRepType)="--",[1]!EM_S_STM07_BS(目录!$C$4,10,G2,iRepType)="NULL")=TRUE,0,[1]!EM_S_STM07_BS(目录!$C$4,10,G2,iRepType))/unit-IF(OR([1]!EM_S_STM07_BS(目录!$C$4,10,YEAR(G2)-1&amp;"-12-31",iRepType)="",[1]!EM_S_STM07_BS(目录!$C$4,10,YEAR(G2)-1&amp;"-12-31",iRepType)="--",[1]!EM_S_STM07_BS(目录!$C$4,10,YEAR(G2)-1&amp;"-12-31",iRepType)="NULL")=TRUE,0,[1]!EM_S_STM07_BS(目录!$C$4,10,YEAR(G2)-1&amp;"-12-31",iRepType))/unit+IF(OR([1]!EM_S_STM07_BS(目录!$C$4,76,G2,iRepType)="",[1]!EM_S_STM07_BS(目录!$C$4,76,G2,iRepType)="--",[1]!EM_S_STM07_BS(目录!$C$4,76,G2,iRepType)="NULL")=TRUE,0,[1]!EM_S_STM07_BS(目录!$C$4,76,G2,iRepType))/unit-IF(OR([1]!EM_S_STM07_BS(目录!$C$4,76,YEAR(G2)-1&amp;"-12-31",iRepType)="",[1]!EM_S_STM07_BS(目录!$C$4,76,YEAR(G2)-1&amp;"-12-31",iRepType)="--",[1]!EM_S_STM07_BS(目录!$C$4,76,YEAR(G2)-1&amp;"-12-31",iRepType)="NULL")=TRUE,0,[1]!EM_S_STM07_BS(目录!$C$4,76,YEAR(G2)-1&amp;"-12-31",iRepType))/unit</f>
        <v>#VALUE!</v>
      </c>
      <c r="H118" s="5" t="e">
        <f>IF(OR([1]!EM_S_STM07_BS(目录!$C$4,10,H2,iRepType)="",[1]!EM_S_STM07_BS(目录!$C$4,10,H2,iRepType)="--",[1]!EM_S_STM07_BS(目录!$C$4,10,H2,iRepType)="NULL")=TRUE,0,[1]!EM_S_STM07_BS(目录!$C$4,10,H2,iRepType))/unit-IF(OR([1]!EM_S_STM07_BS(目录!$C$4,10,YEAR(H2)-1&amp;"-12-31",iRepType)="",[1]!EM_S_STM07_BS(目录!$C$4,10,YEAR(H2)-1&amp;"-12-31",iRepType)="--",[1]!EM_S_STM07_BS(目录!$C$4,10,YEAR(H2)-1&amp;"-12-31",iRepType)="NULL")=TRUE,0,[1]!EM_S_STM07_BS(目录!$C$4,10,YEAR(H2)-1&amp;"-12-31",iRepType))/unit+IF(OR([1]!EM_S_STM07_BS(目录!$C$4,76,H2,iRepType)="",[1]!EM_S_STM07_BS(目录!$C$4,76,H2,iRepType)="--",[1]!EM_S_STM07_BS(目录!$C$4,76,H2,iRepType)="NULL")=TRUE,0,[1]!EM_S_STM07_BS(目录!$C$4,76,H2,iRepType))/unit-IF(OR([1]!EM_S_STM07_BS(目录!$C$4,76,YEAR(H2)-1&amp;"-12-31",iRepType)="",[1]!EM_S_STM07_BS(目录!$C$4,76,YEAR(H2)-1&amp;"-12-31",iRepType)="--",[1]!EM_S_STM07_BS(目录!$C$4,76,YEAR(H2)-1&amp;"-12-31",iRepType)="NULL")=TRUE,0,[1]!EM_S_STM07_BS(目录!$C$4,76,YEAR(H2)-1&amp;"-12-31",iRepType))/unit</f>
        <v>#VALUE!</v>
      </c>
      <c r="I118" s="868"/>
    </row>
    <row r="119" spans="1:9" outlineLevel="1">
      <c r="A119" s="425"/>
      <c r="B119" s="872" t="s">
        <v>959</v>
      </c>
      <c r="C119" s="102" t="e">
        <f>(IF(OR([1]!EM_S_STM07_BS(目录!$C$4,53,C2,iRepType)="--",[1]!EM_S_STM07_BS(目录!$C$4,53,C2,iRepType)="",[1]!EM_S_STM07_BS(目录!$C$4,53,C2,iRepType)="NULL")=TRUE,0,[1]!EM_S_STM07_BS(目录!$C$4,53,C2,iRepType))/unit+IF(OR([1]!EM_S_STM07_BS(目录!$C$4,26,C2,iRepType)="--",[1]!EM_S_STM07_BS(目录!$C$4,26,C2,iRepType)="",[1]!EM_S_STM07_BS(目录!$C$4,26,C2,iRepType)="NULL")=TRUE,0,[1]!EM_S_STM07_BS(目录!$C$4,26,C2,iRepType))/unit+IF(OR([1]!EM_S_STM07_BS(目录!$C$4,27,C2,iRepType)="--",[1]!EM_S_STM07_BS(目录!$C$4,27,C2,iRepType)="",[1]!EM_S_STM07_BS(目录!$C$4,27,C2,iRepType)="NULL")=TRUE,0,[1]!EM_S_STM07_BS(目录!$C$4,27,C2,iRepType))/unit-(IF(OR([1]!EM_S_STM07_BS(目录!$C$4,53,YEAR(C2)-1&amp;"-12-31",iRepType)="--",[1]!EM_S_STM07_BS(目录!$C$4,53,YEAR(C2)-1&amp;"-12-31",iRepType)="",[1]!EM_S_STM07_BS(目录!$C$4,53,YEAR(C2)-1&amp;"-12-31",iRepType)="NULL")=TRUE,0,[1]!EM_S_STM07_BS(目录!$C$4,53,YEAR(C2)-1&amp;"-12-31",iRepType))/unit+IF(OR([1]!EM_S_STM07_BS(目录!$C$4,26,YEAR(C2)-1&amp;"-12-31",iRepType)="--",[1]!EM_S_STM07_BS(目录!$C$4,26,YEAR(C2)-1&amp;"-12-31",iRepType)="",[1]!EM_S_STM07_BS(目录!$C$4,26,YEAR(C2)-1&amp;"-12-31",iRepType)="NULL")=TRUE,0,[1]!EM_S_STM07_BS(目录!$C$4,26,YEAR(C2)-1&amp;"-12-31",iRepType))/unit+IF(OR([1]!EM_S_STM07_BS(目录!$C$4,27,YEAR(C2)-1&amp;"-12-31",iRepType)="--",[1]!EM_S_STM07_BS(目录!$C$4,27,YEAR(C2)-1&amp;"-12-31",iRepType)="",[1]!EM_S_STM07_BS(目录!$C$4,27,YEAR(C2)-1&amp;"-12-31",iRepType)="NULL")=TRUE,0,[1]!EM_S_STM07_BS(目录!$C$4,27,YEAR(C2)-1&amp;"-12-31",iRepType))/unit))</f>
        <v>#VALUE!</v>
      </c>
      <c r="D119" s="102" t="e">
        <f>(IF(OR([1]!EM_S_STM07_BS(目录!$C$4,53,D2,iRepType)="--",[1]!EM_S_STM07_BS(目录!$C$4,53,D2,iRepType)="",[1]!EM_S_STM07_BS(目录!$C$4,53,D2,iRepType)="NULL")=TRUE,0,[1]!EM_S_STM07_BS(目录!$C$4,53,D2,iRepType))/unit+IF(OR([1]!EM_S_STM07_BS(目录!$C$4,26,D2,iRepType)="--",[1]!EM_S_STM07_BS(目录!$C$4,26,D2,iRepType)="",[1]!EM_S_STM07_BS(目录!$C$4,26,D2,iRepType)="NULL")=TRUE,0,[1]!EM_S_STM07_BS(目录!$C$4,26,D2,iRepType))/unit+IF(OR([1]!EM_S_STM07_BS(目录!$C$4,27,D2,iRepType)="--",[1]!EM_S_STM07_BS(目录!$C$4,27,D2,iRepType)="",[1]!EM_S_STM07_BS(目录!$C$4,27,D2,iRepType)="NULL")=TRUE,0,[1]!EM_S_STM07_BS(目录!$C$4,27,D2,iRepType))/unit-(IF(OR([1]!EM_S_STM07_BS(目录!$C$4,53,YEAR(D2)-1&amp;"-12-31",iRepType)="--",[1]!EM_S_STM07_BS(目录!$C$4,53,YEAR(D2)-1&amp;"-12-31",iRepType)="",[1]!EM_S_STM07_BS(目录!$C$4,53,YEAR(D2)-1&amp;"-12-31",iRepType)="NULL")=TRUE,0,[1]!EM_S_STM07_BS(目录!$C$4,53,YEAR(D2)-1&amp;"-12-31",iRepType))/unit+IF(OR([1]!EM_S_STM07_BS(目录!$C$4,26,YEAR(D2)-1&amp;"-12-31",iRepType)="--",[1]!EM_S_STM07_BS(目录!$C$4,26,YEAR(D2)-1&amp;"-12-31",iRepType)="",[1]!EM_S_STM07_BS(目录!$C$4,26,YEAR(D2)-1&amp;"-12-31",iRepType)="NULL")=TRUE,0,[1]!EM_S_STM07_BS(目录!$C$4,26,YEAR(D2)-1&amp;"-12-31",iRepType))/unit+IF(OR([1]!EM_S_STM07_BS(目录!$C$4,27,YEAR(D2)-1&amp;"-12-31",iRepType)="--",[1]!EM_S_STM07_BS(目录!$C$4,27,YEAR(D2)-1&amp;"-12-31",iRepType)="",[1]!EM_S_STM07_BS(目录!$C$4,27,YEAR(D2)-1&amp;"-12-31",iRepType)="NULL")=TRUE,0,[1]!EM_S_STM07_BS(目录!$C$4,27,YEAR(D2)-1&amp;"-12-31",iRepType))/unit))</f>
        <v>#VALUE!</v>
      </c>
      <c r="E119" s="102" t="e">
        <f>(IF(OR([1]!EM_S_STM07_BS(目录!$C$4,53,E2,iRepType)="--",[1]!EM_S_STM07_BS(目录!$C$4,53,E2,iRepType)="",[1]!EM_S_STM07_BS(目录!$C$4,53,E2,iRepType)="NULL")=TRUE,0,[1]!EM_S_STM07_BS(目录!$C$4,53,E2,iRepType))/unit+IF(OR([1]!EM_S_STM07_BS(目录!$C$4,26,E2,iRepType)="--",[1]!EM_S_STM07_BS(目录!$C$4,26,E2,iRepType)="",[1]!EM_S_STM07_BS(目录!$C$4,26,E2,iRepType)="NULL")=TRUE,0,[1]!EM_S_STM07_BS(目录!$C$4,26,E2,iRepType))/unit+IF(OR([1]!EM_S_STM07_BS(目录!$C$4,27,E2,iRepType)="--",[1]!EM_S_STM07_BS(目录!$C$4,27,E2,iRepType)="",[1]!EM_S_STM07_BS(目录!$C$4,27,E2,iRepType)="NULL")=TRUE,0,[1]!EM_S_STM07_BS(目录!$C$4,27,E2,iRepType))/unit-(IF(OR([1]!EM_S_STM07_BS(目录!$C$4,53,YEAR(E2)-1&amp;"-12-31",iRepType)="--",[1]!EM_S_STM07_BS(目录!$C$4,53,YEAR(E2)-1&amp;"-12-31",iRepType)="",[1]!EM_S_STM07_BS(目录!$C$4,53,YEAR(E2)-1&amp;"-12-31",iRepType)="NULL")=TRUE,0,[1]!EM_S_STM07_BS(目录!$C$4,53,YEAR(E2)-1&amp;"-12-31",iRepType))/unit+IF(OR([1]!EM_S_STM07_BS(目录!$C$4,26,YEAR(E2)-1&amp;"-12-31",iRepType)="--",[1]!EM_S_STM07_BS(目录!$C$4,26,YEAR(E2)-1&amp;"-12-31",iRepType)="",[1]!EM_S_STM07_BS(目录!$C$4,26,YEAR(E2)-1&amp;"-12-31",iRepType)="NULL")=TRUE,0,[1]!EM_S_STM07_BS(目录!$C$4,26,YEAR(E2)-1&amp;"-12-31",iRepType))/unit+IF(OR([1]!EM_S_STM07_BS(目录!$C$4,27,YEAR(E2)-1&amp;"-12-31",iRepType)="--",[1]!EM_S_STM07_BS(目录!$C$4,27,YEAR(E2)-1&amp;"-12-31",iRepType)="",[1]!EM_S_STM07_BS(目录!$C$4,27,YEAR(E2)-1&amp;"-12-31",iRepType)="NULL")=TRUE,0,[1]!EM_S_STM07_BS(目录!$C$4,27,YEAR(E2)-1&amp;"-12-31",iRepType))/unit))</f>
        <v>#VALUE!</v>
      </c>
      <c r="F119" s="102" t="e">
        <f>(IF(OR([1]!EM_S_STM07_BS(目录!$C$4,53,F2,iRepType)="--",[1]!EM_S_STM07_BS(目录!$C$4,53,F2,iRepType)="",[1]!EM_S_STM07_BS(目录!$C$4,53,F2,iRepType)="NULL")=TRUE,0,[1]!EM_S_STM07_BS(目录!$C$4,53,F2,iRepType))/unit+IF(OR([1]!EM_S_STM07_BS(目录!$C$4,26,F2,iRepType)="--",[1]!EM_S_STM07_BS(目录!$C$4,26,F2,iRepType)="",[1]!EM_S_STM07_BS(目录!$C$4,26,F2,iRepType)="NULL")=TRUE,0,[1]!EM_S_STM07_BS(目录!$C$4,26,F2,iRepType))/unit+IF(OR([1]!EM_S_STM07_BS(目录!$C$4,27,F2,iRepType)="--",[1]!EM_S_STM07_BS(目录!$C$4,27,F2,iRepType)="",[1]!EM_S_STM07_BS(目录!$C$4,27,F2,iRepType)="NULL")=TRUE,0,[1]!EM_S_STM07_BS(目录!$C$4,27,F2,iRepType))/unit-(IF(OR([1]!EM_S_STM07_BS(目录!$C$4,53,YEAR(F2)-1&amp;"-12-31",iRepType)="--",[1]!EM_S_STM07_BS(目录!$C$4,53,YEAR(F2)-1&amp;"-12-31",iRepType)="",[1]!EM_S_STM07_BS(目录!$C$4,53,YEAR(F2)-1&amp;"-12-31",iRepType)="NULL")=TRUE,0,[1]!EM_S_STM07_BS(目录!$C$4,53,YEAR(F2)-1&amp;"-12-31",iRepType))/unit+IF(OR([1]!EM_S_STM07_BS(目录!$C$4,26,YEAR(F2)-1&amp;"-12-31",iRepType)="--",[1]!EM_S_STM07_BS(目录!$C$4,26,YEAR(F2)-1&amp;"-12-31",iRepType)="",[1]!EM_S_STM07_BS(目录!$C$4,26,YEAR(F2)-1&amp;"-12-31",iRepType)="NULL")=TRUE,0,[1]!EM_S_STM07_BS(目录!$C$4,26,YEAR(F2)-1&amp;"-12-31",iRepType))/unit+IF(OR([1]!EM_S_STM07_BS(目录!$C$4,27,YEAR(F2)-1&amp;"-12-31",iRepType)="--",[1]!EM_S_STM07_BS(目录!$C$4,27,YEAR(F2)-1&amp;"-12-31",iRepType)="",[1]!EM_S_STM07_BS(目录!$C$4,27,YEAR(F2)-1&amp;"-12-31",iRepType)="NULL")=TRUE,0,[1]!EM_S_STM07_BS(目录!$C$4,27,YEAR(F2)-1&amp;"-12-31",iRepType))/unit))</f>
        <v>#VALUE!</v>
      </c>
      <c r="G119" s="5" t="e">
        <f>(IF(OR([1]!EM_S_STM07_BS(目录!$C$4,53,G2,iRepType)="--",[1]!EM_S_STM07_BS(目录!$C$4,53,G2,iRepType)="",[1]!EM_S_STM07_BS(目录!$C$4,53,G2,iRepType)="NULL")=TRUE,0,[1]!EM_S_STM07_BS(目录!$C$4,53,G2,iRepType))/unit+IF(OR([1]!EM_S_STM07_BS(目录!$C$4,26,G2,iRepType)="--",[1]!EM_S_STM07_BS(目录!$C$4,26,G2,iRepType)="",[1]!EM_S_STM07_BS(目录!$C$4,26,G2,iRepType)="NULL")=TRUE,0,[1]!EM_S_STM07_BS(目录!$C$4,26,G2,iRepType))/unit+IF(OR([1]!EM_S_STM07_BS(目录!$C$4,27,G2,iRepType)="--",[1]!EM_S_STM07_BS(目录!$C$4,27,G2,iRepType)="",[1]!EM_S_STM07_BS(目录!$C$4,27,G2,iRepType)="NULL")=TRUE,0,[1]!EM_S_STM07_BS(目录!$C$4,27,G2,iRepType))/unit-(IF(OR([1]!EM_S_STM07_BS(目录!$C$4,53,YEAR(G2)-1&amp;"-12-31",iRepType)="--",[1]!EM_S_STM07_BS(目录!$C$4,53,YEAR(G2)-1&amp;"-12-31",iRepType)="",[1]!EM_S_STM07_BS(目录!$C$4,53,YEAR(G2)-1&amp;"-12-31",iRepType)="NULL")=TRUE,0,[1]!EM_S_STM07_BS(目录!$C$4,53,YEAR(G2)-1&amp;"-12-31",iRepType))/unit+IF(OR([1]!EM_S_STM07_BS(目录!$C$4,26,YEAR(G2)-1&amp;"-12-31",iRepType)="--",[1]!EM_S_STM07_BS(目录!$C$4,26,YEAR(G2)-1&amp;"-12-31",iRepType)="",[1]!EM_S_STM07_BS(目录!$C$4,26,YEAR(G2)-1&amp;"-12-31",iRepType)="NULL")=TRUE,0,[1]!EM_S_STM07_BS(目录!$C$4,26,YEAR(G2)-1&amp;"-12-31",iRepType))/unit+IF(OR([1]!EM_S_STM07_BS(目录!$C$4,27,YEAR(G2)-1&amp;"-12-31",iRepType)="--",[1]!EM_S_STM07_BS(目录!$C$4,27,YEAR(G2)-1&amp;"-12-31",iRepType)="",[1]!EM_S_STM07_BS(目录!$C$4,27,YEAR(G2)-1&amp;"-12-31",iRepType)="NULL")=TRUE,0,[1]!EM_S_STM07_BS(目录!$C$4,27,YEAR(G2)-1&amp;"-12-31",iRepType))/unit))</f>
        <v>#VALUE!</v>
      </c>
      <c r="H119" s="5" t="e">
        <f>(IF(OR([1]!EM_S_STM07_BS(目录!$C$4,53,H2,iRepType)="--",[1]!EM_S_STM07_BS(目录!$C$4,53,H2,iRepType)="",[1]!EM_S_STM07_BS(目录!$C$4,53,H2,iRepType)="NULL")=TRUE,0,[1]!EM_S_STM07_BS(目录!$C$4,53,H2,iRepType))/unit+IF(OR([1]!EM_S_STM07_BS(目录!$C$4,26,H2,iRepType)="--",[1]!EM_S_STM07_BS(目录!$C$4,26,H2,iRepType)="",[1]!EM_S_STM07_BS(目录!$C$4,26,H2,iRepType)="NULL")=TRUE,0,[1]!EM_S_STM07_BS(目录!$C$4,26,H2,iRepType))/unit+IF(OR([1]!EM_S_STM07_BS(目录!$C$4,27,H2,iRepType)="--",[1]!EM_S_STM07_BS(目录!$C$4,27,H2,iRepType)="",[1]!EM_S_STM07_BS(目录!$C$4,27,H2,iRepType)="NULL")=TRUE,0,[1]!EM_S_STM07_BS(目录!$C$4,27,H2,iRepType))/unit-(IF(OR([1]!EM_S_STM07_BS(目录!$C$4,53,YEAR(H2)-1&amp;"-12-31",iRepType)="--",[1]!EM_S_STM07_BS(目录!$C$4,53,YEAR(H2)-1&amp;"-12-31",iRepType)="",[1]!EM_S_STM07_BS(目录!$C$4,53,YEAR(H2)-1&amp;"-12-31",iRepType)="NULL")=TRUE,0,[1]!EM_S_STM07_BS(目录!$C$4,53,YEAR(H2)-1&amp;"-12-31",iRepType))/unit+IF(OR([1]!EM_S_STM07_BS(目录!$C$4,26,YEAR(H2)-1&amp;"-12-31",iRepType)="--",[1]!EM_S_STM07_BS(目录!$C$4,26,YEAR(H2)-1&amp;"-12-31",iRepType)="",[1]!EM_S_STM07_BS(目录!$C$4,26,YEAR(H2)-1&amp;"-12-31",iRepType)="NULL")=TRUE,0,[1]!EM_S_STM07_BS(目录!$C$4,26,YEAR(H2)-1&amp;"-12-31",iRepType))/unit+IF(OR([1]!EM_S_STM07_BS(目录!$C$4,27,YEAR(H2)-1&amp;"-12-31",iRepType)="--",[1]!EM_S_STM07_BS(目录!$C$4,27,YEAR(H2)-1&amp;"-12-31",iRepType)="",[1]!EM_S_STM07_BS(目录!$C$4,27,YEAR(H2)-1&amp;"-12-31",iRepType)="NULL")=TRUE,0,[1]!EM_S_STM07_BS(目录!$C$4,27,YEAR(H2)-1&amp;"-12-31",iRepType))/unit))</f>
        <v>#VALUE!</v>
      </c>
      <c r="I119" s="868"/>
    </row>
    <row r="120" spans="1:9" outlineLevel="1">
      <c r="A120" s="425"/>
      <c r="B120" s="872" t="s">
        <v>960</v>
      </c>
      <c r="C120" s="102">
        <f>'历史年度（原始）'!B260+'历史年度（原始）'!B261+'历史年度（原始）'!B262+'历史年度（原始）'!B257+'历史年度（原始）'!B259</f>
        <v>1.37</v>
      </c>
      <c r="D120" s="102">
        <f>'历史年度（原始）'!C260+'历史年度（原始）'!C261+'历史年度（原始）'!C262+'历史年度（原始）'!C257+'历史年度（原始）'!C259</f>
        <v>0</v>
      </c>
      <c r="E120" s="102">
        <f>'历史年度（原始）'!D260+'历史年度（原始）'!D261+'历史年度（原始）'!D262+'历史年度（原始）'!D257+'历史年度（原始）'!D259</f>
        <v>0</v>
      </c>
      <c r="F120" s="102">
        <f>'历史年度（原始）'!E260+'历史年度（原始）'!E261+'历史年度（原始）'!E262+'历史年度（原始）'!E257+'历史年度（原始）'!E259</f>
        <v>0.05</v>
      </c>
      <c r="I120" s="867"/>
    </row>
    <row r="121" spans="1:9" outlineLevel="1">
      <c r="A121" s="425"/>
      <c r="B121" s="873" t="s">
        <v>961</v>
      </c>
      <c r="C121" s="102" t="e">
        <f>C112+C113+C114+C115-C116-C117-C118-C119-C120</f>
        <v>#VALUE!</v>
      </c>
      <c r="D121" s="102" t="e">
        <f t="shared" ref="D121:F121" si="20">D112+D113+D114+D115-D116-D117-D118-D119-D120</f>
        <v>#VALUE!</v>
      </c>
      <c r="E121" s="102" t="e">
        <f t="shared" si="20"/>
        <v>#VALUE!</v>
      </c>
      <c r="F121" s="102" t="e">
        <f t="shared" si="20"/>
        <v>#VALUE!</v>
      </c>
      <c r="I121" s="868"/>
    </row>
    <row r="122" spans="1:9" outlineLevel="1">
      <c r="A122" s="425"/>
      <c r="B122" s="863" t="s">
        <v>951</v>
      </c>
      <c r="C122" s="100">
        <f>IF(ISERROR((C121-'历史年度（原始）'!B266)/'历史年度（原始）'!B266),0,(C121-'历史年度（原始）'!B266)/'历史年度（原始）'!B266)</f>
        <v>0</v>
      </c>
      <c r="D122" s="100">
        <f>IF(ISERROR((D121-'历史年度（原始）'!C266)/'历史年度（原始）'!C266),0,(D121-'历史年度（原始）'!C266)/'历史年度（原始）'!C266)</f>
        <v>0</v>
      </c>
      <c r="E122" s="100">
        <f>IF(ISERROR((E121-'历史年度（原始）'!D266)/'历史年度（原始）'!D266),0,(E121-'历史年度（原始）'!D266)/'历史年度（原始）'!D266)</f>
        <v>0</v>
      </c>
      <c r="F122" s="100">
        <f>IF(ISERROR((F121-'历史年度（原始）'!E266)/'历史年度（原始）'!E266),0,(F121-'历史年度（原始）'!E266)/'历史年度（原始）'!E266)</f>
        <v>0</v>
      </c>
      <c r="I122" s="868"/>
    </row>
    <row r="123" spans="1:9" outlineLevel="1">
      <c r="A123" s="1029" t="s">
        <v>962</v>
      </c>
      <c r="B123" s="1028"/>
      <c r="C123" s="102"/>
      <c r="D123" s="102"/>
      <c r="E123" s="102"/>
      <c r="F123" s="102"/>
      <c r="I123" s="868"/>
    </row>
    <row r="124" spans="1:9" outlineLevel="1">
      <c r="A124" s="425"/>
      <c r="B124" s="872" t="s">
        <v>963</v>
      </c>
      <c r="C124" s="102">
        <f>'历史年度（原始）'!B268</f>
        <v>0</v>
      </c>
      <c r="D124" s="102">
        <f>'历史年度（原始）'!C268</f>
        <v>1.3293280000000001</v>
      </c>
      <c r="E124" s="102">
        <f>'历史年度（原始）'!D268</f>
        <v>11.2349099</v>
      </c>
      <c r="F124" s="102">
        <f>'历史年度（原始）'!E268</f>
        <v>3.6749999999999998E-2</v>
      </c>
      <c r="I124" s="868"/>
    </row>
    <row r="125" spans="1:9" outlineLevel="1">
      <c r="A125" s="425"/>
      <c r="B125" s="872" t="s">
        <v>964</v>
      </c>
      <c r="C125" s="102">
        <f>'历史年度（原始）'!B270+'历史年度（原始）'!B271</f>
        <v>6.0251457499000001</v>
      </c>
      <c r="D125" s="102">
        <f>'历史年度（原始）'!C270+'历史年度（原始）'!C271</f>
        <v>10.3932836992</v>
      </c>
      <c r="E125" s="102">
        <f>'历史年度（原始）'!D270+'历史年度（原始）'!D271</f>
        <v>3.7699577114</v>
      </c>
      <c r="F125" s="102">
        <f>'历史年度（原始）'!E270+'历史年度（原始）'!E271</f>
        <v>3.4653389856999999</v>
      </c>
      <c r="I125" s="868"/>
    </row>
    <row r="126" spans="1:9" outlineLevel="1">
      <c r="A126" s="425"/>
      <c r="B126" s="872" t="s">
        <v>965</v>
      </c>
      <c r="C126" s="102">
        <f>'历史年度（原始）'!B272+'历史年度（原始）'!B273+'历史年度（原始）'!B274</f>
        <v>0.21722861469999999</v>
      </c>
      <c r="D126" s="102">
        <f>'历史年度（原始）'!C272+'历史年度（原始）'!C273+'历史年度（原始）'!C274</f>
        <v>0.14889831880000001</v>
      </c>
      <c r="E126" s="102">
        <f>'历史年度（原始）'!D272+'历史年度（原始）'!D273+'历史年度（原始）'!D274</f>
        <v>0.1035267075</v>
      </c>
      <c r="F126" s="102">
        <f>'历史年度（原始）'!E272+'历史年度（原始）'!E273+'历史年度（原始）'!E274</f>
        <v>0</v>
      </c>
      <c r="I126" s="868"/>
    </row>
    <row r="127" spans="1:9" outlineLevel="1">
      <c r="A127" s="425"/>
      <c r="B127" s="872" t="s">
        <v>966</v>
      </c>
      <c r="C127" s="102">
        <f>'历史年度（原始）'!B276</f>
        <v>5.3263729883000002</v>
      </c>
      <c r="D127" s="102">
        <f>'历史年度（原始）'!C276</f>
        <v>6.6267104819000009</v>
      </c>
      <c r="E127" s="102">
        <f>'历史年度（原始）'!D276</f>
        <v>10.767241410599999</v>
      </c>
      <c r="F127" s="102">
        <f>'历史年度（原始）'!E276</f>
        <v>2.9043972467999999</v>
      </c>
      <c r="I127" s="867"/>
    </row>
    <row r="128" spans="1:9" outlineLevel="1">
      <c r="A128" s="425"/>
      <c r="B128" s="872" t="s">
        <v>967</v>
      </c>
      <c r="C128" s="102">
        <f>'历史年度（原始）'!B277</f>
        <v>0.12130179740000001</v>
      </c>
      <c r="D128" s="102">
        <f>'历史年度（原始）'!C277</f>
        <v>1.7513594561000001</v>
      </c>
      <c r="E128" s="102">
        <f>'历史年度（原始）'!D277</f>
        <v>1.8807475712000001</v>
      </c>
      <c r="F128" s="102">
        <f>'历史年度（原始）'!E277</f>
        <v>1.6547808683</v>
      </c>
      <c r="I128" s="868"/>
    </row>
    <row r="129" spans="1:9" outlineLevel="1">
      <c r="A129" s="425"/>
      <c r="B129" s="872" t="s">
        <v>968</v>
      </c>
      <c r="C129" s="102">
        <f>'历史年度（原始）'!B279+'历史年度（原始）'!B280+'历史年度（原始）'!B282+'历史年度（原始）'!B283</f>
        <v>0.51722861470000003</v>
      </c>
      <c r="D129" s="102">
        <f>'历史年度（原始）'!C279+'历史年度（原始）'!C280+'历史年度（原始）'!C282+'历史年度（原始）'!C283</f>
        <v>3.5772640000000001E-3</v>
      </c>
      <c r="E129" s="102">
        <f>'历史年度（原始）'!D279+'历史年度（原始）'!D280+'历史年度（原始）'!D282+'历史年度（原始）'!D283</f>
        <v>3.4395630000000001E-3</v>
      </c>
      <c r="F129" s="102">
        <f>'历史年度（原始）'!E279+'历史年度（原始）'!E280+'历史年度（原始）'!E282+'历史年度（原始）'!E283</f>
        <v>0.70721733750000004</v>
      </c>
      <c r="I129" s="868"/>
    </row>
    <row r="130" spans="1:9" outlineLevel="1">
      <c r="A130" s="425"/>
      <c r="B130" s="873" t="s">
        <v>969</v>
      </c>
      <c r="C130" s="102">
        <f>C124+C125+C126-C127-C128-C129</f>
        <v>0.27747096419999961</v>
      </c>
      <c r="D130" s="102">
        <f t="shared" ref="D130:F130" si="21">D124+D125+D126-D127-D128-D129</f>
        <v>3.4898628159999991</v>
      </c>
      <c r="E130" s="102">
        <f t="shared" si="21"/>
        <v>2.4569657741000013</v>
      </c>
      <c r="F130" s="102">
        <f t="shared" si="21"/>
        <v>-1.7643064668999999</v>
      </c>
      <c r="I130" s="868"/>
    </row>
    <row r="131" spans="1:9" outlineLevel="1">
      <c r="A131" s="425"/>
      <c r="B131" s="863" t="s">
        <v>951</v>
      </c>
      <c r="C131" s="100">
        <f>IF(ISERROR((C130-'历史年度（原始）'!B287)/'历史年度（原始）'!B287),0,(C130-'历史年度（原始）'!B287)/'历史年度（原始）'!B287)</f>
        <v>-1.4004278240036649E-15</v>
      </c>
      <c r="D131" s="100">
        <f>IF(ISERROR((D130-'历史年度（原始）'!C287)/'历史年度（原始）'!C287),0,(D130-'历史年度（原始）'!C287)/'历史年度（原始）'!C287)</f>
        <v>-2.5450238778100015E-16</v>
      </c>
      <c r="E131" s="100">
        <f>IF(ISERROR((E130-'历史年度（原始）'!D287)/'历史年度（原始）'!D287),0,(E130-'历史年度（原始）'!D287)/'历史年度（原始）'!D287)</f>
        <v>5.4224102085353826E-16</v>
      </c>
      <c r="F131" s="100">
        <f>IF(ISERROR((F130-'历史年度（原始）'!E287)/'历史年度（原始）'!E287),0,(F130-'历史年度（原始）'!E287)/'历史年度（原始）'!E287)</f>
        <v>0</v>
      </c>
      <c r="I131" s="868"/>
    </row>
    <row r="132" spans="1:9" outlineLevel="1">
      <c r="A132" s="425"/>
      <c r="B132" s="872" t="s">
        <v>970</v>
      </c>
      <c r="C132" s="102">
        <f>'历史年度（原始）'!B289</f>
        <v>-3.2356652000000001E-3</v>
      </c>
      <c r="D132" s="102">
        <f>'历史年度（原始）'!C289</f>
        <v>1.1941228100000001E-2</v>
      </c>
      <c r="E132" s="102">
        <f>'历史年度（原始）'!D289</f>
        <v>-7.3066754400000003E-2</v>
      </c>
      <c r="F132" s="102">
        <f>'历史年度（原始）'!E289</f>
        <v>4.4035484999999999E-2</v>
      </c>
      <c r="I132" s="868"/>
    </row>
    <row r="133" spans="1:9" outlineLevel="1">
      <c r="A133" s="425"/>
      <c r="B133" s="873" t="s">
        <v>971</v>
      </c>
      <c r="C133" s="879" t="e">
        <f>C108+C121+C130+C132</f>
        <v>#VALUE!</v>
      </c>
      <c r="D133" s="879" t="e">
        <f t="shared" ref="D133:F133" si="22">D108+D121+D130+D132</f>
        <v>#VALUE!</v>
      </c>
      <c r="E133" s="879" t="e">
        <f t="shared" si="22"/>
        <v>#VALUE!</v>
      </c>
      <c r="F133" s="879" t="e">
        <f t="shared" si="22"/>
        <v>#VALUE!</v>
      </c>
      <c r="I133" s="868"/>
    </row>
    <row r="134" spans="1:9" outlineLevel="1">
      <c r="A134" s="425"/>
      <c r="B134" s="872" t="s">
        <v>972</v>
      </c>
      <c r="C134" s="102">
        <f>'历史年度（原始）'!B293</f>
        <v>1.1582609659999998</v>
      </c>
      <c r="D134" s="102">
        <f>'历史年度（原始）'!C293</f>
        <v>1.6990145169999999</v>
      </c>
      <c r="E134" s="102">
        <f>'历史年度（原始）'!D293</f>
        <v>2.8544451126999997</v>
      </c>
      <c r="F134" s="102">
        <f>'历史年度（原始）'!E293</f>
        <v>4.0796088198999998</v>
      </c>
      <c r="I134" s="867"/>
    </row>
    <row r="135" spans="1:9" outlineLevel="1">
      <c r="A135" s="425"/>
      <c r="B135" s="872" t="s">
        <v>973</v>
      </c>
      <c r="C135" s="102">
        <f>'历史年度（原始）'!B296</f>
        <v>1.6990145169999999</v>
      </c>
      <c r="D135" s="102">
        <f>'历史年度（原始）'!C296</f>
        <v>2.8544451126999997</v>
      </c>
      <c r="E135" s="102">
        <f>'历史年度（原始）'!D296</f>
        <v>4.0796088198999998</v>
      </c>
      <c r="F135" s="102">
        <f>'历史年度（原始）'!E296</f>
        <v>4.5692712204000001</v>
      </c>
      <c r="I135" s="868"/>
    </row>
    <row r="136" spans="1:9">
      <c r="A136" s="854"/>
      <c r="B136" s="848"/>
      <c r="C136" s="102"/>
      <c r="D136" s="102"/>
      <c r="E136" s="102"/>
      <c r="F136" s="102"/>
      <c r="I136" s="868"/>
    </row>
    <row r="137" spans="1:9" ht="15.35">
      <c r="A137" s="212"/>
      <c r="B137" s="848"/>
      <c r="C137" s="102"/>
      <c r="D137" s="102"/>
      <c r="E137" s="102"/>
      <c r="F137" s="102"/>
      <c r="I137" s="868"/>
    </row>
    <row r="138" spans="1:9">
      <c r="A138" s="852" t="s">
        <v>974</v>
      </c>
      <c r="B138" s="861"/>
      <c r="C138" s="100"/>
      <c r="D138" s="100"/>
      <c r="E138" s="100"/>
      <c r="F138" s="100"/>
      <c r="I138" s="868"/>
    </row>
    <row r="139" spans="1:9" outlineLevel="1">
      <c r="A139" s="853"/>
      <c r="B139" s="861"/>
      <c r="C139" s="100"/>
      <c r="D139" s="100"/>
      <c r="E139" s="100"/>
      <c r="F139" s="100"/>
      <c r="I139" s="868"/>
    </row>
    <row r="140" spans="1:9" outlineLevel="1">
      <c r="A140" s="853" t="s">
        <v>975</v>
      </c>
      <c r="B140" s="861"/>
      <c r="C140" s="100"/>
      <c r="D140" s="100"/>
      <c r="E140" s="100"/>
      <c r="F140" s="100"/>
      <c r="I140" s="868"/>
    </row>
    <row r="141" spans="1:9" outlineLevel="1">
      <c r="A141" s="853"/>
      <c r="B141" s="855" t="s">
        <v>976</v>
      </c>
      <c r="C141" s="880" t="e">
        <f>IF(OR([1]!EM_S_STMNOTE_ASSETDETAIL(目录!$C$4,1,C$2)="--",[1]!EM_S_STMNOTE_ASSETDETAIL(目录!$C$4,1,C$2)="",[1]!EM_S_STMNOTE_ASSETDETAIL(目录!$C$4,1,C$2)="NULL")=TRUE,0,[1]!EM_S_STMNOTE_ASSETDETAIL(目录!$C$4,1,C$2)/unit)+IF(OR([1]!EM_S_STMNOTE_ASSETDETAIL(目录!$C$4,9,C$2)="--",[1]!EM_S_STMNOTE_ASSETDETAIL(目录!$C$4,9,C$2)="",[1]!EM_S_STMNOTE_ASSETDETAIL(目录!$C$4,9,C$2)="NULL")=TRUE,0,[1]!EM_S_STMNOTE_ASSETDETAIL(目录!$C$4,9,C$2)/unit)+IF(OR([1]!EM_S_STMNOTE_ASSETDETAIL(目录!$C$4,13,C$2)="--",[1]!EM_S_STMNOTE_ASSETDETAIL(目录!$C$4,13,C$2)="",[1]!EM_S_STMNOTE_ASSETDETAIL(目录!$C$4,13,C$2)="NULL")=TRUE,0,[1]!EM_S_STMNOTE_ASSETDETAIL(目录!$C$4,13,C$2)/unit)</f>
        <v>#VALUE!</v>
      </c>
      <c r="D141" s="880" t="e">
        <f>IF(OR([1]!EM_S_STMNOTE_ASSETDETAIL(目录!$C$4,1,D$2)="--",[1]!EM_S_STMNOTE_ASSETDETAIL(目录!$C$4,1,D$2)="",[1]!EM_S_STMNOTE_ASSETDETAIL(目录!$C$4,1,D$2)="NULL")=TRUE,0,[1]!EM_S_STMNOTE_ASSETDETAIL(目录!$C$4,1,D$2)/unit)+IF(OR([1]!EM_S_STMNOTE_ASSETDETAIL(目录!$C$4,9,D$2)="--",[1]!EM_S_STMNOTE_ASSETDETAIL(目录!$C$4,9,D$2)="",[1]!EM_S_STMNOTE_ASSETDETAIL(目录!$C$4,9,D$2)="NULL")=TRUE,0,[1]!EM_S_STMNOTE_ASSETDETAIL(目录!$C$4,9,D$2)/unit)+IF(OR([1]!EM_S_STMNOTE_ASSETDETAIL(目录!$C$4,13,D$2)="--",[1]!EM_S_STMNOTE_ASSETDETAIL(目录!$C$4,13,D$2)="",[1]!EM_S_STMNOTE_ASSETDETAIL(目录!$C$4,13,D$2)="NULL")=TRUE,0,[1]!EM_S_STMNOTE_ASSETDETAIL(目录!$C$4,13,D$2)/unit)</f>
        <v>#VALUE!</v>
      </c>
      <c r="E141" s="880" t="e">
        <f>IF(OR([1]!EM_S_STMNOTE_ASSETDETAIL(目录!$C$4,1,E$2)="--",[1]!EM_S_STMNOTE_ASSETDETAIL(目录!$C$4,1,E$2)="",[1]!EM_S_STMNOTE_ASSETDETAIL(目录!$C$4,1,E$2)="NULL")=TRUE,0,[1]!EM_S_STMNOTE_ASSETDETAIL(目录!$C$4,1,E$2)/unit)+IF(OR([1]!EM_S_STMNOTE_ASSETDETAIL(目录!$C$4,9,E$2)="--",[1]!EM_S_STMNOTE_ASSETDETAIL(目录!$C$4,9,E$2)="",[1]!EM_S_STMNOTE_ASSETDETAIL(目录!$C$4,9,E$2)="NULL")=TRUE,0,[1]!EM_S_STMNOTE_ASSETDETAIL(目录!$C$4,9,E$2)/unit)+IF(OR([1]!EM_S_STMNOTE_ASSETDETAIL(目录!$C$4,13,E$2)="--",[1]!EM_S_STMNOTE_ASSETDETAIL(目录!$C$4,13,E$2)="",[1]!EM_S_STMNOTE_ASSETDETAIL(目录!$C$4,13,E$2)="NULL")=TRUE,0,[1]!EM_S_STMNOTE_ASSETDETAIL(目录!$C$4,13,E$2)/unit)</f>
        <v>#VALUE!</v>
      </c>
      <c r="F141" s="880" t="e">
        <f>IF(OR([1]!EM_S_STMNOTE_ASSETDETAIL(目录!$C$4,1,F$2)="--",[1]!EM_S_STMNOTE_ASSETDETAIL(目录!$C$4,1,F$2)="",[1]!EM_S_STMNOTE_ASSETDETAIL(目录!$C$4,1,F$2)="NULL")=TRUE,0,[1]!EM_S_STMNOTE_ASSETDETAIL(目录!$C$4,1,F$2)/unit)+IF(OR([1]!EM_S_STMNOTE_ASSETDETAIL(目录!$C$4,9,F$2)="--",[1]!EM_S_STMNOTE_ASSETDETAIL(目录!$C$4,9,F$2)="",[1]!EM_S_STMNOTE_ASSETDETAIL(目录!$C$4,9,F$2)="NULL")=TRUE,0,[1]!EM_S_STMNOTE_ASSETDETAIL(目录!$C$4,9,F$2)/unit)+IF(OR([1]!EM_S_STMNOTE_ASSETDETAIL(目录!$C$4,13,F$2)="--",[1]!EM_S_STMNOTE_ASSETDETAIL(目录!$C$4,13,F$2)="",[1]!EM_S_STMNOTE_ASSETDETAIL(目录!$C$4,13,F$2)="NULL")=TRUE,0,[1]!EM_S_STMNOTE_ASSETDETAIL(目录!$C$4,13,F$2)/unit)</f>
        <v>#VALUE!</v>
      </c>
      <c r="G141" s="5" t="e">
        <f>IF(OR([1]!EM_S_STMNOTE_ASSETDETAIL(目录!$C$4,1,G$2)="--",[1]!EM_S_STMNOTE_ASSETDETAIL(目录!$C$4,1,G$2)="",[1]!EM_S_STMNOTE_ASSETDETAIL(目录!$C$4,1,G$2)="NULL")=TRUE,0,[1]!EM_S_STMNOTE_ASSETDETAIL(目录!$C$4,1,G$2)/unit)+IF(OR([1]!EM_S_STMNOTE_ASSETDETAIL(目录!$C$4,9,G$2)="--",[1]!EM_S_STMNOTE_ASSETDETAIL(目录!$C$4,9,G$2)="",[1]!EM_S_STMNOTE_ASSETDETAIL(目录!$C$4,9,G$2)="NULL")=TRUE,0,[1]!EM_S_STMNOTE_ASSETDETAIL(目录!$C$4,9,G$2)/unit)+IF(OR([1]!EM_S_STMNOTE_ASSETDETAIL(目录!$C$4,13,G$2)="--",[1]!EM_S_STMNOTE_ASSETDETAIL(目录!$C$4,13,G$2)="",[1]!EM_S_STMNOTE_ASSETDETAIL(目录!$C$4,13,G$2)="NULL")=TRUE,0,[1]!EM_S_STMNOTE_ASSETDETAIL(目录!$C$4,13,G$2)/unit)</f>
        <v>#VALUE!</v>
      </c>
      <c r="H141" s="5" t="e">
        <f>IF(OR([1]!EM_S_STMNOTE_ASSETDETAIL(目录!$C$4,1,H$2)="--",[1]!EM_S_STMNOTE_ASSETDETAIL(目录!$C$4,1,H$2)="",[1]!EM_S_STMNOTE_ASSETDETAIL(目录!$C$4,1,H$2)="NULL")=TRUE,0,[1]!EM_S_STMNOTE_ASSETDETAIL(目录!$C$4,1,H$2)/unit)+IF(OR([1]!EM_S_STMNOTE_ASSETDETAIL(目录!$C$4,9,H$2)="--",[1]!EM_S_STMNOTE_ASSETDETAIL(目录!$C$4,9,H$2)="",[1]!EM_S_STMNOTE_ASSETDETAIL(目录!$C$4,9,H$2)="NULL")=TRUE,0,[1]!EM_S_STMNOTE_ASSETDETAIL(目录!$C$4,9,H$2)/unit)+IF(OR([1]!EM_S_STMNOTE_ASSETDETAIL(目录!$C$4,13,H$2)="--",[1]!EM_S_STMNOTE_ASSETDETAIL(目录!$C$4,13,H$2)="",[1]!EM_S_STMNOTE_ASSETDETAIL(目录!$C$4,13,H$2)="NULL")=TRUE,0,[1]!EM_S_STMNOTE_ASSETDETAIL(目录!$C$4,13,H$2)/unit)</f>
        <v>#VALUE!</v>
      </c>
      <c r="I141" s="867"/>
    </row>
    <row r="142" spans="1:9" outlineLevel="1">
      <c r="A142" s="853"/>
      <c r="B142" s="855" t="s">
        <v>977</v>
      </c>
      <c r="C142" s="880" t="e">
        <f>IF(OR([1]!EM_S_STMNOTE_ASSETDETAIL(目录!$C$4,2,C$2)="--",[1]!EM_S_STMNOTE_ASSETDETAIL(目录!$C$4,2,C$2)="",[1]!EM_S_STMNOTE_ASSETDETAIL(目录!$C$4,2,C$2)="NULL")=TRUE,0,[1]!EM_S_STMNOTE_ASSETDETAIL(目录!$C$4,2,C$2)/unit)+IF(OR([1]!EM_S_STMNOTE_ASSETDETAIL(目录!$C$4,10,C$2)="--",[1]!EM_S_STMNOTE_ASSETDETAIL(目录!$C$4,10,C$2)="",[1]!EM_S_STMNOTE_ASSETDETAIL(目录!$C$4,10,C$2)="NULL")=TRUE,0,[1]!EM_S_STMNOTE_ASSETDETAIL(目录!$C$4,10,C$2)/unit)+IF(OR([1]!EM_S_STMNOTE_ASSETDETAIL(目录!$C$4,14,C$2)="--",[1]!EM_S_STMNOTE_ASSETDETAIL(目录!$C$4,14,C$2)="",[1]!EM_S_STMNOTE_ASSETDETAIL(目录!$C$4,14,C$2)="NULL")=TRUE,0,[1]!EM_S_STMNOTE_ASSETDETAIL(目录!$C$4,14,C$2)/unit)</f>
        <v>#VALUE!</v>
      </c>
      <c r="D142" s="880" t="e">
        <f>IF(OR([1]!EM_S_STMNOTE_ASSETDETAIL(目录!$C$4,2,D$2)="--",[1]!EM_S_STMNOTE_ASSETDETAIL(目录!$C$4,2,D$2)="",[1]!EM_S_STMNOTE_ASSETDETAIL(目录!$C$4,2,D$2)="NULL")=TRUE,0,[1]!EM_S_STMNOTE_ASSETDETAIL(目录!$C$4,2,D$2)/unit)+IF(OR([1]!EM_S_STMNOTE_ASSETDETAIL(目录!$C$4,10,D$2)="--",[1]!EM_S_STMNOTE_ASSETDETAIL(目录!$C$4,10,D$2)="",[1]!EM_S_STMNOTE_ASSETDETAIL(目录!$C$4,10,D$2)="NULL")=TRUE,0,[1]!EM_S_STMNOTE_ASSETDETAIL(目录!$C$4,10,D$2)/unit)+IF(OR([1]!EM_S_STMNOTE_ASSETDETAIL(目录!$C$4,14,D$2)="--",[1]!EM_S_STMNOTE_ASSETDETAIL(目录!$C$4,14,D$2)="",[1]!EM_S_STMNOTE_ASSETDETAIL(目录!$C$4,14,D$2)="NULL")=TRUE,0,[1]!EM_S_STMNOTE_ASSETDETAIL(目录!$C$4,14,D$2)/unit)</f>
        <v>#VALUE!</v>
      </c>
      <c r="E142" s="880" t="e">
        <f>IF(OR([1]!EM_S_STMNOTE_ASSETDETAIL(目录!$C$4,2,E$2)="--",[1]!EM_S_STMNOTE_ASSETDETAIL(目录!$C$4,2,E$2)="",[1]!EM_S_STMNOTE_ASSETDETAIL(目录!$C$4,2,E$2)="NULL")=TRUE,0,[1]!EM_S_STMNOTE_ASSETDETAIL(目录!$C$4,2,E$2)/unit)+IF(OR([1]!EM_S_STMNOTE_ASSETDETAIL(目录!$C$4,10,E$2)="--",[1]!EM_S_STMNOTE_ASSETDETAIL(目录!$C$4,10,E$2)="",[1]!EM_S_STMNOTE_ASSETDETAIL(目录!$C$4,10,E$2)="NULL")=TRUE,0,[1]!EM_S_STMNOTE_ASSETDETAIL(目录!$C$4,10,E$2)/unit)+IF(OR([1]!EM_S_STMNOTE_ASSETDETAIL(目录!$C$4,14,E$2)="--",[1]!EM_S_STMNOTE_ASSETDETAIL(目录!$C$4,14,E$2)="",[1]!EM_S_STMNOTE_ASSETDETAIL(目录!$C$4,14,E$2)="NULL")=TRUE,0,[1]!EM_S_STMNOTE_ASSETDETAIL(目录!$C$4,14,E$2)/unit)</f>
        <v>#VALUE!</v>
      </c>
      <c r="F142" s="880" t="e">
        <f>IF(OR([1]!EM_S_STMNOTE_ASSETDETAIL(目录!$C$4,2,F$2)="--",[1]!EM_S_STMNOTE_ASSETDETAIL(目录!$C$4,2,F$2)="",[1]!EM_S_STMNOTE_ASSETDETAIL(目录!$C$4,2,F$2)="NULL")=TRUE,0,[1]!EM_S_STMNOTE_ASSETDETAIL(目录!$C$4,2,F$2)/unit)+IF(OR([1]!EM_S_STMNOTE_ASSETDETAIL(目录!$C$4,10,F$2)="--",[1]!EM_S_STMNOTE_ASSETDETAIL(目录!$C$4,10,F$2)="",[1]!EM_S_STMNOTE_ASSETDETAIL(目录!$C$4,10,F$2)="NULL")=TRUE,0,[1]!EM_S_STMNOTE_ASSETDETAIL(目录!$C$4,10,F$2)/unit)+IF(OR([1]!EM_S_STMNOTE_ASSETDETAIL(目录!$C$4,14,F$2)="--",[1]!EM_S_STMNOTE_ASSETDETAIL(目录!$C$4,14,F$2)="",[1]!EM_S_STMNOTE_ASSETDETAIL(目录!$C$4,14,F$2)="NULL")=TRUE,0,[1]!EM_S_STMNOTE_ASSETDETAIL(目录!$C$4,14,F$2)/unit)</f>
        <v>#VALUE!</v>
      </c>
      <c r="G142" s="5" t="e">
        <f>IF(OR([1]!EM_S_STMNOTE_ASSETDETAIL(目录!$C$4,2,G$2)="--",[1]!EM_S_STMNOTE_ASSETDETAIL(目录!$C$4,2,G$2)="",[1]!EM_S_STMNOTE_ASSETDETAIL(目录!$C$4,2,G$2)="NULL")=TRUE,0,[1]!EM_S_STMNOTE_ASSETDETAIL(目录!$C$4,2,G$2)/unit)+IF(OR([1]!EM_S_STMNOTE_ASSETDETAIL(目录!$C$4,10,G$2)="--",[1]!EM_S_STMNOTE_ASSETDETAIL(目录!$C$4,10,G$2)="",[1]!EM_S_STMNOTE_ASSETDETAIL(目录!$C$4,10,G$2)="NULL")=TRUE,0,[1]!EM_S_STMNOTE_ASSETDETAIL(目录!$C$4,10,G$2)/unit)+IF(OR([1]!EM_S_STMNOTE_ASSETDETAIL(目录!$C$4,14,G$2)="--",[1]!EM_S_STMNOTE_ASSETDETAIL(目录!$C$4,14,G$2)="",[1]!EM_S_STMNOTE_ASSETDETAIL(目录!$C$4,14,G$2)="NULL")=TRUE,0,[1]!EM_S_STMNOTE_ASSETDETAIL(目录!$C$4,14,G$2)/unit)</f>
        <v>#VALUE!</v>
      </c>
      <c r="H142" s="5" t="e">
        <f>IF(OR([1]!EM_S_STMNOTE_ASSETDETAIL(目录!$C$4,2,H$2)="--",[1]!EM_S_STMNOTE_ASSETDETAIL(目录!$C$4,2,H$2)="",[1]!EM_S_STMNOTE_ASSETDETAIL(目录!$C$4,2,H$2)="NULL")=TRUE,0,[1]!EM_S_STMNOTE_ASSETDETAIL(目录!$C$4,2,H$2)/unit)+IF(OR([1]!EM_S_STMNOTE_ASSETDETAIL(目录!$C$4,10,H$2)="--",[1]!EM_S_STMNOTE_ASSETDETAIL(目录!$C$4,10,H$2)="",[1]!EM_S_STMNOTE_ASSETDETAIL(目录!$C$4,10,H$2)="NULL")=TRUE,0,[1]!EM_S_STMNOTE_ASSETDETAIL(目录!$C$4,10,H$2)/unit)+IF(OR([1]!EM_S_STMNOTE_ASSETDETAIL(目录!$C$4,14,H$2)="--",[1]!EM_S_STMNOTE_ASSETDETAIL(目录!$C$4,14,H$2)="",[1]!EM_S_STMNOTE_ASSETDETAIL(目录!$C$4,14,H$2)="NULL")=TRUE,0,[1]!EM_S_STMNOTE_ASSETDETAIL(目录!$C$4,14,H$2)/unit)</f>
        <v>#VALUE!</v>
      </c>
      <c r="I142" s="868"/>
    </row>
    <row r="143" spans="1:9" outlineLevel="1">
      <c r="A143" s="853"/>
      <c r="B143" s="855" t="s">
        <v>978</v>
      </c>
      <c r="C143" s="880" t="e">
        <f>IF(OR([1]!EM_S_STMNOTE_ASSETDETAIL(目录!$C$4,17,C$2)="",[1]!EM_S_STMNOTE_ASSETDETAIL(目录!$C$4,17,C$2)="--",[1]!EM_S_STMNOTE_ASSETDETAIL(目录!$C$4,17,C$2)="NULL")=TRUE,0,[1]!EM_S_STMNOTE_ASSETDETAIL(目录!$C$4,17,C$2)/unit)</f>
        <v>#VALUE!</v>
      </c>
      <c r="D143" s="880" t="e">
        <f>IF(OR([1]!EM_S_STMNOTE_ASSETDETAIL(目录!$C$4,17,D$2)="",[1]!EM_S_STMNOTE_ASSETDETAIL(目录!$C$4,17,D$2)="--",[1]!EM_S_STMNOTE_ASSETDETAIL(目录!$C$4,17,D$2)="NULL")=TRUE,0,[1]!EM_S_STMNOTE_ASSETDETAIL(目录!$C$4,17,D$2)/unit)</f>
        <v>#VALUE!</v>
      </c>
      <c r="E143" s="880" t="e">
        <f>IF(OR([1]!EM_S_STMNOTE_ASSETDETAIL(目录!$C$4,17,E$2)="",[1]!EM_S_STMNOTE_ASSETDETAIL(目录!$C$4,17,E$2)="--",[1]!EM_S_STMNOTE_ASSETDETAIL(目录!$C$4,17,E$2)="NULL")=TRUE,0,[1]!EM_S_STMNOTE_ASSETDETAIL(目录!$C$4,17,E$2)/unit)</f>
        <v>#VALUE!</v>
      </c>
      <c r="F143" s="880" t="e">
        <f>IF(OR([1]!EM_S_STMNOTE_ASSETDETAIL(目录!$C$4,17,F$2)="",[1]!EM_S_STMNOTE_ASSETDETAIL(目录!$C$4,17,F$2)="--",[1]!EM_S_STMNOTE_ASSETDETAIL(目录!$C$4,17,F$2)="NULL")=TRUE,0,[1]!EM_S_STMNOTE_ASSETDETAIL(目录!$C$4,17,F$2)/unit)</f>
        <v>#VALUE!</v>
      </c>
      <c r="G143" s="5" t="e">
        <f>IF(OR([1]!EM_S_STMNOTE_ASSETDETAIL(目录!$C$4,17,G$2)="",[1]!EM_S_STMNOTE_ASSETDETAIL(目录!$C$4,17,G$2)="--",[1]!EM_S_STMNOTE_ASSETDETAIL(目录!$C$4,17,G$2)="NULL")=TRUE,0,[1]!EM_S_STMNOTE_ASSETDETAIL(目录!$C$4,17,G$2)/unit)</f>
        <v>#VALUE!</v>
      </c>
      <c r="H143" s="5" t="e">
        <f>IF(OR([1]!EM_S_STMNOTE_ASSETDETAIL(目录!$C$4,17,H$2)="",[1]!EM_S_STMNOTE_ASSETDETAIL(目录!$C$4,17,H$2)="--",[1]!EM_S_STMNOTE_ASSETDETAIL(目录!$C$4,17,H$2)="NULL")=TRUE,0,[1]!EM_S_STMNOTE_ASSETDETAIL(目录!$C$4,17,H$2)/unit)</f>
        <v>#VALUE!</v>
      </c>
      <c r="I143" s="868"/>
    </row>
    <row r="144" spans="1:9" outlineLevel="1">
      <c r="A144" s="853"/>
      <c r="B144" s="855" t="s">
        <v>979</v>
      </c>
      <c r="C144" s="880" t="e">
        <f>IF(OR([1]!EM_S_STMNOTE_ASSETDETAIL(目录!$C$4,18,C$2)="",[1]!EM_S_STMNOTE_ASSETDETAIL(目录!$C$4,18,C$2)="--",[1]!EM_S_STMNOTE_ASSETDETAIL(目录!$C$4,18,C$2)="NULL")=TRUE,0,[1]!EM_S_STMNOTE_ASSETDETAIL(目录!$C$4,18,C$2)/unit)</f>
        <v>#VALUE!</v>
      </c>
      <c r="D144" s="880" t="e">
        <f>IF(OR([1]!EM_S_STMNOTE_ASSETDETAIL(目录!$C$4,18,D$2)="",[1]!EM_S_STMNOTE_ASSETDETAIL(目录!$C$4,18,D$2)="--",[1]!EM_S_STMNOTE_ASSETDETAIL(目录!$C$4,18,D$2)="NULL")=TRUE,0,[1]!EM_S_STMNOTE_ASSETDETAIL(目录!$C$4,18,D$2)/unit)</f>
        <v>#VALUE!</v>
      </c>
      <c r="E144" s="880" t="e">
        <f>IF(OR([1]!EM_S_STMNOTE_ASSETDETAIL(目录!$C$4,18,E$2)="",[1]!EM_S_STMNOTE_ASSETDETAIL(目录!$C$4,18,E$2)="--",[1]!EM_S_STMNOTE_ASSETDETAIL(目录!$C$4,18,E$2)="NULL")=TRUE,0,[1]!EM_S_STMNOTE_ASSETDETAIL(目录!$C$4,18,E$2)/unit)</f>
        <v>#VALUE!</v>
      </c>
      <c r="F144" s="880">
        <f>IF(OR([1]!EM_S_STMNOTE_ASSETDETAIL(目录!$C$4,18,F$2)="",[1]!EM_S_STMNOTE_ASSETDETAIL(目录!$C$4,18,F$2)="--",[1]!EM_S_STMNOTE_ASSETDETAIL(目录!$C$4,18,F$2)="NULL")=TRUE,0,[1]!EM_S_STMNOTE_ASSETDETAIL(目录!$C$4,18,F$2)/unit)</f>
        <v>0.43720822439999996</v>
      </c>
      <c r="G144" s="5" t="e">
        <f>IF(OR([1]!EM_S_STMNOTE_ASSETDETAIL(目录!$C$4,18,G$2)="",[1]!EM_S_STMNOTE_ASSETDETAIL(目录!$C$4,18,G$2)="--",[1]!EM_S_STMNOTE_ASSETDETAIL(目录!$C$4,18,G$2)="NULL")=TRUE,0,[1]!EM_S_STMNOTE_ASSETDETAIL(目录!$C$4,18,G$2)/unit)</f>
        <v>#VALUE!</v>
      </c>
      <c r="H144" s="5" t="e">
        <f>IF(OR([1]!EM_S_STMNOTE_ASSETDETAIL(目录!$C$4,18,H$2)="",[1]!EM_S_STMNOTE_ASSETDETAIL(目录!$C$4,18,H$2)="--",[1]!EM_S_STMNOTE_ASSETDETAIL(目录!$C$4,18,H$2)="NULL")=TRUE,0,[1]!EM_S_STMNOTE_ASSETDETAIL(目录!$C$4,18,H$2)/unit)</f>
        <v>#VALUE!</v>
      </c>
      <c r="I144" s="868"/>
    </row>
    <row r="145" spans="1:9" outlineLevel="1">
      <c r="A145" s="853"/>
      <c r="B145" s="855" t="s">
        <v>980</v>
      </c>
      <c r="C145" s="865" t="e">
        <f>IF(OR([1]!EM_S_STMNOTE_ASSETDETAIL(目录!$C$4,5,C$2)="",[1]!EM_S_STMNOTE_ASSETDETAIL(目录!$C$4,5,C$2)="--",[1]!EM_S_STMNOTE_ASSETDETAIL(目录!$C$4,5,C$2)="NULL")=TRUE,0,[1]!EM_S_STMNOTE_ASSETDETAIL(目录!$C$4,5,C$2)/unit)</f>
        <v>#VALUE!</v>
      </c>
      <c r="D145" s="865" t="e">
        <f>IF(OR([1]!EM_S_STMNOTE_ASSETDETAIL(目录!$C$4,5,D$2)="",[1]!EM_S_STMNOTE_ASSETDETAIL(目录!$C$4,5,D$2)="--",[1]!EM_S_STMNOTE_ASSETDETAIL(目录!$C$4,5,D$2)="NULL")=TRUE,0,[1]!EM_S_STMNOTE_ASSETDETAIL(目录!$C$4,5,D$2)/unit)</f>
        <v>#VALUE!</v>
      </c>
      <c r="E145" s="865" t="e">
        <f>IF(OR([1]!EM_S_STMNOTE_ASSETDETAIL(目录!$C$4,5,E$2)="",[1]!EM_S_STMNOTE_ASSETDETAIL(目录!$C$4,5,E$2)="--",[1]!EM_S_STMNOTE_ASSETDETAIL(目录!$C$4,5,E$2)="NULL")=TRUE,0,[1]!EM_S_STMNOTE_ASSETDETAIL(目录!$C$4,5,E$2)/unit)</f>
        <v>#VALUE!</v>
      </c>
      <c r="F145" s="865" t="e">
        <f>IF(OR([1]!EM_S_STMNOTE_ASSETDETAIL(目录!$C$4,5,F$2)="",[1]!EM_S_STMNOTE_ASSETDETAIL(目录!$C$4,5,F$2)="--",[1]!EM_S_STMNOTE_ASSETDETAIL(目录!$C$4,5,F$2)="NULL")=TRUE,0,[1]!EM_S_STMNOTE_ASSETDETAIL(目录!$C$4,5,F$2)/unit)</f>
        <v>#VALUE!</v>
      </c>
      <c r="G145" s="5" t="e">
        <f>IF(OR([1]!EM_S_STMNOTE_ASSETDETAIL(目录!$C$4,5,G$2)="",[1]!EM_S_STMNOTE_ASSETDETAIL(目录!$C$4,5,G$2)="--",[1]!EM_S_STMNOTE_ASSETDETAIL(目录!$C$4,5,G$2)="NULL")=TRUE,0,[1]!EM_S_STMNOTE_ASSETDETAIL(目录!$C$4,5,G$2)/unit)</f>
        <v>#VALUE!</v>
      </c>
      <c r="H145" s="5" t="e">
        <f>IF(OR([1]!EM_S_STMNOTE_ASSETDETAIL(目录!$C$4,5,H$2)="",[1]!EM_S_STMNOTE_ASSETDETAIL(目录!$C$4,5,H$2)="--",[1]!EM_S_STMNOTE_ASSETDETAIL(目录!$C$4,5,H$2)="NULL")=TRUE,0,[1]!EM_S_STMNOTE_ASSETDETAIL(目录!$C$4,5,H$2)/unit)</f>
        <v>#VALUE!</v>
      </c>
      <c r="I145" s="868"/>
    </row>
    <row r="146" spans="1:9" outlineLevel="1">
      <c r="A146" s="853"/>
      <c r="B146" s="855" t="s">
        <v>981</v>
      </c>
      <c r="C146" s="865" t="e">
        <f>IF(OR([1]!EM_S_STMNOTE_ASSETDETAIL(目录!$C$4,6,C$2)="",[1]!EM_S_STMNOTE_ASSETDETAIL(目录!$C$4,6,C$2)="--",[1]!EM_S_STMNOTE_ASSETDETAIL(目录!$C$4,6,C$2)="NULL")=TRUE,0,[1]!EM_S_STMNOTE_ASSETDETAIL(目录!$C$4,6,C$2)/unit)</f>
        <v>#VALUE!</v>
      </c>
      <c r="D146" s="865" t="e">
        <f>IF(OR([1]!EM_S_STMNOTE_ASSETDETAIL(目录!$C$4,6,D$2)="",[1]!EM_S_STMNOTE_ASSETDETAIL(目录!$C$4,6,D$2)="--",[1]!EM_S_STMNOTE_ASSETDETAIL(目录!$C$4,6,D$2)="NULL")=TRUE,0,[1]!EM_S_STMNOTE_ASSETDETAIL(目录!$C$4,6,D$2)/unit)</f>
        <v>#VALUE!</v>
      </c>
      <c r="E146" s="865" t="e">
        <f>IF(OR([1]!EM_S_STMNOTE_ASSETDETAIL(目录!$C$4,6,E$2)="",[1]!EM_S_STMNOTE_ASSETDETAIL(目录!$C$4,6,E$2)="--",[1]!EM_S_STMNOTE_ASSETDETAIL(目录!$C$4,6,E$2)="NULL")=TRUE,0,[1]!EM_S_STMNOTE_ASSETDETAIL(目录!$C$4,6,E$2)/unit)</f>
        <v>#VALUE!</v>
      </c>
      <c r="F146" s="865" t="e">
        <f>IF(OR([1]!EM_S_STMNOTE_ASSETDETAIL(目录!$C$4,6,F$2)="",[1]!EM_S_STMNOTE_ASSETDETAIL(目录!$C$4,6,F$2)="--",[1]!EM_S_STMNOTE_ASSETDETAIL(目录!$C$4,6,F$2)="NULL")=TRUE,0,[1]!EM_S_STMNOTE_ASSETDETAIL(目录!$C$4,6,F$2)/unit)</f>
        <v>#VALUE!</v>
      </c>
      <c r="G146" s="5" t="e">
        <f>IF(OR([1]!EM_S_STMNOTE_ASSETDETAIL(目录!$C$4,6,G$2)="",[1]!EM_S_STMNOTE_ASSETDETAIL(目录!$C$4,6,G$2)="--",[1]!EM_S_STMNOTE_ASSETDETAIL(目录!$C$4,6,G$2)="NULL")=TRUE,0,[1]!EM_S_STMNOTE_ASSETDETAIL(目录!$C$4,6,G$2)/unit)</f>
        <v>#VALUE!</v>
      </c>
      <c r="H146" s="5" t="e">
        <f>IF(OR([1]!EM_S_STMNOTE_ASSETDETAIL(目录!$C$4,6,H$2)="",[1]!EM_S_STMNOTE_ASSETDETAIL(目录!$C$4,6,H$2)="--",[1]!EM_S_STMNOTE_ASSETDETAIL(目录!$C$4,6,H$2)="NULL")=TRUE,0,[1]!EM_S_STMNOTE_ASSETDETAIL(目录!$C$4,6,H$2)/unit)</f>
        <v>#VALUE!</v>
      </c>
      <c r="I146" s="868"/>
    </row>
    <row r="147" spans="1:9" outlineLevel="1">
      <c r="A147" s="853" t="s">
        <v>982</v>
      </c>
      <c r="B147" s="855"/>
      <c r="C147" s="881"/>
      <c r="D147" s="881"/>
      <c r="E147" s="881"/>
      <c r="F147" s="881"/>
      <c r="I147" s="868"/>
    </row>
    <row r="148" spans="1:9" outlineLevel="1">
      <c r="A148" s="853"/>
      <c r="B148" s="855" t="s">
        <v>983</v>
      </c>
      <c r="C148" s="865" t="e">
        <f>IF(OR([1]!EM_S_STMNOTE_FINEXP(目录!$C$4,1,C$2)="",[1]!EM_S_STMNOTE_FINEXP(目录!$C$4,1,C$2)="--",[1]!EM_S_STMNOTE_FINEXP(目录!$C$4,1,C$2)="NULL"),0,[1]!EM_S_STMNOTE_FINEXP(目录!$C$4,1,C$2)/unit)</f>
        <v>#VALUE!</v>
      </c>
      <c r="D148" s="865" t="e">
        <f>IF(OR([1]!EM_S_STMNOTE_FINEXP(目录!$C$4,1,D$2)="",[1]!EM_S_STMNOTE_FINEXP(目录!$C$4,1,D$2)="--",[1]!EM_S_STMNOTE_FINEXP(目录!$C$4,1,D$2)="NULL"),0,[1]!EM_S_STMNOTE_FINEXP(目录!$C$4,1,D$2)/unit)</f>
        <v>#VALUE!</v>
      </c>
      <c r="E148" s="865" t="e">
        <f>IF(OR([1]!EM_S_STMNOTE_FINEXP(目录!$C$4,1,E$2)="",[1]!EM_S_STMNOTE_FINEXP(目录!$C$4,1,E$2)="--",[1]!EM_S_STMNOTE_FINEXP(目录!$C$4,1,E$2)="NULL"),0,[1]!EM_S_STMNOTE_FINEXP(目录!$C$4,1,E$2)/unit)</f>
        <v>#VALUE!</v>
      </c>
      <c r="F148" s="865" t="e">
        <f>IF(OR([1]!EM_S_STMNOTE_FINEXP(目录!$C$4,1,F$2)="",[1]!EM_S_STMNOTE_FINEXP(目录!$C$4,1,F$2)="--",[1]!EM_S_STMNOTE_FINEXP(目录!$C$4,1,F$2)="NULL"),0,[1]!EM_S_STMNOTE_FINEXP(目录!$C$4,1,F$2)/unit)</f>
        <v>#VALUE!</v>
      </c>
      <c r="G148" s="5" t="e">
        <f>IF(OR([1]!EM_S_STMNOTE_FINEXP(目录!$C$4,1,G$2)="",[1]!EM_S_STMNOTE_FINEXP(目录!$C$4,1,G$2)="--",[1]!EM_S_STMNOTE_FINEXP(目录!$C$4,1,G$2)="NULL"),0,[1]!EM_S_STMNOTE_FINEXP(目录!$C$4,1,G$2)/unit)</f>
        <v>#VALUE!</v>
      </c>
      <c r="H148" s="5" t="e">
        <f>IF(OR([1]!EM_S_STMNOTE_FINEXP(目录!$C$4,1,H$2)="",[1]!EM_S_STMNOTE_FINEXP(目录!$C$4,1,H$2)="--",[1]!EM_S_STMNOTE_FINEXP(目录!$C$4,1,H$2)="NULL"),0,[1]!EM_S_STMNOTE_FINEXP(目录!$C$4,1,H$2)/unit)</f>
        <v>#VALUE!</v>
      </c>
      <c r="I148" s="867"/>
    </row>
    <row r="149" spans="1:9" outlineLevel="1">
      <c r="A149" s="853"/>
      <c r="B149" s="855" t="s">
        <v>984</v>
      </c>
      <c r="C149" s="865" t="e">
        <f>IF(OR([1]!EM_S_STMNOTE_FINEXP(目录!$C$4,2,C$2)="",[1]!EM_S_STMNOTE_FINEXP(目录!$C$4,2,C$2)="--",[1]!EM_S_STMNOTE_FINEXP(目录!$C$4,2,C$2)="NULL")=TRUE,0,[1]!EM_S_STMNOTE_FINEXP(目录!$C$4,2,C$2)/unit)</f>
        <v>#VALUE!</v>
      </c>
      <c r="D149" s="865" t="e">
        <f>IF(OR([1]!EM_S_STMNOTE_FINEXP(目录!$C$4,2,D$2)="",[1]!EM_S_STMNOTE_FINEXP(目录!$C$4,2,D$2)="--",[1]!EM_S_STMNOTE_FINEXP(目录!$C$4,2,D$2)="NULL")=TRUE,0,[1]!EM_S_STMNOTE_FINEXP(目录!$C$4,2,D$2)/unit)</f>
        <v>#VALUE!</v>
      </c>
      <c r="E149" s="865" t="e">
        <f>IF(OR([1]!EM_S_STMNOTE_FINEXP(目录!$C$4,2,E$2)="",[1]!EM_S_STMNOTE_FINEXP(目录!$C$4,2,E$2)="--",[1]!EM_S_STMNOTE_FINEXP(目录!$C$4,2,E$2)="NULL")=TRUE,0,[1]!EM_S_STMNOTE_FINEXP(目录!$C$4,2,E$2)/unit)</f>
        <v>#VALUE!</v>
      </c>
      <c r="F149" s="865" t="e">
        <f>IF(OR([1]!EM_S_STMNOTE_FINEXP(目录!$C$4,2,F$2)="",[1]!EM_S_STMNOTE_FINEXP(目录!$C$4,2,F$2)="--",[1]!EM_S_STMNOTE_FINEXP(目录!$C$4,2,F$2)="NULL")=TRUE,0,[1]!EM_S_STMNOTE_FINEXP(目录!$C$4,2,F$2)/unit)</f>
        <v>#VALUE!</v>
      </c>
      <c r="G149" s="5" t="e">
        <f>IF(OR([1]!EM_S_STMNOTE_FINEXP(目录!$C$4,2,G$2)="",[1]!EM_S_STMNOTE_FINEXP(目录!$C$4,2,G$2)="--",[1]!EM_S_STMNOTE_FINEXP(目录!$C$4,2,G$2)="NULL")=TRUE,0,[1]!EM_S_STMNOTE_FINEXP(目录!$C$4,2,G$2)/unit)</f>
        <v>#VALUE!</v>
      </c>
      <c r="H149" s="5" t="e">
        <f>IF(OR([1]!EM_S_STMNOTE_FINEXP(目录!$C$4,2,H$2)="",[1]!EM_S_STMNOTE_FINEXP(目录!$C$4,2,H$2)="--",[1]!EM_S_STMNOTE_FINEXP(目录!$C$4,2,H$2)="NULL")=TRUE,0,[1]!EM_S_STMNOTE_FINEXP(目录!$C$4,2,H$2)/unit)</f>
        <v>#VALUE!</v>
      </c>
      <c r="I149" s="868"/>
    </row>
    <row r="150" spans="1:9" outlineLevel="1">
      <c r="A150" s="853"/>
      <c r="B150" s="855" t="s">
        <v>945</v>
      </c>
      <c r="C150" s="865" t="e">
        <f>'历史年度（原始）'!B27-(C148-C149)</f>
        <v>#VALUE!</v>
      </c>
      <c r="D150" s="865" t="e">
        <f>'历史年度（原始）'!C27-(D148-D149)</f>
        <v>#VALUE!</v>
      </c>
      <c r="E150" s="865" t="e">
        <f>'历史年度（原始）'!D27-(E148-E149)</f>
        <v>#VALUE!</v>
      </c>
      <c r="F150" s="865" t="e">
        <f>'历史年度（原始）'!E27-(F148-F149)</f>
        <v>#VALUE!</v>
      </c>
      <c r="I150" s="868"/>
    </row>
    <row r="151" spans="1:9">
      <c r="A151" s="860"/>
      <c r="B151" s="860"/>
      <c r="I151" s="868"/>
    </row>
    <row r="152" spans="1:9">
      <c r="I152" s="868"/>
    </row>
    <row r="153" spans="1:9">
      <c r="B153" s="5" t="s">
        <v>985</v>
      </c>
      <c r="I153" s="868"/>
    </row>
    <row r="154" spans="1:9">
      <c r="I154" s="868"/>
    </row>
    <row r="155" spans="1:9">
      <c r="C155" s="671"/>
      <c r="D155" s="75"/>
      <c r="I155" s="867"/>
    </row>
    <row r="156" spans="1:9">
      <c r="C156" s="671"/>
      <c r="D156" s="75"/>
      <c r="I156" s="868"/>
    </row>
    <row r="157" spans="1:9">
      <c r="C157" s="671"/>
      <c r="D157" s="75"/>
      <c r="I157" s="868"/>
    </row>
    <row r="158" spans="1:9">
      <c r="C158" s="671"/>
      <c r="D158" s="75"/>
      <c r="I158" s="868"/>
    </row>
    <row r="159" spans="1:9">
      <c r="C159" s="671"/>
      <c r="D159" s="75"/>
      <c r="I159" s="868"/>
    </row>
    <row r="160" spans="1:9">
      <c r="C160" s="671"/>
      <c r="D160" s="75"/>
      <c r="I160" s="868"/>
    </row>
    <row r="161" spans="4:9">
      <c r="D161" s="75"/>
      <c r="I161" s="868"/>
    </row>
    <row r="162" spans="4:9">
      <c r="I162" s="867"/>
    </row>
    <row r="163" spans="4:9">
      <c r="I163" s="868"/>
    </row>
    <row r="164" spans="4:9">
      <c r="I164" s="868"/>
    </row>
    <row r="165" spans="4:9">
      <c r="I165" s="868"/>
    </row>
    <row r="166" spans="4:9">
      <c r="I166" s="868"/>
    </row>
    <row r="167" spans="4:9">
      <c r="I167" s="868"/>
    </row>
    <row r="168" spans="4:9">
      <c r="I168" s="868"/>
    </row>
    <row r="169" spans="4:9">
      <c r="I169" s="867"/>
    </row>
    <row r="170" spans="4:9">
      <c r="I170" s="868"/>
    </row>
    <row r="171" spans="4:9">
      <c r="I171" s="868"/>
    </row>
    <row r="172" spans="4:9">
      <c r="I172" s="868"/>
    </row>
    <row r="173" spans="4:9">
      <c r="I173" s="868"/>
    </row>
    <row r="174" spans="4:9">
      <c r="I174" s="868"/>
    </row>
    <row r="175" spans="4:9">
      <c r="I175" s="868"/>
    </row>
    <row r="176" spans="4:9">
      <c r="I176" s="867"/>
    </row>
    <row r="177" spans="9:9">
      <c r="I177" s="868"/>
    </row>
    <row r="178" spans="9:9">
      <c r="I178" s="868"/>
    </row>
    <row r="179" spans="9:9">
      <c r="I179" s="868"/>
    </row>
    <row r="180" spans="9:9">
      <c r="I180" s="868"/>
    </row>
    <row r="181" spans="9:9">
      <c r="I181" s="868"/>
    </row>
    <row r="182" spans="9:9">
      <c r="I182" s="868"/>
    </row>
    <row r="183" spans="9:9">
      <c r="I183" s="867"/>
    </row>
    <row r="184" spans="9:9">
      <c r="I184" s="868"/>
    </row>
    <row r="185" spans="9:9">
      <c r="I185" s="868"/>
    </row>
    <row r="186" spans="9:9">
      <c r="I186" s="868"/>
    </row>
    <row r="187" spans="9:9">
      <c r="I187" s="868"/>
    </row>
    <row r="188" spans="9:9">
      <c r="I188" s="868"/>
    </row>
    <row r="189" spans="9:9">
      <c r="I189" s="868"/>
    </row>
    <row r="190" spans="9:9">
      <c r="I190" s="867"/>
    </row>
    <row r="191" spans="9:9">
      <c r="I191" s="868"/>
    </row>
    <row r="192" spans="9:9">
      <c r="I192" s="868"/>
    </row>
    <row r="193" spans="9:9">
      <c r="I193" s="868"/>
    </row>
    <row r="194" spans="9:9">
      <c r="I194" s="868"/>
    </row>
    <row r="195" spans="9:9">
      <c r="I195" s="868"/>
    </row>
    <row r="196" spans="9:9">
      <c r="I196" s="868"/>
    </row>
    <row r="197" spans="9:9">
      <c r="I197" s="867"/>
    </row>
    <row r="198" spans="9:9">
      <c r="I198" s="868"/>
    </row>
    <row r="199" spans="9:9">
      <c r="I199" s="868"/>
    </row>
    <row r="200" spans="9:9">
      <c r="I200" s="868"/>
    </row>
    <row r="201" spans="9:9">
      <c r="I201" s="868"/>
    </row>
    <row r="202" spans="9:9">
      <c r="I202" s="868"/>
    </row>
    <row r="203" spans="9:9">
      <c r="I203" s="868"/>
    </row>
    <row r="204" spans="9:9">
      <c r="I204" s="867"/>
    </row>
    <row r="205" spans="9:9">
      <c r="I205" s="868"/>
    </row>
    <row r="206" spans="9:9">
      <c r="I206" s="868"/>
    </row>
    <row r="207" spans="9:9">
      <c r="I207" s="868"/>
    </row>
    <row r="208" spans="9:9">
      <c r="I208" s="868"/>
    </row>
    <row r="209" spans="9:9">
      <c r="I209" s="868"/>
    </row>
    <row r="210" spans="9:9">
      <c r="I210" s="868"/>
    </row>
    <row r="211" spans="9:9">
      <c r="I211" s="867"/>
    </row>
    <row r="212" spans="9:9">
      <c r="I212" s="868"/>
    </row>
    <row r="213" spans="9:9">
      <c r="I213" s="868"/>
    </row>
    <row r="214" spans="9:9">
      <c r="I214" s="868"/>
    </row>
    <row r="215" spans="9:9">
      <c r="I215" s="868"/>
    </row>
    <row r="216" spans="9:9">
      <c r="I216" s="868"/>
    </row>
    <row r="217" spans="9:9">
      <c r="I217" s="868"/>
    </row>
    <row r="218" spans="9:9">
      <c r="I218" s="867"/>
    </row>
    <row r="219" spans="9:9">
      <c r="I219" s="868"/>
    </row>
    <row r="220" spans="9:9">
      <c r="I220" s="868"/>
    </row>
    <row r="221" spans="9:9">
      <c r="I221" s="868"/>
    </row>
    <row r="222" spans="9:9">
      <c r="I222" s="868"/>
    </row>
    <row r="223" spans="9:9">
      <c r="I223" s="868"/>
    </row>
    <row r="224" spans="9:9">
      <c r="I224" s="868"/>
    </row>
    <row r="225" spans="9:9">
      <c r="I225" s="867"/>
    </row>
    <row r="226" spans="9:9">
      <c r="I226" s="868"/>
    </row>
    <row r="227" spans="9:9">
      <c r="I227" s="868"/>
    </row>
    <row r="228" spans="9:9">
      <c r="I228" s="868"/>
    </row>
    <row r="229" spans="9:9">
      <c r="I229" s="868"/>
    </row>
    <row r="230" spans="9:9">
      <c r="I230" s="868"/>
    </row>
    <row r="231" spans="9:9">
      <c r="I231" s="868"/>
    </row>
    <row r="232" spans="9:9">
      <c r="I232" s="867"/>
    </row>
    <row r="233" spans="9:9">
      <c r="I233" s="868"/>
    </row>
    <row r="234" spans="9:9">
      <c r="I234" s="868"/>
    </row>
    <row r="235" spans="9:9">
      <c r="I235" s="868"/>
    </row>
    <row r="236" spans="9:9">
      <c r="I236" s="868"/>
    </row>
    <row r="237" spans="9:9">
      <c r="I237" s="868"/>
    </row>
    <row r="238" spans="9:9">
      <c r="I238" s="868"/>
    </row>
    <row r="239" spans="9:9">
      <c r="I239" s="867"/>
    </row>
    <row r="240" spans="9:9">
      <c r="I240" s="868"/>
    </row>
    <row r="241" spans="9:9">
      <c r="I241" s="868"/>
    </row>
    <row r="242" spans="9:9">
      <c r="I242" s="868"/>
    </row>
    <row r="243" spans="9:9">
      <c r="I243" s="868"/>
    </row>
    <row r="244" spans="9:9">
      <c r="I244" s="868"/>
    </row>
    <row r="245" spans="9:9">
      <c r="I245" s="868"/>
    </row>
    <row r="246" spans="9:9">
      <c r="I246" s="867"/>
    </row>
    <row r="247" spans="9:9">
      <c r="I247" s="868"/>
    </row>
    <row r="248" spans="9:9">
      <c r="I248" s="868"/>
    </row>
    <row r="249" spans="9:9">
      <c r="I249" s="868"/>
    </row>
    <row r="250" spans="9:9">
      <c r="I250" s="868"/>
    </row>
    <row r="251" spans="9:9">
      <c r="I251" s="868"/>
    </row>
    <row r="252" spans="9:9">
      <c r="I252" s="868"/>
    </row>
    <row r="253" spans="9:9">
      <c r="I253" s="867"/>
    </row>
    <row r="254" spans="9:9">
      <c r="I254" s="868"/>
    </row>
    <row r="255" spans="9:9">
      <c r="I255" s="868"/>
    </row>
    <row r="256" spans="9:9">
      <c r="I256" s="868"/>
    </row>
    <row r="257" spans="9:9">
      <c r="I257" s="868"/>
    </row>
    <row r="258" spans="9:9">
      <c r="I258" s="868"/>
    </row>
    <row r="259" spans="9:9">
      <c r="I259" s="868"/>
    </row>
    <row r="260" spans="9:9">
      <c r="I260" s="867"/>
    </row>
    <row r="261" spans="9:9">
      <c r="I261" s="868"/>
    </row>
    <row r="262" spans="9:9">
      <c r="I262" s="868"/>
    </row>
    <row r="263" spans="9:9">
      <c r="I263" s="868"/>
    </row>
    <row r="264" spans="9:9">
      <c r="I264" s="868"/>
    </row>
    <row r="265" spans="9:9">
      <c r="I265" s="868"/>
    </row>
    <row r="266" spans="9:9">
      <c r="I266" s="868"/>
    </row>
    <row r="267" spans="9:9">
      <c r="I267" s="867"/>
    </row>
    <row r="268" spans="9:9">
      <c r="I268" s="868"/>
    </row>
    <row r="269" spans="9:9">
      <c r="I269" s="868"/>
    </row>
    <row r="270" spans="9:9">
      <c r="I270" s="868"/>
    </row>
    <row r="271" spans="9:9">
      <c r="I271" s="868"/>
    </row>
    <row r="272" spans="9:9">
      <c r="I272" s="868"/>
    </row>
    <row r="273" spans="9:9">
      <c r="I273" s="868"/>
    </row>
    <row r="274" spans="9:9">
      <c r="I274" s="867"/>
    </row>
    <row r="275" spans="9:9">
      <c r="I275" s="868"/>
    </row>
    <row r="276" spans="9:9">
      <c r="I276" s="868"/>
    </row>
    <row r="277" spans="9:9">
      <c r="I277" s="868"/>
    </row>
    <row r="278" spans="9:9">
      <c r="I278" s="868"/>
    </row>
    <row r="279" spans="9:9">
      <c r="I279" s="868"/>
    </row>
    <row r="280" spans="9:9">
      <c r="I280" s="868"/>
    </row>
    <row r="281" spans="9:9">
      <c r="I281" s="867"/>
    </row>
    <row r="282" spans="9:9">
      <c r="I282" s="868"/>
    </row>
    <row r="283" spans="9:9">
      <c r="I283" s="868"/>
    </row>
    <row r="284" spans="9:9">
      <c r="I284" s="868"/>
    </row>
    <row r="285" spans="9:9">
      <c r="I285" s="868"/>
    </row>
    <row r="286" spans="9:9">
      <c r="I286" s="868"/>
    </row>
    <row r="287" spans="9:9">
      <c r="I287" s="868"/>
    </row>
    <row r="288" spans="9:9">
      <c r="I288" s="867"/>
    </row>
    <row r="289" spans="9:9">
      <c r="I289" s="868"/>
    </row>
    <row r="290" spans="9:9">
      <c r="I290" s="868"/>
    </row>
    <row r="291" spans="9:9">
      <c r="I291" s="868"/>
    </row>
    <row r="292" spans="9:9">
      <c r="I292" s="868"/>
    </row>
    <row r="293" spans="9:9">
      <c r="I293" s="868"/>
    </row>
    <row r="294" spans="9:9">
      <c r="I294" s="868"/>
    </row>
    <row r="295" spans="9:9">
      <c r="I295" s="867"/>
    </row>
    <row r="296" spans="9:9">
      <c r="I296" s="868"/>
    </row>
    <row r="297" spans="9:9">
      <c r="I297" s="868"/>
    </row>
    <row r="298" spans="9:9">
      <c r="I298" s="868"/>
    </row>
    <row r="299" spans="9:9">
      <c r="I299" s="868"/>
    </row>
    <row r="300" spans="9:9">
      <c r="I300" s="868"/>
    </row>
    <row r="301" spans="9:9">
      <c r="I301" s="868"/>
    </row>
    <row r="302" spans="9:9">
      <c r="I302" s="867"/>
    </row>
    <row r="303" spans="9:9">
      <c r="I303" s="868"/>
    </row>
    <row r="304" spans="9:9">
      <c r="I304" s="868"/>
    </row>
    <row r="305" spans="9:9">
      <c r="I305" s="868"/>
    </row>
    <row r="306" spans="9:9">
      <c r="I306" s="868"/>
    </row>
    <row r="307" spans="9:9">
      <c r="I307" s="868"/>
    </row>
    <row r="308" spans="9:9">
      <c r="I308" s="868"/>
    </row>
    <row r="309" spans="9:9">
      <c r="I309" s="867"/>
    </row>
    <row r="310" spans="9:9">
      <c r="I310" s="868"/>
    </row>
    <row r="311" spans="9:9">
      <c r="I311" s="868"/>
    </row>
    <row r="312" spans="9:9">
      <c r="I312" s="868"/>
    </row>
    <row r="313" spans="9:9">
      <c r="I313" s="868"/>
    </row>
    <row r="314" spans="9:9">
      <c r="I314" s="868"/>
    </row>
    <row r="315" spans="9:9">
      <c r="I315" s="868"/>
    </row>
    <row r="316" spans="9:9">
      <c r="I316" s="867"/>
    </row>
    <row r="317" spans="9:9">
      <c r="I317" s="868"/>
    </row>
    <row r="318" spans="9:9">
      <c r="I318" s="868"/>
    </row>
    <row r="319" spans="9:9">
      <c r="I319" s="868"/>
    </row>
    <row r="320" spans="9:9">
      <c r="I320" s="868"/>
    </row>
    <row r="321" spans="9:9">
      <c r="I321" s="868"/>
    </row>
    <row r="322" spans="9:9">
      <c r="I322" s="868"/>
    </row>
    <row r="323" spans="9:9">
      <c r="I323" s="867"/>
    </row>
    <row r="324" spans="9:9">
      <c r="I324" s="868"/>
    </row>
    <row r="325" spans="9:9">
      <c r="I325" s="868"/>
    </row>
    <row r="326" spans="9:9">
      <c r="I326" s="868"/>
    </row>
    <row r="327" spans="9:9">
      <c r="I327" s="868"/>
    </row>
    <row r="328" spans="9:9">
      <c r="I328" s="868"/>
    </row>
    <row r="329" spans="9:9">
      <c r="I329" s="868"/>
    </row>
    <row r="330" spans="9:9">
      <c r="I330" s="867"/>
    </row>
    <row r="331" spans="9:9">
      <c r="I331" s="868"/>
    </row>
    <row r="332" spans="9:9">
      <c r="I332" s="868"/>
    </row>
    <row r="333" spans="9:9">
      <c r="I333" s="868"/>
    </row>
    <row r="334" spans="9:9">
      <c r="I334" s="868"/>
    </row>
    <row r="335" spans="9:9">
      <c r="I335" s="868"/>
    </row>
    <row r="336" spans="9:9">
      <c r="I336" s="868"/>
    </row>
    <row r="337" spans="9:9">
      <c r="I337" s="867"/>
    </row>
    <row r="338" spans="9:9">
      <c r="I338" s="868"/>
    </row>
    <row r="339" spans="9:9">
      <c r="I339" s="868"/>
    </row>
    <row r="340" spans="9:9">
      <c r="I340" s="868"/>
    </row>
    <row r="341" spans="9:9">
      <c r="I341" s="868"/>
    </row>
    <row r="342" spans="9:9">
      <c r="I342" s="868"/>
    </row>
    <row r="343" spans="9:9">
      <c r="I343" s="868"/>
    </row>
    <row r="344" spans="9:9">
      <c r="I344" s="867"/>
    </row>
    <row r="345" spans="9:9">
      <c r="I345" s="868"/>
    </row>
    <row r="346" spans="9:9">
      <c r="I346" s="868"/>
    </row>
    <row r="347" spans="9:9">
      <c r="I347" s="868"/>
    </row>
    <row r="348" spans="9:9">
      <c r="I348" s="868"/>
    </row>
    <row r="349" spans="9:9">
      <c r="I349" s="868"/>
    </row>
    <row r="350" spans="9:9">
      <c r="I350" s="868"/>
    </row>
    <row r="351" spans="9:9">
      <c r="I351" s="867"/>
    </row>
    <row r="352" spans="9:9">
      <c r="I352" s="868"/>
    </row>
    <row r="353" spans="9:9">
      <c r="I353" s="868"/>
    </row>
    <row r="354" spans="9:9">
      <c r="I354" s="868"/>
    </row>
    <row r="355" spans="9:9">
      <c r="I355" s="868"/>
    </row>
    <row r="356" spans="9:9">
      <c r="I356" s="868"/>
    </row>
    <row r="357" spans="9:9">
      <c r="I357" s="868"/>
    </row>
    <row r="358" spans="9:9">
      <c r="I358" s="867"/>
    </row>
    <row r="359" spans="9:9">
      <c r="I359" s="868"/>
    </row>
    <row r="360" spans="9:9">
      <c r="I360" s="868"/>
    </row>
    <row r="361" spans="9:9">
      <c r="I361" s="868"/>
    </row>
    <row r="362" spans="9:9">
      <c r="I362" s="868"/>
    </row>
    <row r="363" spans="9:9">
      <c r="I363" s="868"/>
    </row>
    <row r="364" spans="9:9">
      <c r="I364" s="868"/>
    </row>
    <row r="365" spans="9:9">
      <c r="I365" s="867"/>
    </row>
    <row r="366" spans="9:9">
      <c r="I366" s="868"/>
    </row>
    <row r="367" spans="9:9">
      <c r="I367" s="868"/>
    </row>
    <row r="368" spans="9:9">
      <c r="I368" s="868"/>
    </row>
    <row r="369" spans="9:9">
      <c r="I369" s="868"/>
    </row>
    <row r="370" spans="9:9">
      <c r="I370" s="868"/>
    </row>
    <row r="371" spans="9:9">
      <c r="I371" s="868"/>
    </row>
    <row r="372" spans="9:9">
      <c r="I372" s="867"/>
    </row>
    <row r="373" spans="9:9">
      <c r="I373" s="868"/>
    </row>
    <row r="374" spans="9:9">
      <c r="I374" s="868"/>
    </row>
    <row r="375" spans="9:9">
      <c r="I375" s="868"/>
    </row>
    <row r="376" spans="9:9">
      <c r="I376" s="868"/>
    </row>
    <row r="377" spans="9:9">
      <c r="I377" s="868"/>
    </row>
    <row r="378" spans="9:9">
      <c r="I378" s="868"/>
    </row>
    <row r="379" spans="9:9">
      <c r="I379" s="867"/>
    </row>
    <row r="380" spans="9:9">
      <c r="I380" s="868"/>
    </row>
    <row r="381" spans="9:9">
      <c r="I381" s="868"/>
    </row>
    <row r="382" spans="9:9">
      <c r="I382" s="868"/>
    </row>
    <row r="383" spans="9:9">
      <c r="I383" s="868"/>
    </row>
    <row r="384" spans="9:9">
      <c r="I384" s="868"/>
    </row>
    <row r="385" spans="9:9">
      <c r="I385" s="868"/>
    </row>
    <row r="386" spans="9:9">
      <c r="I386" s="867"/>
    </row>
    <row r="387" spans="9:9">
      <c r="I387" s="868"/>
    </row>
    <row r="388" spans="9:9">
      <c r="I388" s="868"/>
    </row>
    <row r="389" spans="9:9">
      <c r="I389" s="868"/>
    </row>
    <row r="390" spans="9:9">
      <c r="I390" s="868"/>
    </row>
    <row r="391" spans="9:9">
      <c r="I391" s="868"/>
    </row>
    <row r="392" spans="9:9">
      <c r="I392" s="868"/>
    </row>
    <row r="393" spans="9:9">
      <c r="I393" s="867"/>
    </row>
    <row r="394" spans="9:9">
      <c r="I394" s="868"/>
    </row>
    <row r="395" spans="9:9">
      <c r="I395" s="868"/>
    </row>
    <row r="396" spans="9:9">
      <c r="I396" s="868"/>
    </row>
    <row r="397" spans="9:9">
      <c r="I397" s="868"/>
    </row>
    <row r="398" spans="9:9">
      <c r="I398" s="868"/>
    </row>
    <row r="399" spans="9:9">
      <c r="I399" s="868"/>
    </row>
    <row r="400" spans="9:9">
      <c r="I400" s="867"/>
    </row>
    <row r="401" spans="9:9">
      <c r="I401" s="868"/>
    </row>
    <row r="402" spans="9:9">
      <c r="I402" s="868"/>
    </row>
    <row r="403" spans="9:9">
      <c r="I403" s="868"/>
    </row>
    <row r="404" spans="9:9">
      <c r="I404" s="868"/>
    </row>
    <row r="405" spans="9:9">
      <c r="I405" s="868"/>
    </row>
    <row r="406" spans="9:9">
      <c r="I406" s="868"/>
    </row>
    <row r="407" spans="9:9">
      <c r="I407" s="867"/>
    </row>
    <row r="408" spans="9:9">
      <c r="I408" s="868"/>
    </row>
    <row r="409" spans="9:9">
      <c r="I409" s="868"/>
    </row>
    <row r="410" spans="9:9">
      <c r="I410" s="868"/>
    </row>
    <row r="411" spans="9:9">
      <c r="I411" s="868"/>
    </row>
    <row r="412" spans="9:9">
      <c r="I412" s="868"/>
    </row>
    <row r="413" spans="9:9">
      <c r="I413" s="868"/>
    </row>
    <row r="414" spans="9:9">
      <c r="I414" s="867"/>
    </row>
    <row r="415" spans="9:9">
      <c r="I415" s="868"/>
    </row>
    <row r="416" spans="9:9">
      <c r="I416" s="868"/>
    </row>
    <row r="417" spans="9:9">
      <c r="I417" s="868"/>
    </row>
    <row r="418" spans="9:9">
      <c r="I418" s="868"/>
    </row>
    <row r="419" spans="9:9">
      <c r="I419" s="868"/>
    </row>
    <row r="420" spans="9:9">
      <c r="I420" s="868"/>
    </row>
    <row r="421" spans="9:9">
      <c r="I421" s="867"/>
    </row>
    <row r="422" spans="9:9">
      <c r="I422" s="868"/>
    </row>
    <row r="423" spans="9:9">
      <c r="I423" s="868"/>
    </row>
    <row r="424" spans="9:9">
      <c r="I424" s="868"/>
    </row>
    <row r="425" spans="9:9">
      <c r="I425" s="868"/>
    </row>
    <row r="426" spans="9:9">
      <c r="I426" s="868"/>
    </row>
    <row r="427" spans="9:9">
      <c r="I427" s="868"/>
    </row>
    <row r="428" spans="9:9">
      <c r="I428" s="867"/>
    </row>
    <row r="429" spans="9:9">
      <c r="I429" s="868"/>
    </row>
    <row r="430" spans="9:9">
      <c r="I430" s="868"/>
    </row>
    <row r="431" spans="9:9">
      <c r="I431" s="868"/>
    </row>
    <row r="432" spans="9:9">
      <c r="I432" s="868"/>
    </row>
    <row r="433" spans="9:9">
      <c r="I433" s="868"/>
    </row>
    <row r="434" spans="9:9">
      <c r="I434" s="868"/>
    </row>
    <row r="435" spans="9:9">
      <c r="I435" s="867"/>
    </row>
    <row r="436" spans="9:9">
      <c r="I436" s="868"/>
    </row>
    <row r="437" spans="9:9">
      <c r="I437" s="868"/>
    </row>
    <row r="438" spans="9:9">
      <c r="I438" s="868"/>
    </row>
    <row r="439" spans="9:9">
      <c r="I439" s="868"/>
    </row>
    <row r="440" spans="9:9">
      <c r="I440" s="868"/>
    </row>
    <row r="441" spans="9:9">
      <c r="I441" s="868"/>
    </row>
    <row r="442" spans="9:9">
      <c r="I442" s="867"/>
    </row>
    <row r="443" spans="9:9">
      <c r="I443" s="868"/>
    </row>
    <row r="444" spans="9:9">
      <c r="I444" s="868"/>
    </row>
    <row r="445" spans="9:9">
      <c r="I445" s="868"/>
    </row>
    <row r="446" spans="9:9">
      <c r="I446" s="868"/>
    </row>
    <row r="447" spans="9:9">
      <c r="I447" s="868"/>
    </row>
    <row r="448" spans="9:9">
      <c r="I448" s="868"/>
    </row>
    <row r="449" spans="9:9">
      <c r="I449" s="867"/>
    </row>
    <row r="450" spans="9:9">
      <c r="I450" s="868"/>
    </row>
    <row r="451" spans="9:9">
      <c r="I451" s="868"/>
    </row>
    <row r="452" spans="9:9">
      <c r="I452" s="868"/>
    </row>
    <row r="453" spans="9:9">
      <c r="I453" s="868"/>
    </row>
    <row r="454" spans="9:9">
      <c r="I454" s="868"/>
    </row>
    <row r="455" spans="9:9">
      <c r="I455" s="868"/>
    </row>
    <row r="456" spans="9:9">
      <c r="I456" s="867"/>
    </row>
    <row r="457" spans="9:9">
      <c r="I457" s="868"/>
    </row>
    <row r="458" spans="9:9">
      <c r="I458" s="868"/>
    </row>
    <row r="459" spans="9:9">
      <c r="I459" s="868"/>
    </row>
    <row r="460" spans="9:9">
      <c r="I460" s="868"/>
    </row>
    <row r="461" spans="9:9">
      <c r="I461" s="868"/>
    </row>
  </sheetData>
  <mergeCells count="4">
    <mergeCell ref="A97:B97"/>
    <mergeCell ref="A98:B98"/>
    <mergeCell ref="A111:B111"/>
    <mergeCell ref="A123:B123"/>
  </mergeCells>
  <phoneticPr fontId="96" type="noConversion"/>
  <conditionalFormatting sqref="C95:G95">
    <cfRule type="cellIs" dxfId="1" priority="1" operator="notEqual">
      <formula>0</formula>
    </cfRule>
  </conditionalFormatting>
  <conditionalFormatting sqref="H95:M95">
    <cfRule type="cellIs" dxfId="0" priority="2"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NavigateCombBox">
              <controlPr defaultSize="0" autoPict="0" macro="[0]!NavigateBox">
                <anchor moveWithCells="1">
                  <from>
                    <xdr:col>0</xdr:col>
                    <xdr:colOff>0</xdr:colOff>
                    <xdr:row>0</xdr:row>
                    <xdr:rowOff>0</xdr:rowOff>
                  </from>
                  <to>
                    <xdr:col>1</xdr:col>
                    <xdr:colOff>823393</xdr:colOff>
                    <xdr:row>0</xdr:row>
                    <xdr:rowOff>251352</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4">
    <tabColor theme="0" tint="-0.14996795556505021"/>
  </sheetPr>
  <dimension ref="B5:AC14"/>
  <sheetViews>
    <sheetView workbookViewId="0">
      <selection activeCell="A5" sqref="A5"/>
    </sheetView>
  </sheetViews>
  <sheetFormatPr defaultColWidth="9" defaultRowHeight="14.35"/>
  <sheetData>
    <row r="5" spans="2:29">
      <c r="B5">
        <v>118</v>
      </c>
      <c r="C5" t="s">
        <v>986</v>
      </c>
      <c r="D5" s="1" t="s">
        <v>987</v>
      </c>
      <c r="E5" s="1" t="s">
        <v>988</v>
      </c>
      <c r="F5" s="1" t="s">
        <v>989</v>
      </c>
      <c r="G5" s="1" t="s">
        <v>990</v>
      </c>
      <c r="H5" s="1" t="s">
        <v>991</v>
      </c>
      <c r="I5" s="1" t="s">
        <v>992</v>
      </c>
      <c r="J5" s="1" t="s">
        <v>993</v>
      </c>
      <c r="K5" s="1" t="s">
        <v>994</v>
      </c>
      <c r="L5" s="1" t="s">
        <v>995</v>
      </c>
      <c r="M5" s="1" t="s">
        <v>996</v>
      </c>
      <c r="N5" s="1" t="s">
        <v>997</v>
      </c>
      <c r="O5" s="1" t="s">
        <v>998</v>
      </c>
      <c r="P5" s="1" t="s">
        <v>999</v>
      </c>
      <c r="Q5" s="1" t="s">
        <v>1000</v>
      </c>
      <c r="R5" s="1" t="s">
        <v>1001</v>
      </c>
      <c r="S5" s="1" t="s">
        <v>1002</v>
      </c>
      <c r="T5" s="1" t="s">
        <v>1003</v>
      </c>
      <c r="U5" s="1" t="s">
        <v>1004</v>
      </c>
      <c r="V5" s="1" t="s">
        <v>1005</v>
      </c>
      <c r="W5" s="1" t="s">
        <v>1006</v>
      </c>
      <c r="X5" s="1" t="s">
        <v>1007</v>
      </c>
      <c r="Y5" s="1" t="s">
        <v>1008</v>
      </c>
      <c r="Z5" s="1" t="s">
        <v>1009</v>
      </c>
      <c r="AA5" s="1" t="s">
        <v>1010</v>
      </c>
      <c r="AB5" s="1" t="s">
        <v>1011</v>
      </c>
      <c r="AC5" s="1"/>
    </row>
    <row r="6" spans="2:29">
      <c r="B6">
        <v>119</v>
      </c>
      <c r="C6" t="s">
        <v>1012</v>
      </c>
      <c r="D6" s="1" t="s">
        <v>1013</v>
      </c>
      <c r="E6" s="1" t="s">
        <v>1014</v>
      </c>
      <c r="F6" s="1" t="s">
        <v>1015</v>
      </c>
      <c r="G6" s="1" t="s">
        <v>1016</v>
      </c>
      <c r="H6" s="1" t="s">
        <v>1017</v>
      </c>
      <c r="I6" s="1" t="s">
        <v>1018</v>
      </c>
      <c r="J6" s="1" t="s">
        <v>1019</v>
      </c>
      <c r="K6" s="1" t="s">
        <v>1020</v>
      </c>
      <c r="L6" s="1" t="s">
        <v>1021</v>
      </c>
      <c r="M6" s="1" t="s">
        <v>1022</v>
      </c>
      <c r="N6" s="1" t="s">
        <v>1023</v>
      </c>
      <c r="O6" s="1" t="s">
        <v>1024</v>
      </c>
      <c r="P6" s="1" t="s">
        <v>1025</v>
      </c>
      <c r="Q6" s="1" t="s">
        <v>1026</v>
      </c>
      <c r="R6" s="1" t="s">
        <v>1027</v>
      </c>
      <c r="S6" s="1" t="s">
        <v>1028</v>
      </c>
      <c r="T6" s="1" t="s">
        <v>1029</v>
      </c>
      <c r="U6" s="1" t="s">
        <v>1030</v>
      </c>
      <c r="V6" s="1" t="s">
        <v>1031</v>
      </c>
      <c r="W6" s="1" t="s">
        <v>1032</v>
      </c>
      <c r="X6" s="1" t="s">
        <v>1033</v>
      </c>
      <c r="Y6" s="1" t="s">
        <v>1034</v>
      </c>
      <c r="Z6" s="1" t="s">
        <v>1035</v>
      </c>
      <c r="AA6" s="1" t="s">
        <v>1036</v>
      </c>
      <c r="AB6" s="1" t="s">
        <v>1037</v>
      </c>
      <c r="AC6" s="1"/>
    </row>
    <row r="7" spans="2:29">
      <c r="B7">
        <v>141</v>
      </c>
      <c r="C7" t="s">
        <v>1038</v>
      </c>
      <c r="D7" s="1" t="s">
        <v>1039</v>
      </c>
      <c r="E7" s="1" t="s">
        <v>1040</v>
      </c>
      <c r="F7" s="1" t="s">
        <v>1041</v>
      </c>
      <c r="G7" s="1" t="s">
        <v>1042</v>
      </c>
      <c r="H7" s="1" t="s">
        <v>1043</v>
      </c>
      <c r="I7" s="1" t="s">
        <v>1044</v>
      </c>
      <c r="J7" s="1" t="s">
        <v>1045</v>
      </c>
      <c r="K7" s="1" t="s">
        <v>1046</v>
      </c>
      <c r="L7" s="1" t="s">
        <v>1047</v>
      </c>
      <c r="M7" s="1" t="s">
        <v>1048</v>
      </c>
      <c r="N7" s="1" t="s">
        <v>1049</v>
      </c>
      <c r="O7" s="1" t="s">
        <v>1050</v>
      </c>
      <c r="P7" s="1" t="s">
        <v>1051</v>
      </c>
      <c r="Q7" s="1" t="s">
        <v>1052</v>
      </c>
      <c r="R7" s="1" t="s">
        <v>1053</v>
      </c>
      <c r="S7" s="1" t="s">
        <v>1054</v>
      </c>
      <c r="T7" s="1" t="s">
        <v>1055</v>
      </c>
      <c r="U7" s="1" t="s">
        <v>1056</v>
      </c>
      <c r="V7" s="1" t="s">
        <v>1057</v>
      </c>
      <c r="W7" s="1" t="s">
        <v>1058</v>
      </c>
      <c r="X7" s="1" t="s">
        <v>1059</v>
      </c>
      <c r="Y7" s="1" t="s">
        <v>1060</v>
      </c>
      <c r="Z7" s="1" t="s">
        <v>1061</v>
      </c>
      <c r="AA7" s="1" t="s">
        <v>1062</v>
      </c>
      <c r="AB7" s="1" t="s">
        <v>1063</v>
      </c>
      <c r="AC7" s="1"/>
    </row>
    <row r="8" spans="2:29">
      <c r="B8">
        <v>142</v>
      </c>
      <c r="C8" t="s">
        <v>1064</v>
      </c>
      <c r="D8" s="1" t="s">
        <v>1065</v>
      </c>
      <c r="E8" s="1" t="s">
        <v>1066</v>
      </c>
      <c r="F8" s="1" t="s">
        <v>1067</v>
      </c>
      <c r="G8" s="1" t="s">
        <v>1068</v>
      </c>
      <c r="H8" s="1" t="s">
        <v>1069</v>
      </c>
      <c r="I8" s="1" t="s">
        <v>1070</v>
      </c>
      <c r="J8" s="1" t="s">
        <v>1071</v>
      </c>
      <c r="K8" s="1" t="s">
        <v>1072</v>
      </c>
      <c r="L8" s="1" t="s">
        <v>1073</v>
      </c>
      <c r="M8" s="1" t="s">
        <v>1074</v>
      </c>
      <c r="N8" s="1" t="s">
        <v>1075</v>
      </c>
      <c r="O8" s="1" t="s">
        <v>1076</v>
      </c>
      <c r="P8" s="1" t="s">
        <v>1077</v>
      </c>
      <c r="Q8" s="1" t="s">
        <v>1078</v>
      </c>
      <c r="R8" s="1" t="s">
        <v>1079</v>
      </c>
      <c r="S8" s="1" t="s">
        <v>1080</v>
      </c>
      <c r="T8" s="1" t="s">
        <v>1081</v>
      </c>
      <c r="U8" s="1" t="s">
        <v>1082</v>
      </c>
      <c r="V8" s="1" t="s">
        <v>1083</v>
      </c>
      <c r="W8" s="1" t="s">
        <v>1084</v>
      </c>
      <c r="X8" s="1" t="s">
        <v>1085</v>
      </c>
      <c r="Y8" s="1" t="s">
        <v>1086</v>
      </c>
      <c r="Z8" s="1" t="s">
        <v>1087</v>
      </c>
      <c r="AA8" s="1" t="s">
        <v>1088</v>
      </c>
      <c r="AB8" s="1" t="s">
        <v>1089</v>
      </c>
      <c r="AC8" s="1"/>
    </row>
    <row r="9" spans="2:29">
      <c r="B9">
        <v>143</v>
      </c>
      <c r="C9" t="s">
        <v>1090</v>
      </c>
      <c r="D9" s="1" t="s">
        <v>1091</v>
      </c>
      <c r="E9" s="1" t="s">
        <v>1092</v>
      </c>
      <c r="F9" s="1" t="s">
        <v>1093</v>
      </c>
      <c r="G9" s="1" t="s">
        <v>1094</v>
      </c>
      <c r="H9" s="1" t="s">
        <v>1095</v>
      </c>
      <c r="I9" s="1" t="s">
        <v>1096</v>
      </c>
      <c r="J9" s="1" t="s">
        <v>1097</v>
      </c>
      <c r="K9" s="1" t="s">
        <v>1098</v>
      </c>
      <c r="L9" s="1" t="s">
        <v>1099</v>
      </c>
      <c r="M9" s="1" t="s">
        <v>1100</v>
      </c>
      <c r="N9" s="1" t="s">
        <v>1101</v>
      </c>
      <c r="O9" s="1" t="s">
        <v>1102</v>
      </c>
      <c r="P9" s="1" t="s">
        <v>1103</v>
      </c>
      <c r="Q9" s="1" t="s">
        <v>1104</v>
      </c>
      <c r="R9" s="1" t="s">
        <v>1105</v>
      </c>
      <c r="S9" s="1" t="s">
        <v>1106</v>
      </c>
      <c r="T9" s="1" t="s">
        <v>1107</v>
      </c>
      <c r="U9" s="1" t="s">
        <v>1108</v>
      </c>
      <c r="V9" s="1" t="s">
        <v>1109</v>
      </c>
      <c r="W9" s="1" t="s">
        <v>1110</v>
      </c>
      <c r="X9" s="1" t="s">
        <v>1111</v>
      </c>
      <c r="Y9" s="1" t="s">
        <v>1112</v>
      </c>
      <c r="Z9" s="1" t="s">
        <v>1113</v>
      </c>
      <c r="AA9" s="1" t="s">
        <v>1114</v>
      </c>
      <c r="AB9" s="1" t="s">
        <v>1115</v>
      </c>
      <c r="AC9" s="1"/>
    </row>
    <row r="10" spans="2:29">
      <c r="B10">
        <v>144</v>
      </c>
      <c r="C10" t="s">
        <v>1116</v>
      </c>
      <c r="D10" s="1" t="s">
        <v>1117</v>
      </c>
      <c r="E10" s="1" t="s">
        <v>1118</v>
      </c>
      <c r="F10" s="1" t="s">
        <v>1119</v>
      </c>
      <c r="G10" s="1" t="s">
        <v>1120</v>
      </c>
      <c r="H10" s="1" t="s">
        <v>1121</v>
      </c>
      <c r="I10" s="1" t="s">
        <v>1122</v>
      </c>
      <c r="J10" s="1" t="s">
        <v>1123</v>
      </c>
      <c r="K10" s="1" t="s">
        <v>1124</v>
      </c>
      <c r="L10" s="1" t="s">
        <v>1125</v>
      </c>
      <c r="M10" s="1" t="s">
        <v>1126</v>
      </c>
      <c r="N10" s="1" t="s">
        <v>1127</v>
      </c>
      <c r="O10" s="1" t="s">
        <v>1128</v>
      </c>
      <c r="P10" s="1" t="s">
        <v>1129</v>
      </c>
      <c r="Q10" s="1" t="s">
        <v>1130</v>
      </c>
      <c r="R10" s="1" t="s">
        <v>1131</v>
      </c>
      <c r="S10" s="1" t="s">
        <v>1132</v>
      </c>
      <c r="T10" s="1" t="s">
        <v>1133</v>
      </c>
      <c r="U10" s="1" t="s">
        <v>1134</v>
      </c>
      <c r="V10" s="1" t="s">
        <v>1135</v>
      </c>
      <c r="W10" s="1" t="s">
        <v>1136</v>
      </c>
      <c r="X10" s="1" t="s">
        <v>1137</v>
      </c>
      <c r="Y10" s="1" t="s">
        <v>1138</v>
      </c>
      <c r="Z10" s="1" t="s">
        <v>1139</v>
      </c>
      <c r="AA10" s="1" t="s">
        <v>1140</v>
      </c>
      <c r="AB10" s="1" t="s">
        <v>1141</v>
      </c>
      <c r="AC10" s="1"/>
    </row>
    <row r="11" spans="2:29" ht="15.05">
      <c r="B11">
        <v>145</v>
      </c>
      <c r="C11" t="s">
        <v>1142</v>
      </c>
      <c r="D11" s="1" t="s">
        <v>1143</v>
      </c>
      <c r="E11" s="1" t="s">
        <v>1144</v>
      </c>
      <c r="F11" s="1" t="s">
        <v>1145</v>
      </c>
      <c r="G11" s="1" t="s">
        <v>1146</v>
      </c>
      <c r="H11" s="1" t="s">
        <v>1147</v>
      </c>
      <c r="I11" s="1" t="s">
        <v>1148</v>
      </c>
      <c r="J11" s="1" t="s">
        <v>1149</v>
      </c>
      <c r="K11" s="1" t="s">
        <v>1150</v>
      </c>
      <c r="L11" s="1" t="s">
        <v>1151</v>
      </c>
      <c r="M11" s="1" t="s">
        <v>1152</v>
      </c>
      <c r="N11" s="1" t="s">
        <v>1153</v>
      </c>
      <c r="O11" s="1" t="s">
        <v>1154</v>
      </c>
      <c r="P11" s="1" t="s">
        <v>1155</v>
      </c>
      <c r="Q11" s="1" t="s">
        <v>1156</v>
      </c>
      <c r="R11" s="1" t="s">
        <v>1157</v>
      </c>
      <c r="S11" s="1" t="s">
        <v>1158</v>
      </c>
      <c r="T11" s="1" t="s">
        <v>1159</v>
      </c>
      <c r="U11" s="1" t="s">
        <v>1160</v>
      </c>
      <c r="V11" s="1" t="s">
        <v>1161</v>
      </c>
      <c r="W11" s="1" t="s">
        <v>1162</v>
      </c>
      <c r="X11" s="1" t="s">
        <v>1163</v>
      </c>
      <c r="Y11" s="1" t="s">
        <v>1164</v>
      </c>
      <c r="Z11" s="1" t="s">
        <v>1165</v>
      </c>
      <c r="AA11" s="1" t="s">
        <v>1166</v>
      </c>
      <c r="AB11" s="1" t="s">
        <v>1167</v>
      </c>
      <c r="AC11" s="1"/>
    </row>
    <row r="12" spans="2:29">
      <c r="B12">
        <v>146</v>
      </c>
      <c r="C12" t="s">
        <v>1168</v>
      </c>
      <c r="D12" s="1" t="s">
        <v>1169</v>
      </c>
      <c r="E12" s="1" t="s">
        <v>1170</v>
      </c>
      <c r="F12" s="1" t="s">
        <v>1171</v>
      </c>
      <c r="G12" s="1" t="s">
        <v>1172</v>
      </c>
      <c r="H12" s="1" t="s">
        <v>1173</v>
      </c>
      <c r="I12" s="1" t="s">
        <v>1174</v>
      </c>
      <c r="J12" s="1" t="s">
        <v>1175</v>
      </c>
      <c r="K12" s="1" t="s">
        <v>1176</v>
      </c>
      <c r="L12" s="1" t="s">
        <v>1177</v>
      </c>
      <c r="M12" s="1" t="s">
        <v>1178</v>
      </c>
      <c r="N12" s="1" t="s">
        <v>1179</v>
      </c>
      <c r="O12" s="1" t="s">
        <v>1180</v>
      </c>
      <c r="P12" s="1" t="s">
        <v>1181</v>
      </c>
      <c r="Q12" s="1" t="s">
        <v>1182</v>
      </c>
      <c r="R12" s="1" t="s">
        <v>1183</v>
      </c>
      <c r="S12" s="1" t="s">
        <v>1184</v>
      </c>
      <c r="T12" s="1" t="s">
        <v>1185</v>
      </c>
      <c r="U12" s="1" t="s">
        <v>1186</v>
      </c>
      <c r="V12" s="1" t="s">
        <v>1187</v>
      </c>
      <c r="W12" s="1" t="s">
        <v>1188</v>
      </c>
      <c r="X12" s="1" t="s">
        <v>1189</v>
      </c>
      <c r="Y12" s="1" t="s">
        <v>1190</v>
      </c>
      <c r="Z12" s="1" t="s">
        <v>1191</v>
      </c>
      <c r="AA12" s="1" t="s">
        <v>1192</v>
      </c>
      <c r="AB12" s="1" t="s">
        <v>1193</v>
      </c>
      <c r="AC12" s="1"/>
    </row>
    <row r="13" spans="2:29" ht="15.05">
      <c r="B13">
        <v>148</v>
      </c>
      <c r="C13" t="s">
        <v>1194</v>
      </c>
      <c r="D13" s="1" t="s">
        <v>1195</v>
      </c>
      <c r="E13" s="1" t="s">
        <v>1196</v>
      </c>
      <c r="F13" s="1" t="s">
        <v>1197</v>
      </c>
      <c r="G13" s="1" t="s">
        <v>1198</v>
      </c>
      <c r="H13" s="1" t="s">
        <v>1199</v>
      </c>
      <c r="I13" s="1" t="s">
        <v>1200</v>
      </c>
      <c r="J13" s="1" t="s">
        <v>1201</v>
      </c>
      <c r="K13" s="1" t="s">
        <v>1202</v>
      </c>
      <c r="L13" s="1" t="s">
        <v>1203</v>
      </c>
      <c r="M13" s="1" t="s">
        <v>1204</v>
      </c>
      <c r="N13" s="1" t="s">
        <v>1205</v>
      </c>
      <c r="O13" s="1" t="s">
        <v>1206</v>
      </c>
      <c r="P13" s="1" t="s">
        <v>1207</v>
      </c>
      <c r="Q13" s="1" t="s">
        <v>1208</v>
      </c>
      <c r="R13" s="1" t="s">
        <v>1209</v>
      </c>
      <c r="S13" s="1" t="s">
        <v>1210</v>
      </c>
      <c r="T13" s="1" t="s">
        <v>1211</v>
      </c>
      <c r="U13" s="1" t="s">
        <v>1212</v>
      </c>
      <c r="V13" s="1" t="s">
        <v>1213</v>
      </c>
      <c r="W13" s="1" t="s">
        <v>1214</v>
      </c>
      <c r="X13" s="1" t="s">
        <v>1215</v>
      </c>
      <c r="Y13" s="1" t="s">
        <v>1216</v>
      </c>
      <c r="Z13" s="1" t="s">
        <v>1217</v>
      </c>
      <c r="AA13" s="1" t="s">
        <v>1218</v>
      </c>
      <c r="AB13" s="1" t="s">
        <v>1219</v>
      </c>
      <c r="AC13" s="1"/>
    </row>
    <row r="14" spans="2:29">
      <c r="B14">
        <v>149</v>
      </c>
      <c r="C14" t="s">
        <v>1220</v>
      </c>
      <c r="D14" s="1" t="s">
        <v>1221</v>
      </c>
      <c r="E14" s="1" t="s">
        <v>1222</v>
      </c>
      <c r="F14" s="1" t="s">
        <v>1223</v>
      </c>
      <c r="G14" s="1" t="s">
        <v>1224</v>
      </c>
      <c r="H14" s="1" t="s">
        <v>1225</v>
      </c>
      <c r="I14" s="1" t="s">
        <v>1226</v>
      </c>
      <c r="J14" s="1" t="s">
        <v>1227</v>
      </c>
      <c r="K14" s="1" t="s">
        <v>1228</v>
      </c>
      <c r="L14" s="1" t="s">
        <v>1229</v>
      </c>
      <c r="M14" s="1" t="s">
        <v>1230</v>
      </c>
      <c r="N14" s="1" t="s">
        <v>1231</v>
      </c>
      <c r="O14" s="1" t="s">
        <v>1232</v>
      </c>
      <c r="P14" s="1" t="s">
        <v>1233</v>
      </c>
      <c r="Q14" s="1" t="s">
        <v>1234</v>
      </c>
      <c r="R14" s="1" t="s">
        <v>1235</v>
      </c>
      <c r="S14" s="1" t="s">
        <v>1236</v>
      </c>
      <c r="T14" s="1" t="s">
        <v>1237</v>
      </c>
      <c r="U14" s="1" t="s">
        <v>1238</v>
      </c>
      <c r="V14" s="1" t="s">
        <v>1239</v>
      </c>
      <c r="W14" s="1" t="s">
        <v>1240</v>
      </c>
      <c r="X14" s="1" t="s">
        <v>1241</v>
      </c>
      <c r="Y14" s="1" t="s">
        <v>1242</v>
      </c>
      <c r="Z14" s="1" t="s">
        <v>1243</v>
      </c>
      <c r="AA14" s="1" t="s">
        <v>1244</v>
      </c>
      <c r="AB14" s="1" t="s">
        <v>1245</v>
      </c>
      <c r="AC14" s="1"/>
    </row>
  </sheetData>
  <phoneticPr fontId="9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0" tint="-0.14996795556505021"/>
  </sheetPr>
  <dimension ref="A1:G118"/>
  <sheetViews>
    <sheetView workbookViewId="0">
      <pane ySplit="2" topLeftCell="A3" activePane="bottomLeft" state="frozen"/>
      <selection pane="bottomLeft" activeCell="F20" sqref="F20"/>
    </sheetView>
  </sheetViews>
  <sheetFormatPr defaultColWidth="9" defaultRowHeight="14.35"/>
  <cols>
    <col min="1" max="1" width="29.25" customWidth="1"/>
    <col min="2" max="2" width="23.75" customWidth="1"/>
    <col min="3" max="3" width="20" customWidth="1"/>
    <col min="4" max="4" width="2" customWidth="1"/>
    <col min="5" max="7" width="8.1875" bestFit="1" customWidth="1"/>
  </cols>
  <sheetData>
    <row r="1" spans="1:7" ht="19.649999999999999" customHeight="1">
      <c r="A1" s="767"/>
      <c r="B1" s="212"/>
      <c r="C1" s="212"/>
      <c r="D1" s="435"/>
      <c r="E1" s="768"/>
      <c r="F1" s="768"/>
      <c r="G1" s="768"/>
    </row>
    <row r="2" spans="1:7">
      <c r="A2" s="769"/>
      <c r="B2" s="770" t="s">
        <v>1246</v>
      </c>
      <c r="C2" s="771"/>
      <c r="D2" s="772"/>
      <c r="E2" s="312">
        <v>43830</v>
      </c>
      <c r="F2" s="312">
        <v>44196</v>
      </c>
      <c r="G2" s="312">
        <v>44561</v>
      </c>
    </row>
    <row r="3" spans="1:7">
      <c r="A3" s="773" t="s">
        <v>1247</v>
      </c>
      <c r="B3" s="774"/>
      <c r="C3" s="435"/>
      <c r="D3" s="435"/>
      <c r="E3" s="768"/>
      <c r="F3" s="768"/>
      <c r="G3" s="768"/>
    </row>
    <row r="4" spans="1:7" ht="15.35">
      <c r="A4" s="353" t="s">
        <v>1248</v>
      </c>
      <c r="B4" s="775"/>
      <c r="C4" s="776"/>
      <c r="D4" s="212"/>
      <c r="E4" s="768"/>
      <c r="F4" s="768"/>
      <c r="G4" s="768"/>
    </row>
    <row r="5" spans="1:7" ht="15.1" customHeight="1">
      <c r="A5" s="777" t="s">
        <v>1249</v>
      </c>
      <c r="B5" s="778" t="s">
        <v>1250</v>
      </c>
      <c r="C5" s="779"/>
      <c r="D5" s="212"/>
      <c r="E5" s="780"/>
      <c r="F5" s="781"/>
      <c r="G5" s="781"/>
    </row>
    <row r="6" spans="1:7" ht="15.1" customHeight="1">
      <c r="A6" s="777" t="s">
        <v>1251</v>
      </c>
      <c r="B6" s="778" t="s">
        <v>1252</v>
      </c>
      <c r="C6" s="779"/>
      <c r="D6" s="212"/>
      <c r="E6" s="782"/>
      <c r="F6" s="783"/>
      <c r="G6" s="783"/>
    </row>
    <row r="7" spans="1:7" ht="15.1" customHeight="1">
      <c r="A7" s="777" t="s">
        <v>1253</v>
      </c>
      <c r="B7" s="778" t="s">
        <v>1254</v>
      </c>
      <c r="C7" s="784"/>
      <c r="D7" s="408"/>
      <c r="E7" s="782"/>
      <c r="F7" s="783"/>
      <c r="G7" s="783"/>
    </row>
    <row r="8" spans="1:7" ht="15.1" customHeight="1">
      <c r="A8" s="777" t="s">
        <v>1255</v>
      </c>
      <c r="B8" s="778" t="s">
        <v>1256</v>
      </c>
      <c r="C8" s="784"/>
      <c r="D8" s="408"/>
      <c r="E8" s="782"/>
      <c r="F8" s="783"/>
      <c r="G8" s="783"/>
    </row>
    <row r="9" spans="1:7" ht="15.1" customHeight="1">
      <c r="A9" s="777" t="s">
        <v>1257</v>
      </c>
      <c r="B9" s="778" t="s">
        <v>1258</v>
      </c>
      <c r="C9" s="784"/>
      <c r="D9" s="408"/>
      <c r="E9" s="782"/>
      <c r="F9" s="783"/>
      <c r="G9" s="783"/>
    </row>
    <row r="10" spans="1:7" ht="15.1" customHeight="1">
      <c r="A10" s="777" t="s">
        <v>1259</v>
      </c>
      <c r="B10" s="778" t="s">
        <v>1260</v>
      </c>
      <c r="C10" s="784"/>
      <c r="D10" s="408"/>
      <c r="E10" s="782"/>
      <c r="F10" s="783"/>
      <c r="G10" s="783"/>
    </row>
    <row r="11" spans="1:7" ht="15.1" customHeight="1">
      <c r="A11" s="777" t="s">
        <v>1261</v>
      </c>
      <c r="B11" s="785" t="s">
        <v>1262</v>
      </c>
      <c r="C11" s="784"/>
      <c r="D11" s="786"/>
      <c r="E11" s="782"/>
      <c r="F11" s="783"/>
      <c r="G11" s="783"/>
    </row>
    <row r="12" spans="1:7" ht="15.1" customHeight="1">
      <c r="A12" s="777" t="s">
        <v>1263</v>
      </c>
      <c r="B12" s="785" t="s">
        <v>1262</v>
      </c>
      <c r="C12" s="784"/>
      <c r="D12" s="786"/>
      <c r="E12" s="782"/>
      <c r="F12" s="783"/>
      <c r="G12" s="783"/>
    </row>
    <row r="13" spans="1:7" ht="15.1" customHeight="1">
      <c r="A13" s="777" t="s">
        <v>1264</v>
      </c>
      <c r="B13" s="778" t="s">
        <v>870</v>
      </c>
      <c r="C13" s="784"/>
      <c r="D13" s="212"/>
      <c r="E13" s="787"/>
      <c r="F13" s="788"/>
      <c r="G13" s="788"/>
    </row>
    <row r="14" spans="1:7" ht="15.1" customHeight="1">
      <c r="A14" s="789" t="s">
        <v>1265</v>
      </c>
      <c r="B14" s="790"/>
      <c r="C14" s="791"/>
      <c r="D14" s="786"/>
      <c r="E14" s="768"/>
      <c r="F14" s="768"/>
      <c r="G14" s="768"/>
    </row>
    <row r="15" spans="1:7" ht="15.1" customHeight="1">
      <c r="A15" s="777" t="s">
        <v>1266</v>
      </c>
      <c r="B15" s="785" t="s">
        <v>1262</v>
      </c>
      <c r="C15" s="792"/>
      <c r="D15" s="786"/>
      <c r="E15" s="793"/>
      <c r="F15" s="794"/>
      <c r="G15" s="794"/>
    </row>
    <row r="16" spans="1:7" ht="15.1" customHeight="1">
      <c r="A16" s="777" t="s">
        <v>1267</v>
      </c>
      <c r="B16" s="785" t="s">
        <v>1262</v>
      </c>
      <c r="C16" s="792"/>
      <c r="D16" s="786"/>
      <c r="E16" s="782"/>
      <c r="F16" s="783"/>
      <c r="G16" s="783"/>
    </row>
    <row r="17" spans="1:7" ht="15.1" customHeight="1">
      <c r="A17" s="777" t="s">
        <v>1268</v>
      </c>
      <c r="B17" s="785" t="s">
        <v>1262</v>
      </c>
      <c r="C17" s="792"/>
      <c r="D17" s="786"/>
      <c r="E17" s="782"/>
      <c r="F17" s="783"/>
      <c r="G17" s="783"/>
    </row>
    <row r="18" spans="1:7" ht="15.1" customHeight="1">
      <c r="A18" s="795" t="s">
        <v>1269</v>
      </c>
      <c r="B18" s="785" t="s">
        <v>1262</v>
      </c>
      <c r="C18" s="792"/>
      <c r="D18" s="212"/>
      <c r="E18" s="787"/>
      <c r="F18" s="788"/>
      <c r="G18" s="788"/>
    </row>
    <row r="19" spans="1:7" ht="15.1" customHeight="1">
      <c r="A19" s="789" t="s">
        <v>1270</v>
      </c>
      <c r="B19" s="796"/>
      <c r="C19" s="797"/>
      <c r="D19" s="212"/>
      <c r="E19" s="768"/>
      <c r="F19" s="768"/>
      <c r="G19" s="768"/>
    </row>
    <row r="20" spans="1:7" ht="15.1" customHeight="1">
      <c r="A20" s="777" t="s">
        <v>1271</v>
      </c>
      <c r="B20" s="778" t="s">
        <v>1272</v>
      </c>
      <c r="C20" s="792"/>
      <c r="D20" s="212"/>
      <c r="E20" s="793"/>
      <c r="F20" s="794"/>
      <c r="G20" s="794"/>
    </row>
    <row r="21" spans="1:7" ht="15.1" customHeight="1">
      <c r="A21" s="777" t="s">
        <v>1273</v>
      </c>
      <c r="B21" s="778" t="s">
        <v>1274</v>
      </c>
      <c r="C21" s="792"/>
      <c r="D21" s="212"/>
      <c r="E21" s="787"/>
      <c r="F21" s="788"/>
      <c r="G21" s="788"/>
    </row>
    <row r="22" spans="1:7" ht="15.1" customHeight="1">
      <c r="A22" s="212"/>
      <c r="B22" s="798"/>
      <c r="C22" s="799"/>
      <c r="D22" s="435"/>
      <c r="E22" s="800"/>
      <c r="F22" s="768"/>
      <c r="G22" s="768"/>
    </row>
    <row r="23" spans="1:7" ht="15.1" customHeight="1">
      <c r="A23" s="801" t="s">
        <v>1275</v>
      </c>
      <c r="B23" s="802"/>
      <c r="C23" s="803"/>
      <c r="D23" s="435"/>
      <c r="E23" s="768"/>
      <c r="F23" s="768"/>
      <c r="G23" s="768"/>
    </row>
    <row r="24" spans="1:7" ht="15.1" customHeight="1">
      <c r="A24" s="789" t="s">
        <v>1276</v>
      </c>
      <c r="B24" s="790"/>
      <c r="C24" s="804"/>
      <c r="D24" s="435"/>
      <c r="E24" s="768"/>
      <c r="F24" s="768"/>
      <c r="G24" s="768"/>
    </row>
    <row r="25" spans="1:7" ht="15.1" customHeight="1">
      <c r="A25" s="777" t="s">
        <v>1277</v>
      </c>
      <c r="B25" s="785" t="s">
        <v>1262</v>
      </c>
      <c r="C25" s="792"/>
      <c r="D25" s="212"/>
      <c r="E25" s="793"/>
      <c r="F25" s="794"/>
      <c r="G25" s="794"/>
    </row>
    <row r="26" spans="1:7" ht="15.1" customHeight="1">
      <c r="A26" s="777" t="s">
        <v>1278</v>
      </c>
      <c r="B26" s="778" t="s">
        <v>1279</v>
      </c>
      <c r="C26" s="792"/>
      <c r="D26" s="212"/>
      <c r="E26" s="782"/>
      <c r="F26" s="783"/>
      <c r="G26" s="783"/>
    </row>
    <row r="27" spans="1:7" ht="15.1" customHeight="1">
      <c r="A27" s="777" t="s">
        <v>1280</v>
      </c>
      <c r="B27" s="778" t="s">
        <v>1281</v>
      </c>
      <c r="C27" s="792"/>
      <c r="D27" s="212"/>
      <c r="E27" s="782"/>
      <c r="F27" s="783"/>
      <c r="G27" s="783"/>
    </row>
    <row r="28" spans="1:7" ht="15.1" customHeight="1">
      <c r="A28" s="777" t="s">
        <v>1282</v>
      </c>
      <c r="B28" s="778" t="s">
        <v>1283</v>
      </c>
      <c r="C28" s="792"/>
      <c r="D28" s="212"/>
      <c r="E28" s="782"/>
      <c r="F28" s="783"/>
      <c r="G28" s="783"/>
    </row>
    <row r="29" spans="1:7" ht="15.1" customHeight="1">
      <c r="A29" s="777" t="s">
        <v>1284</v>
      </c>
      <c r="B29" s="778" t="s">
        <v>1285</v>
      </c>
      <c r="C29" s="792"/>
      <c r="D29" s="212"/>
      <c r="E29" s="782"/>
      <c r="F29" s="783"/>
      <c r="G29" s="783"/>
    </row>
    <row r="30" spans="1:7" ht="15.1" customHeight="1">
      <c r="A30" s="777" t="s">
        <v>1286</v>
      </c>
      <c r="B30" s="785" t="s">
        <v>1262</v>
      </c>
      <c r="C30" s="792"/>
      <c r="D30" s="212"/>
      <c r="E30" s="782"/>
      <c r="F30" s="783"/>
      <c r="G30" s="783"/>
    </row>
    <row r="31" spans="1:7" ht="15.1" customHeight="1">
      <c r="A31" s="777" t="s">
        <v>1287</v>
      </c>
      <c r="B31" s="785" t="s">
        <v>1262</v>
      </c>
      <c r="C31" s="792"/>
      <c r="D31" s="212"/>
      <c r="E31" s="782"/>
      <c r="F31" s="783"/>
      <c r="G31" s="783"/>
    </row>
    <row r="32" spans="1:7" ht="15.1" customHeight="1">
      <c r="A32" s="777" t="s">
        <v>1288</v>
      </c>
      <c r="B32" s="785" t="s">
        <v>1262</v>
      </c>
      <c r="C32" s="792"/>
      <c r="D32" s="212"/>
      <c r="E32" s="782"/>
      <c r="F32" s="783"/>
      <c r="G32" s="783"/>
    </row>
    <row r="33" spans="1:7" ht="15.1" customHeight="1">
      <c r="A33" s="777" t="s">
        <v>1289</v>
      </c>
      <c r="B33" s="785" t="s">
        <v>1262</v>
      </c>
      <c r="C33" s="792"/>
      <c r="D33" s="212"/>
      <c r="E33" s="782"/>
      <c r="F33" s="783"/>
      <c r="G33" s="783"/>
    </row>
    <row r="34" spans="1:7" ht="15.1" customHeight="1">
      <c r="A34" s="777"/>
      <c r="B34" s="785"/>
      <c r="C34" s="792"/>
      <c r="D34" s="805"/>
      <c r="E34" s="782"/>
      <c r="F34" s="783"/>
      <c r="G34" s="783"/>
    </row>
    <row r="35" spans="1:7" ht="15.1" customHeight="1">
      <c r="A35" s="777" t="s">
        <v>1290</v>
      </c>
      <c r="B35" s="785" t="s">
        <v>1262</v>
      </c>
      <c r="C35" s="792"/>
      <c r="D35" s="212"/>
      <c r="E35" s="787"/>
      <c r="F35" s="788"/>
      <c r="G35" s="788"/>
    </row>
    <row r="36" spans="1:7" ht="15.1" customHeight="1">
      <c r="A36" s="789" t="s">
        <v>1291</v>
      </c>
      <c r="B36" s="790"/>
      <c r="C36" s="806"/>
      <c r="D36" s="212"/>
      <c r="E36" s="768"/>
      <c r="F36" s="768"/>
      <c r="G36" s="768"/>
    </row>
    <row r="37" spans="1:7" ht="15.1" customHeight="1">
      <c r="A37" s="777" t="s">
        <v>1292</v>
      </c>
      <c r="B37" s="785" t="s">
        <v>1262</v>
      </c>
      <c r="C37" s="792"/>
      <c r="D37" s="212"/>
      <c r="E37" s="793"/>
      <c r="F37" s="794"/>
      <c r="G37" s="794"/>
    </row>
    <row r="38" spans="1:7" ht="15.1" customHeight="1">
      <c r="A38" s="777" t="s">
        <v>1293</v>
      </c>
      <c r="B38" s="778" t="s">
        <v>1294</v>
      </c>
      <c r="C38" s="792"/>
      <c r="D38" s="212"/>
      <c r="E38" s="782"/>
      <c r="F38" s="783"/>
      <c r="G38" s="783"/>
    </row>
    <row r="39" spans="1:7" ht="15.1" customHeight="1">
      <c r="A39" s="777" t="s">
        <v>1295</v>
      </c>
      <c r="B39" s="778" t="s">
        <v>1296</v>
      </c>
      <c r="C39" s="792"/>
      <c r="D39" s="805"/>
      <c r="E39" s="782"/>
      <c r="F39" s="783"/>
      <c r="G39" s="783"/>
    </row>
    <row r="40" spans="1:7" ht="15.1" customHeight="1">
      <c r="A40" s="777" t="s">
        <v>1297</v>
      </c>
      <c r="B40" s="785" t="s">
        <v>1262</v>
      </c>
      <c r="C40" s="792"/>
      <c r="D40" s="212"/>
      <c r="E40" s="782"/>
      <c r="F40" s="783"/>
      <c r="G40" s="783"/>
    </row>
    <row r="41" spans="1:7" ht="15.1" customHeight="1">
      <c r="A41" s="777" t="s">
        <v>1298</v>
      </c>
      <c r="B41" s="785" t="s">
        <v>1262</v>
      </c>
      <c r="C41" s="792"/>
      <c r="D41" s="212"/>
      <c r="E41" s="782"/>
      <c r="F41" s="783"/>
      <c r="G41" s="783"/>
    </row>
    <row r="42" spans="1:7" ht="15.1" customHeight="1">
      <c r="A42" s="777" t="s">
        <v>1299</v>
      </c>
      <c r="B42" s="785" t="s">
        <v>1262</v>
      </c>
      <c r="C42" s="792"/>
      <c r="D42" s="212"/>
      <c r="E42" s="782"/>
      <c r="F42" s="783"/>
      <c r="G42" s="783"/>
    </row>
    <row r="43" spans="1:7" ht="15.1" customHeight="1">
      <c r="A43" s="777" t="s">
        <v>1300</v>
      </c>
      <c r="B43" s="785" t="s">
        <v>1262</v>
      </c>
      <c r="C43" s="792"/>
      <c r="D43" s="212"/>
      <c r="E43" s="782"/>
      <c r="F43" s="783"/>
      <c r="G43" s="783"/>
    </row>
    <row r="44" spans="1:7" ht="15.1" customHeight="1">
      <c r="A44" s="777" t="s">
        <v>1301</v>
      </c>
      <c r="B44" s="785" t="s">
        <v>1262</v>
      </c>
      <c r="C44" s="792"/>
      <c r="D44" s="212"/>
      <c r="E44" s="782"/>
      <c r="F44" s="783"/>
      <c r="G44" s="783"/>
    </row>
    <row r="45" spans="1:7" ht="15.1" customHeight="1">
      <c r="A45" s="777" t="s">
        <v>1302</v>
      </c>
      <c r="B45" s="785" t="s">
        <v>1262</v>
      </c>
      <c r="C45" s="792"/>
      <c r="D45" s="212"/>
      <c r="E45" s="782"/>
      <c r="F45" s="783"/>
      <c r="G45" s="783"/>
    </row>
    <row r="46" spans="1:7" ht="15.1" customHeight="1">
      <c r="A46" s="777" t="s">
        <v>1303</v>
      </c>
      <c r="B46" s="785" t="s">
        <v>1262</v>
      </c>
      <c r="C46" s="792"/>
      <c r="D46" s="212"/>
      <c r="E46" s="787"/>
      <c r="F46" s="788"/>
      <c r="G46" s="788"/>
    </row>
    <row r="47" spans="1:7" ht="15.1" customHeight="1">
      <c r="A47" s="789" t="s">
        <v>1304</v>
      </c>
      <c r="B47" s="790"/>
      <c r="C47" s="806"/>
      <c r="D47" s="212"/>
      <c r="E47" s="768"/>
      <c r="F47" s="768"/>
      <c r="G47" s="768"/>
    </row>
    <row r="48" spans="1:7" ht="15.1" customHeight="1">
      <c r="A48" s="777" t="s">
        <v>1305</v>
      </c>
      <c r="B48" s="785" t="s">
        <v>1262</v>
      </c>
      <c r="C48" s="792"/>
      <c r="D48" s="212"/>
      <c r="E48" s="807"/>
      <c r="F48" s="808"/>
      <c r="G48" s="808"/>
    </row>
    <row r="49" spans="1:7" ht="15.35">
      <c r="A49" s="212"/>
      <c r="B49" s="798"/>
      <c r="C49" s="798"/>
      <c r="D49" s="809"/>
      <c r="E49" s="768"/>
      <c r="F49" s="768"/>
      <c r="G49" s="768"/>
    </row>
    <row r="50" spans="1:7">
      <c r="A50" s="210"/>
      <c r="B50" s="210"/>
      <c r="C50" s="210"/>
      <c r="D50" s="810"/>
      <c r="E50" s="768"/>
      <c r="F50" s="768"/>
      <c r="G50" s="768"/>
    </row>
    <row r="51" spans="1:7">
      <c r="A51" s="210"/>
      <c r="B51" s="210"/>
      <c r="C51" s="210"/>
      <c r="D51" s="809"/>
      <c r="E51" s="811"/>
      <c r="F51" s="812"/>
      <c r="G51" s="812"/>
    </row>
    <row r="52" spans="1:7">
      <c r="A52" s="210"/>
      <c r="B52" s="210"/>
      <c r="C52" s="210"/>
      <c r="D52" s="809"/>
      <c r="E52" s="812"/>
      <c r="F52" s="812"/>
      <c r="G52" s="812"/>
    </row>
    <row r="53" spans="1:7">
      <c r="A53" s="210"/>
      <c r="B53" s="210"/>
      <c r="C53" s="210"/>
      <c r="D53" s="809"/>
      <c r="E53" s="812"/>
      <c r="F53" s="812"/>
      <c r="G53" s="812"/>
    </row>
    <row r="54" spans="1:7">
      <c r="A54" s="210"/>
      <c r="B54" s="210"/>
      <c r="C54" s="210"/>
      <c r="D54" s="813"/>
      <c r="E54" s="812"/>
      <c r="F54" s="812"/>
      <c r="G54" s="812"/>
    </row>
    <row r="55" spans="1:7">
      <c r="A55" s="814" t="s">
        <v>1306</v>
      </c>
      <c r="B55" s="815"/>
      <c r="C55" s="383"/>
      <c r="D55" s="813"/>
      <c r="E55" s="812"/>
      <c r="F55" s="812"/>
      <c r="G55" s="812"/>
    </row>
    <row r="56" spans="1:7">
      <c r="A56" s="789" t="s">
        <v>1307</v>
      </c>
      <c r="B56" s="816"/>
      <c r="C56" s="383"/>
      <c r="D56" s="813"/>
      <c r="E56" s="812"/>
      <c r="F56" s="812"/>
      <c r="G56" s="812"/>
    </row>
    <row r="57" spans="1:7">
      <c r="A57" s="817" t="s">
        <v>1308</v>
      </c>
      <c r="B57" s="818">
        <v>30</v>
      </c>
      <c r="C57" s="427" t="s">
        <v>1309</v>
      </c>
      <c r="D57" s="813"/>
      <c r="E57" s="819"/>
      <c r="F57" s="820"/>
      <c r="G57" s="820"/>
    </row>
    <row r="58" spans="1:7">
      <c r="A58" s="817" t="s">
        <v>1310</v>
      </c>
      <c r="B58" s="592">
        <v>1</v>
      </c>
      <c r="C58" s="427" t="s">
        <v>1311</v>
      </c>
      <c r="D58" s="813"/>
      <c r="E58" s="821"/>
      <c r="F58" s="822"/>
      <c r="G58" s="822"/>
    </row>
    <row r="59" spans="1:7">
      <c r="A59" s="823"/>
      <c r="B59" s="823"/>
      <c r="C59" s="427"/>
      <c r="D59" s="813"/>
      <c r="E59" s="812"/>
      <c r="F59" s="812"/>
      <c r="G59" s="812"/>
    </row>
    <row r="60" spans="1:7">
      <c r="A60" s="789" t="s">
        <v>907</v>
      </c>
      <c r="B60" s="816"/>
      <c r="C60" s="383"/>
      <c r="D60" s="772"/>
      <c r="E60" s="812"/>
      <c r="F60" s="812"/>
      <c r="G60" s="812"/>
    </row>
    <row r="61" spans="1:7">
      <c r="A61" s="824" t="s">
        <v>1312</v>
      </c>
      <c r="B61" s="818">
        <v>10</v>
      </c>
      <c r="C61" s="427" t="s">
        <v>1309</v>
      </c>
      <c r="D61" s="772"/>
      <c r="E61" s="819"/>
      <c r="F61" s="820"/>
      <c r="G61" s="820"/>
    </row>
    <row r="62" spans="1:7">
      <c r="A62" s="824" t="s">
        <v>1313</v>
      </c>
      <c r="B62" s="818">
        <v>4</v>
      </c>
      <c r="C62" s="427" t="s">
        <v>1314</v>
      </c>
      <c r="D62" s="772"/>
      <c r="E62" s="821"/>
      <c r="F62" s="822"/>
      <c r="G62" s="822"/>
    </row>
    <row r="63" spans="1:7">
      <c r="A63" s="825"/>
      <c r="B63" s="825"/>
      <c r="C63" s="427"/>
      <c r="D63" s="772"/>
      <c r="E63" s="812"/>
      <c r="F63" s="812"/>
      <c r="G63" s="812"/>
    </row>
    <row r="64" spans="1:7">
      <c r="A64" s="789" t="s">
        <v>904</v>
      </c>
      <c r="B64" s="816"/>
      <c r="C64" s="383"/>
      <c r="D64" s="772"/>
      <c r="E64" s="812"/>
      <c r="F64" s="812"/>
      <c r="G64" s="812"/>
    </row>
    <row r="65" spans="1:7">
      <c r="A65" s="826" t="s">
        <v>1315</v>
      </c>
      <c r="B65" s="818">
        <v>2</v>
      </c>
      <c r="C65" s="427" t="s">
        <v>1309</v>
      </c>
      <c r="D65" s="383"/>
      <c r="E65" s="819"/>
      <c r="F65" s="820"/>
      <c r="G65" s="820"/>
    </row>
    <row r="66" spans="1:7">
      <c r="A66" s="827"/>
      <c r="B66" s="435"/>
      <c r="C66" s="215" t="s">
        <v>1311</v>
      </c>
      <c r="D66" s="772"/>
      <c r="E66" s="821"/>
      <c r="F66" s="822"/>
      <c r="G66" s="822"/>
    </row>
    <row r="67" spans="1:7" ht="15.35">
      <c r="A67" s="828"/>
      <c r="B67" s="435"/>
      <c r="C67" s="212"/>
      <c r="D67" s="772"/>
      <c r="E67" s="768"/>
      <c r="F67" s="768"/>
      <c r="G67" s="768"/>
    </row>
    <row r="68" spans="1:7">
      <c r="A68" s="829" t="s">
        <v>1316</v>
      </c>
      <c r="B68" s="830"/>
      <c r="C68" s="831" t="s">
        <v>1317</v>
      </c>
      <c r="D68" s="772"/>
      <c r="E68" s="768"/>
      <c r="F68" s="768"/>
      <c r="G68" s="768"/>
    </row>
    <row r="69" spans="1:7">
      <c r="A69" s="534" t="s">
        <v>1308</v>
      </c>
      <c r="B69" s="818">
        <v>5</v>
      </c>
      <c r="C69" s="569" t="s">
        <v>1318</v>
      </c>
      <c r="D69" s="772"/>
      <c r="E69" s="832"/>
      <c r="F69" s="833"/>
      <c r="G69" s="833"/>
    </row>
    <row r="70" spans="1:7" ht="15.35">
      <c r="A70" s="834"/>
      <c r="B70" s="212"/>
      <c r="C70" s="435"/>
      <c r="D70" s="772"/>
      <c r="E70" s="768"/>
      <c r="F70" s="768"/>
      <c r="G70" s="768"/>
    </row>
    <row r="71" spans="1:7">
      <c r="A71" s="789" t="s">
        <v>902</v>
      </c>
      <c r="B71" s="830"/>
      <c r="C71" s="435"/>
      <c r="D71" s="772"/>
      <c r="E71" s="768"/>
      <c r="F71" s="768"/>
      <c r="G71" s="768"/>
    </row>
    <row r="72" spans="1:7">
      <c r="A72" s="435"/>
      <c r="B72" s="435"/>
      <c r="C72" s="427" t="s">
        <v>1319</v>
      </c>
      <c r="D72" s="772"/>
      <c r="E72" s="819">
        <v>15</v>
      </c>
      <c r="F72" s="820"/>
      <c r="G72" s="820"/>
    </row>
    <row r="73" spans="1:7">
      <c r="A73" s="435"/>
      <c r="B73" s="435"/>
      <c r="C73" s="427" t="s">
        <v>1320</v>
      </c>
      <c r="D73" s="772"/>
      <c r="E73" s="835">
        <v>10</v>
      </c>
      <c r="F73" s="836"/>
      <c r="G73" s="836"/>
    </row>
    <row r="74" spans="1:7">
      <c r="A74" s="837"/>
      <c r="B74" s="799"/>
      <c r="C74" s="422" t="s">
        <v>1321</v>
      </c>
      <c r="D74" s="772"/>
      <c r="E74" s="835">
        <v>10</v>
      </c>
      <c r="F74" s="836"/>
      <c r="G74" s="836"/>
    </row>
    <row r="75" spans="1:7" ht="15.35">
      <c r="A75" s="838"/>
      <c r="B75" s="212"/>
      <c r="C75" s="422" t="s">
        <v>1322</v>
      </c>
      <c r="D75" s="772"/>
      <c r="E75" s="821">
        <v>5</v>
      </c>
      <c r="F75" s="822"/>
      <c r="G75" s="822"/>
    </row>
    <row r="76" spans="1:7" ht="15.35">
      <c r="A76" s="212"/>
      <c r="B76" s="435"/>
      <c r="C76" s="435"/>
      <c r="D76" s="435"/>
      <c r="E76" s="768"/>
      <c r="F76" s="768"/>
      <c r="G76" s="768"/>
    </row>
    <row r="77" spans="1:7">
      <c r="A77" s="789" t="s">
        <v>910</v>
      </c>
      <c r="B77" s="830"/>
      <c r="C77" s="427"/>
      <c r="D77" s="435"/>
      <c r="E77" s="768"/>
      <c r="F77" s="768"/>
      <c r="G77" s="768"/>
    </row>
    <row r="78" spans="1:7">
      <c r="A78" s="839" t="s">
        <v>1312</v>
      </c>
      <c r="B78" s="840">
        <v>2</v>
      </c>
      <c r="C78" s="427" t="s">
        <v>1309</v>
      </c>
      <c r="D78" s="435"/>
      <c r="E78" s="832">
        <v>100</v>
      </c>
      <c r="F78" s="833"/>
      <c r="G78" s="833"/>
    </row>
    <row r="79" spans="1:7" ht="15.35">
      <c r="A79" s="212"/>
      <c r="B79" s="212"/>
      <c r="C79" s="422"/>
      <c r="D79" s="435"/>
      <c r="E79" s="768"/>
      <c r="F79" s="768"/>
      <c r="G79" s="768"/>
    </row>
    <row r="80" spans="1:7" ht="15.35">
      <c r="A80" s="212"/>
      <c r="B80" s="212"/>
      <c r="C80" s="422"/>
      <c r="D80" s="435"/>
      <c r="E80" s="768"/>
      <c r="F80" s="768"/>
      <c r="G80" s="768"/>
    </row>
    <row r="81" spans="1:7" ht="15.35">
      <c r="A81" s="801" t="s">
        <v>1323</v>
      </c>
      <c r="B81" s="212"/>
      <c r="C81" s="427"/>
      <c r="D81" s="435"/>
      <c r="E81" s="768"/>
      <c r="F81" s="768"/>
      <c r="G81" s="768"/>
    </row>
    <row r="82" spans="1:7">
      <c r="A82" s="839" t="s">
        <v>1324</v>
      </c>
      <c r="B82" s="592">
        <v>1</v>
      </c>
      <c r="C82" s="427"/>
      <c r="D82" s="435"/>
      <c r="E82" s="768"/>
      <c r="F82" s="768"/>
      <c r="G82" s="768"/>
    </row>
    <row r="83" spans="1:7" ht="15.35">
      <c r="A83" s="212"/>
      <c r="B83" s="212"/>
      <c r="C83" s="422"/>
      <c r="D83" s="435"/>
      <c r="E83" s="768"/>
      <c r="F83" s="768"/>
      <c r="G83" s="768"/>
    </row>
    <row r="84" spans="1:7">
      <c r="A84" s="841" t="s">
        <v>1325</v>
      </c>
      <c r="B84" s="830"/>
      <c r="C84" s="422" t="s">
        <v>1326</v>
      </c>
      <c r="D84" s="435"/>
      <c r="E84" s="768"/>
      <c r="F84" s="768"/>
      <c r="G84" s="768"/>
    </row>
    <row r="85" spans="1:7">
      <c r="A85" s="842" t="s">
        <v>1327</v>
      </c>
      <c r="B85" s="595">
        <v>0.65</v>
      </c>
      <c r="C85" s="427" t="s">
        <v>1328</v>
      </c>
      <c r="D85" s="435"/>
      <c r="E85" s="819"/>
      <c r="F85" s="820"/>
      <c r="G85" s="820"/>
    </row>
    <row r="86" spans="1:7">
      <c r="A86" s="843" t="s">
        <v>1329</v>
      </c>
      <c r="B86" s="595">
        <v>0.55000000000000004</v>
      </c>
      <c r="C86" s="427" t="s">
        <v>1330</v>
      </c>
      <c r="D86" s="435"/>
      <c r="E86" s="821"/>
      <c r="F86" s="822"/>
      <c r="G86" s="822"/>
    </row>
    <row r="87" spans="1:7">
      <c r="A87" s="844" t="s">
        <v>1331</v>
      </c>
      <c r="B87" s="597">
        <v>28.63</v>
      </c>
      <c r="C87" s="422"/>
      <c r="D87" s="435"/>
      <c r="E87" s="768"/>
      <c r="F87" s="768"/>
      <c r="G87" s="768"/>
    </row>
    <row r="88" spans="1:7" ht="15.35">
      <c r="A88" s="212"/>
      <c r="B88" s="212"/>
      <c r="C88" s="422"/>
      <c r="D88" s="435"/>
      <c r="E88" s="768"/>
      <c r="F88" s="768"/>
      <c r="G88" s="768"/>
    </row>
    <row r="89" spans="1:7">
      <c r="A89" s="839" t="s">
        <v>1332</v>
      </c>
      <c r="B89" s="583">
        <v>2.2499999999999999E-2</v>
      </c>
      <c r="C89" s="435"/>
      <c r="D89" s="435"/>
      <c r="E89" s="768"/>
      <c r="F89" s="768"/>
      <c r="G89" s="768"/>
    </row>
    <row r="90" spans="1:7">
      <c r="A90" s="839" t="s">
        <v>1333</v>
      </c>
      <c r="B90" s="583">
        <v>5.3100000000000001E-2</v>
      </c>
      <c r="C90" s="435"/>
      <c r="D90" s="435"/>
      <c r="E90" s="768"/>
      <c r="F90" s="768"/>
      <c r="G90" s="768"/>
    </row>
    <row r="91" spans="1:7">
      <c r="A91" s="839" t="s">
        <v>1334</v>
      </c>
      <c r="B91" s="583">
        <v>5.7599999999999998E-2</v>
      </c>
      <c r="C91" s="435"/>
      <c r="D91" s="435"/>
      <c r="E91" s="768"/>
      <c r="F91" s="768"/>
      <c r="G91" s="768"/>
    </row>
    <row r="92" spans="1:7">
      <c r="A92" s="839" t="s">
        <v>1335</v>
      </c>
      <c r="B92" s="845">
        <v>0.01</v>
      </c>
      <c r="C92" s="435"/>
      <c r="D92" s="435"/>
      <c r="E92" s="768"/>
      <c r="F92" s="768"/>
      <c r="G92" s="768"/>
    </row>
    <row r="93" spans="1:7">
      <c r="A93" s="435"/>
      <c r="B93" s="435"/>
      <c r="C93" s="435"/>
      <c r="D93" s="435"/>
      <c r="E93" s="768"/>
      <c r="F93" s="768"/>
      <c r="G93" s="768"/>
    </row>
    <row r="94" spans="1:7">
      <c r="A94" s="435"/>
      <c r="B94" s="435"/>
      <c r="C94" s="435"/>
      <c r="D94" s="435"/>
      <c r="E94" s="768"/>
      <c r="F94" s="768"/>
      <c r="G94" s="768"/>
    </row>
    <row r="95" spans="1:7">
      <c r="A95" s="435"/>
      <c r="B95" s="435"/>
      <c r="C95" s="435"/>
      <c r="D95" s="435"/>
      <c r="E95" s="768"/>
      <c r="F95" s="768"/>
      <c r="G95" s="768"/>
    </row>
    <row r="96" spans="1:7">
      <c r="A96" s="435"/>
      <c r="B96" s="435"/>
      <c r="C96" s="435"/>
      <c r="D96" s="435"/>
      <c r="E96" s="768"/>
      <c r="F96" s="768"/>
      <c r="G96" s="768"/>
    </row>
    <row r="97" spans="1:7">
      <c r="A97" s="435"/>
      <c r="B97" s="435"/>
      <c r="C97" s="435"/>
      <c r="D97" s="435"/>
      <c r="E97" s="768"/>
      <c r="F97" s="768"/>
      <c r="G97" s="768"/>
    </row>
    <row r="98" spans="1:7">
      <c r="A98" s="435"/>
      <c r="B98" s="435"/>
      <c r="C98" s="435"/>
      <c r="D98" s="435"/>
      <c r="E98" s="768"/>
      <c r="F98" s="768"/>
      <c r="G98" s="768"/>
    </row>
    <row r="99" spans="1:7">
      <c r="A99" s="435"/>
      <c r="B99" s="435"/>
      <c r="C99" s="435"/>
      <c r="D99" s="435"/>
      <c r="E99" s="768"/>
      <c r="F99" s="768"/>
      <c r="G99" s="768"/>
    </row>
    <row r="100" spans="1:7">
      <c r="A100" s="435"/>
      <c r="B100" s="435"/>
      <c r="C100" s="435"/>
      <c r="D100" s="435"/>
      <c r="E100" s="768"/>
      <c r="F100" s="768"/>
      <c r="G100" s="768"/>
    </row>
    <row r="101" spans="1:7">
      <c r="A101" s="435"/>
      <c r="B101" s="435"/>
      <c r="C101" s="435"/>
      <c r="D101" s="435"/>
      <c r="E101" s="768"/>
      <c r="F101" s="768"/>
      <c r="G101" s="768"/>
    </row>
    <row r="102" spans="1:7">
      <c r="A102" s="435"/>
      <c r="B102" s="435"/>
      <c r="C102" s="435"/>
      <c r="D102" s="435"/>
      <c r="E102" s="768"/>
      <c r="F102" s="768"/>
      <c r="G102" s="768"/>
    </row>
    <row r="103" spans="1:7">
      <c r="A103" s="435"/>
      <c r="B103" s="435"/>
      <c r="C103" s="435"/>
      <c r="D103" s="435"/>
      <c r="E103" s="768"/>
      <c r="F103" s="768"/>
      <c r="G103" s="768"/>
    </row>
    <row r="104" spans="1:7">
      <c r="A104" s="435"/>
      <c r="B104" s="435"/>
      <c r="C104" s="435"/>
      <c r="D104" s="435"/>
      <c r="E104" s="768"/>
      <c r="F104" s="768"/>
      <c r="G104" s="768"/>
    </row>
    <row r="105" spans="1:7">
      <c r="A105" s="435"/>
      <c r="B105" s="435"/>
      <c r="C105" s="435"/>
      <c r="D105" s="435"/>
      <c r="E105" s="768"/>
      <c r="F105" s="768"/>
      <c r="G105" s="768"/>
    </row>
    <row r="106" spans="1:7">
      <c r="A106" s="435"/>
      <c r="B106" s="435"/>
      <c r="C106" s="435"/>
      <c r="D106" s="435"/>
      <c r="E106" s="768"/>
      <c r="F106" s="768"/>
      <c r="G106" s="768"/>
    </row>
    <row r="107" spans="1:7">
      <c r="A107" s="435"/>
      <c r="B107" s="435"/>
      <c r="C107" s="435"/>
      <c r="D107" s="435"/>
      <c r="E107" s="768"/>
      <c r="F107" s="768"/>
      <c r="G107" s="768"/>
    </row>
    <row r="108" spans="1:7">
      <c r="A108" s="435"/>
      <c r="B108" s="435"/>
      <c r="C108" s="435"/>
      <c r="D108" s="435"/>
      <c r="E108" s="768"/>
      <c r="F108" s="768"/>
      <c r="G108" s="768"/>
    </row>
    <row r="109" spans="1:7">
      <c r="A109" s="435"/>
      <c r="B109" s="435"/>
      <c r="C109" s="435"/>
      <c r="D109" s="435"/>
      <c r="E109" s="768"/>
      <c r="F109" s="768"/>
      <c r="G109" s="768"/>
    </row>
    <row r="110" spans="1:7">
      <c r="A110" s="435"/>
      <c r="B110" s="435"/>
      <c r="C110" s="435"/>
      <c r="D110" s="435"/>
      <c r="E110" s="768"/>
      <c r="F110" s="768"/>
      <c r="G110" s="768"/>
    </row>
    <row r="111" spans="1:7">
      <c r="A111" s="435"/>
      <c r="B111" s="435"/>
      <c r="C111" s="435"/>
      <c r="D111" s="435"/>
      <c r="E111" s="768"/>
      <c r="F111" s="768"/>
      <c r="G111" s="768"/>
    </row>
    <row r="112" spans="1:7">
      <c r="A112" s="435"/>
      <c r="B112" s="435"/>
      <c r="C112" s="435"/>
      <c r="D112" s="435"/>
      <c r="E112" s="768"/>
      <c r="F112" s="768"/>
      <c r="G112" s="768"/>
    </row>
    <row r="113" spans="1:7">
      <c r="A113" s="435"/>
      <c r="B113" s="435"/>
      <c r="C113" s="435"/>
      <c r="D113" s="435"/>
      <c r="E113" s="768"/>
      <c r="F113" s="768"/>
      <c r="G113" s="768"/>
    </row>
    <row r="114" spans="1:7">
      <c r="A114" s="435"/>
      <c r="B114" s="435"/>
      <c r="C114" s="435"/>
      <c r="D114" s="435"/>
      <c r="E114" s="768"/>
      <c r="F114" s="768"/>
      <c r="G114" s="768"/>
    </row>
    <row r="115" spans="1:7">
      <c r="A115" s="435"/>
      <c r="B115" s="435"/>
      <c r="C115" s="435"/>
      <c r="D115" s="435"/>
      <c r="E115" s="768"/>
      <c r="F115" s="768"/>
      <c r="G115" s="768"/>
    </row>
    <row r="116" spans="1:7">
      <c r="A116" s="435"/>
      <c r="B116" s="435"/>
      <c r="C116" s="435"/>
      <c r="D116" s="435"/>
      <c r="E116" s="768"/>
      <c r="F116" s="768"/>
      <c r="G116" s="768"/>
    </row>
    <row r="117" spans="1:7">
      <c r="A117" s="435"/>
      <c r="B117" s="435"/>
      <c r="C117" s="435"/>
      <c r="D117" s="435"/>
      <c r="E117" s="768"/>
      <c r="F117" s="768"/>
      <c r="G117" s="768"/>
    </row>
    <row r="118" spans="1:7">
      <c r="A118" s="435"/>
      <c r="B118" s="435"/>
      <c r="C118" s="435"/>
      <c r="D118" s="435"/>
      <c r="E118" s="846"/>
      <c r="F118" s="846"/>
      <c r="G118" s="846"/>
    </row>
  </sheetData>
  <phoneticPr fontId="9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NavigateCombBox">
              <controlPr defaultSize="0" autoPict="0" macro="[0]!NavigateBox">
                <anchor mov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2054" r:id="rId4" name="Button 6">
              <controlPr defaultSize="0" print="0" autoPict="0" macro="[0]!FeedData_Click" altText="数据回填到预测页">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2214" r:id="rId5" name="Button 166">
              <controlPr defaultSize="0" print="0" autoPict="0" macro="[0]!RefreshData_Click" altText="数据回填到预测页">
                <anchor moveWithCells="1" sizeWithCells="1">
                  <from>
                    <xdr:col>1</xdr:col>
                    <xdr:colOff>0</xdr:colOff>
                    <xdr:row>0</xdr:row>
                    <xdr:rowOff>0</xdr:rowOff>
                  </from>
                  <to>
                    <xdr:col>2</xdr:col>
                    <xdr:colOff>0</xdr:colOff>
                    <xdr:row>1</xdr:row>
                    <xdr:rowOff>0</xdr:rowOff>
                  </to>
                </anchor>
              </controlPr>
            </control>
          </mc:Choice>
        </mc:AlternateContent>
        <mc:AlternateContent xmlns:mc="http://schemas.openxmlformats.org/markup-compatibility/2006">
          <mc:Choice Requires="x14">
            <control shapeId="2242" r:id="rId6" name="营业收入">
              <controlPr defaultSize="0" autoPict="0">
                <anchor moveWithCells="1">
                  <from>
                    <xdr:col>2</xdr:col>
                    <xdr:colOff>0</xdr:colOff>
                    <xdr:row>4</xdr:row>
                    <xdr:rowOff>0</xdr:rowOff>
                  </from>
                  <to>
                    <xdr:col>3</xdr:col>
                    <xdr:colOff>0</xdr:colOff>
                    <xdr:row>5</xdr:row>
                    <xdr:rowOff>0</xdr:rowOff>
                  </to>
                </anchor>
              </controlPr>
            </control>
          </mc:Choice>
        </mc:AlternateContent>
        <mc:AlternateContent xmlns:mc="http://schemas.openxmlformats.org/markup-compatibility/2006">
          <mc:Choice Requires="x14">
            <control shapeId="2243" r:id="rId7" name="营业成本">
              <controlPr defaultSize="0" autoPict="0">
                <anchor mov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2244" r:id="rId8" name="营业税金及附加">
              <controlPr defaultSize="0" autoPict="0">
                <anchor moveWithCells="1">
                  <from>
                    <xdr:col>2</xdr:col>
                    <xdr:colOff>0</xdr:colOff>
                    <xdr:row>6</xdr:row>
                    <xdr:rowOff>0</xdr:rowOff>
                  </from>
                  <to>
                    <xdr:col>3</xdr:col>
                    <xdr:colOff>0</xdr:colOff>
                    <xdr:row>7</xdr:row>
                    <xdr:rowOff>0</xdr:rowOff>
                  </to>
                </anchor>
              </controlPr>
            </control>
          </mc:Choice>
        </mc:AlternateContent>
        <mc:AlternateContent xmlns:mc="http://schemas.openxmlformats.org/markup-compatibility/2006">
          <mc:Choice Requires="x14">
            <control shapeId="2245" r:id="rId9" name="销售费用">
              <controlPr defaultSize="0" autoPict="0">
                <anchor mov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2246" r:id="rId10" name="管理费用">
              <controlPr defaultSize="0" autoPict="0">
                <anchor moveWithCells="1">
                  <from>
                    <xdr:col>2</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2247" r:id="rId11" name="其他财务费用">
              <controlPr defaultSize="0" autoPict="0">
                <anchor mov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2248" r:id="rId12" name="资产减值损失">
              <controlPr defaultSize="0" autoPict="0">
                <anchor mov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2249" r:id="rId13" name="其他经营性净收益">
              <controlPr defaultSize="0" autoPict="0" altText="hello_x000a_world_x000a_">
                <anchor mov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2250" r:id="rId14" name="所得税率">
              <controlPr defaultSize="0" autoPict="0">
                <anchor mov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2251" r:id="rId15" name="公允价值变动收益">
              <controlPr defaultSize="0" autoPict="0">
                <anchor mov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2252" r:id="rId16" name="资产处置收益">
              <controlPr defaultSize="0" autoPict="0">
                <anchor mov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2253" r:id="rId17" name="其他非经营性收益">
              <controlPr defaultSize="0" autoPict="0">
                <anchor mov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2254" r:id="rId18" name="税收减免或返还">
              <controlPr defaultSize="0" autoPict="0">
                <anchor mov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2255" r:id="rId19" name="少数股东损益">
              <controlPr defaultSize="0" autoPict="0">
                <anchor mov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2256" r:id="rId20" name="普通股股利">
              <controlPr defaultSize="0" autoPict="0">
                <anchor mov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2257" r:id="rId21" name="交易性金融资产">
              <controlPr defaultSize="0" autoPict="0">
                <anchor mov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2258" r:id="rId22" name="应收票据及账款">
              <controlPr defaultSize="0" autoPict="0">
                <anchor mov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2259" r:id="rId23" name="预付账款">
              <controlPr defaultSize="0" autoPict="0">
                <anchor mov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2260" r:id="rId24" name="其他应收款">
              <controlPr defaultSize="0" autoPict="0">
                <anchor mov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2261" r:id="rId25" name="存货">
              <controlPr defaultSize="0" autoPict="0">
                <anchor mov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2262" r:id="rId26" name="混业经营金融资产">
              <controlPr defaultSize="0" autoPict="0">
                <anchor mov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2263" r:id="rId27" name="其他流动资产">
              <controlPr defaultSize="0" autoPict="0">
                <anchor mov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2264" r:id="rId28" name="长期应收款">
              <controlPr defaultSize="0" autoPict="0">
                <anchor mov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2265" r:id="rId29" name="金融资产投资">
              <controlPr defaultSize="0" autoPict="0">
                <anchor mov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2266" r:id="rId30" name="其他非流动资产">
              <controlPr defaultSize="0" autoPict="0">
                <anchor mov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2267" r:id="rId31" name="交易性金融负债">
              <controlPr defaultSize="0" autoPict="0">
                <anchor moveWithCells="1">
                  <from>
                    <xdr:col>2</xdr:col>
                    <xdr:colOff>0</xdr:colOff>
                    <xdr:row>36</xdr:row>
                    <xdr:rowOff>0</xdr:rowOff>
                  </from>
                  <to>
                    <xdr:col>3</xdr:col>
                    <xdr:colOff>0</xdr:colOff>
                    <xdr:row>37</xdr:row>
                    <xdr:rowOff>0</xdr:rowOff>
                  </to>
                </anchor>
              </controlPr>
            </control>
          </mc:Choice>
        </mc:AlternateContent>
        <mc:AlternateContent xmlns:mc="http://schemas.openxmlformats.org/markup-compatibility/2006">
          <mc:Choice Requires="x14">
            <control shapeId="2268" r:id="rId32" name="应付票据及账款">
              <controlPr defaultSize="0" autoPict="0">
                <anchor moveWithCells="1">
                  <from>
                    <xdr:col>2</xdr:col>
                    <xdr:colOff>0</xdr:colOff>
                    <xdr:row>37</xdr:row>
                    <xdr:rowOff>0</xdr:rowOff>
                  </from>
                  <to>
                    <xdr:col>3</xdr:col>
                    <xdr:colOff>0</xdr:colOff>
                    <xdr:row>38</xdr:row>
                    <xdr:rowOff>0</xdr:rowOff>
                  </to>
                </anchor>
              </controlPr>
            </control>
          </mc:Choice>
        </mc:AlternateContent>
        <mc:AlternateContent xmlns:mc="http://schemas.openxmlformats.org/markup-compatibility/2006">
          <mc:Choice Requires="x14">
            <control shapeId="2269" r:id="rId33" name="预收账款">
              <controlPr defaultSize="0" autoPict="0">
                <anchor moveWithCells="1">
                  <from>
                    <xdr:col>2</xdr:col>
                    <xdr:colOff>0</xdr:colOff>
                    <xdr:row>38</xdr:row>
                    <xdr:rowOff>0</xdr:rowOff>
                  </from>
                  <to>
                    <xdr:col>3</xdr:col>
                    <xdr:colOff>0</xdr:colOff>
                    <xdr:row>39</xdr:row>
                    <xdr:rowOff>0</xdr:rowOff>
                  </to>
                </anchor>
              </controlPr>
            </control>
          </mc:Choice>
        </mc:AlternateContent>
        <mc:AlternateContent xmlns:mc="http://schemas.openxmlformats.org/markup-compatibility/2006">
          <mc:Choice Requires="x14">
            <control shapeId="2270" r:id="rId34" name="其他应付款">
              <controlPr defaultSize="0" autoPict="0">
                <anchor moveWithCells="1">
                  <from>
                    <xdr:col>2</xdr:col>
                    <xdr:colOff>0</xdr:colOff>
                    <xdr:row>39</xdr:row>
                    <xdr:rowOff>0</xdr:rowOff>
                  </from>
                  <to>
                    <xdr:col>3</xdr:col>
                    <xdr:colOff>0</xdr:colOff>
                    <xdr:row>40</xdr:row>
                    <xdr:rowOff>0</xdr:rowOff>
                  </to>
                </anchor>
              </controlPr>
            </control>
          </mc:Choice>
        </mc:AlternateContent>
        <mc:AlternateContent xmlns:mc="http://schemas.openxmlformats.org/markup-compatibility/2006">
          <mc:Choice Requires="x14">
            <control shapeId="2271" r:id="rId35" name="混业经营金融类负债">
              <controlPr defaultSize="0" autoPict="0">
                <anchor moveWithCells="1">
                  <from>
                    <xdr:col>2</xdr:col>
                    <xdr:colOff>0</xdr:colOff>
                    <xdr:row>40</xdr:row>
                    <xdr:rowOff>0</xdr:rowOff>
                  </from>
                  <to>
                    <xdr:col>3</xdr:col>
                    <xdr:colOff>0</xdr:colOff>
                    <xdr:row>41</xdr:row>
                    <xdr:rowOff>0</xdr:rowOff>
                  </to>
                </anchor>
              </controlPr>
            </control>
          </mc:Choice>
        </mc:AlternateContent>
        <mc:AlternateContent xmlns:mc="http://schemas.openxmlformats.org/markup-compatibility/2006">
          <mc:Choice Requires="x14">
            <control shapeId="2272" r:id="rId36" name="其他流动负债">
              <controlPr defaultSize="0" autoPict="0">
                <anchor moveWithCells="1">
                  <from>
                    <xdr:col>2</xdr:col>
                    <xdr:colOff>0</xdr:colOff>
                    <xdr:row>41</xdr:row>
                    <xdr:rowOff>0</xdr:rowOff>
                  </from>
                  <to>
                    <xdr:col>3</xdr:col>
                    <xdr:colOff>0</xdr:colOff>
                    <xdr:row>42</xdr:row>
                    <xdr:rowOff>0</xdr:rowOff>
                  </to>
                </anchor>
              </controlPr>
            </control>
          </mc:Choice>
        </mc:AlternateContent>
        <mc:AlternateContent xmlns:mc="http://schemas.openxmlformats.org/markup-compatibility/2006">
          <mc:Choice Requires="x14">
            <control shapeId="2273" r:id="rId37" name="长期应付款">
              <controlPr defaultSize="0" autoPict="0">
                <anchor moveWithCells="1">
                  <from>
                    <xdr:col>2</xdr:col>
                    <xdr:colOff>0</xdr:colOff>
                    <xdr:row>42</xdr:row>
                    <xdr:rowOff>0</xdr:rowOff>
                  </from>
                  <to>
                    <xdr:col>3</xdr:col>
                    <xdr:colOff>0</xdr:colOff>
                    <xdr:row>43</xdr:row>
                    <xdr:rowOff>0</xdr:rowOff>
                  </to>
                </anchor>
              </controlPr>
            </control>
          </mc:Choice>
        </mc:AlternateContent>
        <mc:AlternateContent xmlns:mc="http://schemas.openxmlformats.org/markup-compatibility/2006">
          <mc:Choice Requires="x14">
            <control shapeId="2274" r:id="rId38" name="专项应付款">
              <controlPr defaultSize="0" autoPict="0">
                <anchor moveWithCells="1">
                  <from>
                    <xdr:col>2</xdr:col>
                    <xdr:colOff>0</xdr:colOff>
                    <xdr:row>43</xdr:row>
                    <xdr:rowOff>0</xdr:rowOff>
                  </from>
                  <to>
                    <xdr:col>3</xdr:col>
                    <xdr:colOff>0</xdr:colOff>
                    <xdr:row>44</xdr:row>
                    <xdr:rowOff>0</xdr:rowOff>
                  </to>
                </anchor>
              </controlPr>
            </control>
          </mc:Choice>
        </mc:AlternateContent>
        <mc:AlternateContent xmlns:mc="http://schemas.openxmlformats.org/markup-compatibility/2006">
          <mc:Choice Requires="x14">
            <control shapeId="2275" r:id="rId39" name="预计负债">
              <controlPr defaultSize="0" autoPict="0">
                <anchor moveWithCells="1">
                  <from>
                    <xdr:col>2</xdr:col>
                    <xdr:colOff>0</xdr:colOff>
                    <xdr:row>44</xdr:row>
                    <xdr:rowOff>0</xdr:rowOff>
                  </from>
                  <to>
                    <xdr:col>3</xdr:col>
                    <xdr:colOff>0</xdr:colOff>
                    <xdr:row>45</xdr:row>
                    <xdr:rowOff>0</xdr:rowOff>
                  </to>
                </anchor>
              </controlPr>
            </control>
          </mc:Choice>
        </mc:AlternateContent>
        <mc:AlternateContent xmlns:mc="http://schemas.openxmlformats.org/markup-compatibility/2006">
          <mc:Choice Requires="x14">
            <control shapeId="2276" r:id="rId40" name="其他非流动负债">
              <controlPr defaultSize="0" autoPict="0">
                <anchor moveWithCells="1">
                  <from>
                    <xdr:col>2</xdr:col>
                    <xdr:colOff>0</xdr:colOff>
                    <xdr:row>45</xdr:row>
                    <xdr:rowOff>0</xdr:rowOff>
                  </from>
                  <to>
                    <xdr:col>3</xdr:col>
                    <xdr:colOff>0</xdr:colOff>
                    <xdr:row>46</xdr:row>
                    <xdr:rowOff>0</xdr:rowOff>
                  </to>
                </anchor>
              </controlPr>
            </control>
          </mc:Choice>
        </mc:AlternateContent>
        <mc:AlternateContent xmlns:mc="http://schemas.openxmlformats.org/markup-compatibility/2006">
          <mc:Choice Requires="x14">
            <control shapeId="2277" r:id="rId41" name="新增其他资本公积">
              <controlPr defaultSize="0" autoPict="0">
                <anchor moveWithCells="1">
                  <from>
                    <xdr:col>2</xdr:col>
                    <xdr:colOff>0</xdr:colOff>
                    <xdr:row>47</xdr:row>
                    <xdr:rowOff>0</xdr:rowOff>
                  </from>
                  <to>
                    <xdr:col>3</xdr:col>
                    <xdr:colOff>0</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0" tint="-0.14996795556505021"/>
  </sheetPr>
  <dimension ref="A1:G160"/>
  <sheetViews>
    <sheetView workbookViewId="0">
      <selection activeCell="E32" sqref="E32"/>
    </sheetView>
  </sheetViews>
  <sheetFormatPr defaultColWidth="9.125" defaultRowHeight="14.35" outlineLevelRow="1"/>
  <cols>
    <col min="1" max="1" width="17.4375" style="627" customWidth="1"/>
    <col min="2" max="2" width="29.125" style="627" customWidth="1"/>
    <col min="3" max="3" width="17.75" style="627" customWidth="1"/>
    <col min="4" max="7" width="8.1875" style="627" bestFit="1" customWidth="1"/>
    <col min="8" max="16384" width="9.125" style="627"/>
  </cols>
  <sheetData>
    <row r="1" spans="1:7">
      <c r="A1" s="404"/>
      <c r="B1" s="628"/>
      <c r="C1" s="629"/>
      <c r="D1" s="629"/>
      <c r="E1" s="629"/>
      <c r="F1" s="435"/>
      <c r="G1" s="435"/>
    </row>
    <row r="2" spans="1:7">
      <c r="A2" s="630" t="str">
        <f>'[2]历史年度（原始）'!A2</f>
        <v>单位：元</v>
      </c>
      <c r="B2" s="628"/>
      <c r="C2" s="629"/>
      <c r="D2" s="629"/>
      <c r="E2" s="629"/>
      <c r="F2" s="435"/>
      <c r="G2" s="435"/>
    </row>
    <row r="3" spans="1:7">
      <c r="A3" s="631"/>
      <c r="B3" s="628"/>
      <c r="C3" s="629"/>
      <c r="D3" s="629"/>
      <c r="E3" s="629"/>
      <c r="F3" s="435"/>
      <c r="G3" s="435"/>
    </row>
    <row r="4" spans="1:7">
      <c r="A4" s="632" t="s">
        <v>1336</v>
      </c>
      <c r="B4" s="628"/>
      <c r="C4" s="629"/>
      <c r="D4" s="629"/>
      <c r="E4" s="629"/>
      <c r="F4" s="435"/>
      <c r="G4" s="435"/>
    </row>
    <row r="5" spans="1:7" outlineLevel="1">
      <c r="A5" s="628"/>
      <c r="B5" s="628"/>
      <c r="C5" s="633"/>
      <c r="D5" s="634">
        <v>43465</v>
      </c>
      <c r="E5" s="635">
        <v>43830</v>
      </c>
      <c r="F5" s="635">
        <v>44196</v>
      </c>
      <c r="G5" s="636">
        <v>44561</v>
      </c>
    </row>
    <row r="6" spans="1:7" outlineLevel="1">
      <c r="A6" s="628"/>
      <c r="B6" s="628"/>
      <c r="C6" s="628"/>
      <c r="D6" s="637"/>
      <c r="E6" s="637"/>
      <c r="F6" s="637"/>
      <c r="G6" s="637"/>
    </row>
    <row r="7" spans="1:7" outlineLevel="1">
      <c r="A7" s="638" t="s">
        <v>1337</v>
      </c>
      <c r="B7" s="639" t="s">
        <v>1338</v>
      </c>
      <c r="C7" s="640"/>
      <c r="D7" s="641" t="s">
        <v>1262</v>
      </c>
      <c r="E7" s="642">
        <f t="shared" ref="E7" si="0">E36</f>
        <v>0</v>
      </c>
      <c r="F7" s="642">
        <f t="shared" ref="F7:G7" si="1">F36</f>
        <v>0</v>
      </c>
      <c r="G7" s="643">
        <f t="shared" si="1"/>
        <v>0</v>
      </c>
    </row>
    <row r="8" spans="1:7" outlineLevel="1">
      <c r="A8" s="638"/>
      <c r="B8" s="644" t="s">
        <v>1339</v>
      </c>
      <c r="C8" s="645"/>
      <c r="D8" s="646" t="s">
        <v>1262</v>
      </c>
      <c r="E8" s="647">
        <f t="shared" ref="E8" si="2">E68</f>
        <v>0</v>
      </c>
      <c r="F8" s="647">
        <f t="shared" ref="F8:G8" si="3">F68</f>
        <v>0</v>
      </c>
      <c r="G8" s="648">
        <f t="shared" si="3"/>
        <v>0</v>
      </c>
    </row>
    <row r="9" spans="1:7" outlineLevel="1">
      <c r="A9" s="638"/>
      <c r="B9" s="644" t="s">
        <v>1340</v>
      </c>
      <c r="C9" s="645"/>
      <c r="D9" s="646" t="s">
        <v>1262</v>
      </c>
      <c r="E9" s="647">
        <f t="shared" ref="E9" si="4">E53</f>
        <v>0</v>
      </c>
      <c r="F9" s="647">
        <f t="shared" ref="F9:G9" si="5">F53</f>
        <v>0</v>
      </c>
      <c r="G9" s="648">
        <f t="shared" si="5"/>
        <v>0</v>
      </c>
    </row>
    <row r="10" spans="1:7" outlineLevel="1">
      <c r="A10" s="638"/>
      <c r="B10" s="644" t="s">
        <v>1341</v>
      </c>
      <c r="C10" s="645"/>
      <c r="D10" s="646" t="s">
        <v>1262</v>
      </c>
      <c r="E10" s="647">
        <f t="shared" ref="E10" si="6">E97</f>
        <v>10</v>
      </c>
      <c r="F10" s="647">
        <f t="shared" ref="F10:G10" si="7">F97</f>
        <v>0</v>
      </c>
      <c r="G10" s="648">
        <f t="shared" si="7"/>
        <v>0</v>
      </c>
    </row>
    <row r="11" spans="1:7" outlineLevel="1">
      <c r="A11" s="638"/>
      <c r="B11" s="649" t="s">
        <v>1342</v>
      </c>
      <c r="C11" s="650"/>
      <c r="D11" s="646" t="s">
        <v>1262</v>
      </c>
      <c r="E11" s="647">
        <f t="shared" ref="E11" si="8">E115</f>
        <v>100</v>
      </c>
      <c r="F11" s="647">
        <f t="shared" ref="F11:G11" si="9">F115</f>
        <v>0</v>
      </c>
      <c r="G11" s="648">
        <f t="shared" si="9"/>
        <v>0</v>
      </c>
    </row>
    <row r="12" spans="1:7" outlineLevel="1">
      <c r="A12" s="638" t="s">
        <v>1343</v>
      </c>
      <c r="B12" s="639" t="s">
        <v>1344</v>
      </c>
      <c r="C12" s="640"/>
      <c r="D12" s="641">
        <f t="shared" ref="D12:E12" si="10">D45</f>
        <v>24.6299196698</v>
      </c>
      <c r="E12" s="642" t="e">
        <f t="shared" si="10"/>
        <v>#VALUE!</v>
      </c>
      <c r="F12" s="642" t="e">
        <f t="shared" ref="F12:G12" si="11">F45</f>
        <v>#VALUE!</v>
      </c>
      <c r="G12" s="643" t="e">
        <f t="shared" si="11"/>
        <v>#VALUE!</v>
      </c>
    </row>
    <row r="13" spans="1:7" outlineLevel="1">
      <c r="A13" s="638"/>
      <c r="B13" s="644" t="s">
        <v>1345</v>
      </c>
      <c r="C13" s="645"/>
      <c r="D13" s="646">
        <f>IF($C$66=1,D83,D91)</f>
        <v>0</v>
      </c>
      <c r="E13" s="647">
        <f>IF($C$66=1,E83,E91)</f>
        <v>0</v>
      </c>
      <c r="F13" s="647">
        <f>IF($C$66=1,F83,F91)</f>
        <v>0</v>
      </c>
      <c r="G13" s="648">
        <f>IF($C$66=1,G83,G91)</f>
        <v>0</v>
      </c>
    </row>
    <row r="14" spans="1:7" outlineLevel="1">
      <c r="A14" s="638"/>
      <c r="B14" s="644" t="s">
        <v>1346</v>
      </c>
      <c r="C14" s="645"/>
      <c r="D14" s="646">
        <f>'历史年度（简化）'!F54</f>
        <v>2.0865982441999997</v>
      </c>
      <c r="E14" s="647">
        <f>E46+E84</f>
        <v>0</v>
      </c>
      <c r="F14" s="647">
        <f>F46+F84</f>
        <v>0</v>
      </c>
      <c r="G14" s="648">
        <f>G46+G84</f>
        <v>0</v>
      </c>
    </row>
    <row r="15" spans="1:7" outlineLevel="1">
      <c r="A15" s="638"/>
      <c r="B15" s="644" t="s">
        <v>1347</v>
      </c>
      <c r="C15" s="645"/>
      <c r="D15" s="646">
        <f>'历史年度（简化）'!F55</f>
        <v>1.0650512071</v>
      </c>
      <c r="E15" s="647" t="e">
        <f t="shared" ref="E15" si="12">E62</f>
        <v>#VALUE!</v>
      </c>
      <c r="F15" s="647" t="e">
        <f t="shared" ref="F15:G15" si="13">F62</f>
        <v>#VALUE!</v>
      </c>
      <c r="G15" s="648" t="e">
        <f t="shared" si="13"/>
        <v>#VALUE!</v>
      </c>
    </row>
    <row r="16" spans="1:7" outlineLevel="1">
      <c r="A16" s="638"/>
      <c r="B16" s="644" t="s">
        <v>1348</v>
      </c>
      <c r="C16" s="645"/>
      <c r="D16" s="646">
        <f>'历史年度（简化）'!F56</f>
        <v>0</v>
      </c>
      <c r="E16" s="647">
        <f t="shared" ref="E16" si="14">E63</f>
        <v>0</v>
      </c>
      <c r="F16" s="647">
        <f t="shared" ref="F16:G16" si="15">F63</f>
        <v>0</v>
      </c>
      <c r="G16" s="648">
        <f t="shared" si="15"/>
        <v>0</v>
      </c>
    </row>
    <row r="17" spans="1:7" outlineLevel="1">
      <c r="A17" s="638"/>
      <c r="B17" s="644" t="s">
        <v>1349</v>
      </c>
      <c r="C17" s="645"/>
      <c r="D17" s="646">
        <f>'历史年度（简化）'!F57</f>
        <v>3.3030545101</v>
      </c>
      <c r="E17" s="647">
        <f t="shared" ref="E17" si="16">E98</f>
        <v>5</v>
      </c>
      <c r="F17" s="647">
        <f t="shared" ref="F17:G17" si="17">F98</f>
        <v>0</v>
      </c>
      <c r="G17" s="648">
        <f t="shared" si="17"/>
        <v>0</v>
      </c>
    </row>
    <row r="18" spans="1:7" outlineLevel="1">
      <c r="A18" s="638"/>
      <c r="B18" s="649" t="s">
        <v>1350</v>
      </c>
      <c r="C18" s="650"/>
      <c r="D18" s="651">
        <f>'历史年度（简化）'!F58</f>
        <v>0.2095509052</v>
      </c>
      <c r="E18" s="652">
        <f t="shared" ref="E18" si="18">E123</f>
        <v>50.104775452600002</v>
      </c>
      <c r="F18" s="652">
        <f t="shared" ref="F18:G18" si="19">F123</f>
        <v>0</v>
      </c>
      <c r="G18" s="968">
        <f t="shared" si="19"/>
        <v>0</v>
      </c>
    </row>
    <row r="19" spans="1:7" outlineLevel="1">
      <c r="A19" s="638" t="s">
        <v>1351</v>
      </c>
      <c r="B19" s="639" t="s">
        <v>1352</v>
      </c>
      <c r="C19" s="640"/>
      <c r="D19" s="646" t="str">
        <f t="shared" ref="D19:E19" si="20">D44</f>
        <v>-</v>
      </c>
      <c r="E19" s="647" t="e">
        <f t="shared" si="20"/>
        <v>#VALUE!</v>
      </c>
      <c r="F19" s="647" t="e">
        <f t="shared" ref="F19:G19" si="21">F44</f>
        <v>#VALUE!</v>
      </c>
      <c r="G19" s="648" t="e">
        <f t="shared" si="21"/>
        <v>#VALUE!</v>
      </c>
    </row>
    <row r="20" spans="1:7" outlineLevel="1">
      <c r="A20" s="638"/>
      <c r="B20" s="644" t="s">
        <v>1353</v>
      </c>
      <c r="C20" s="645"/>
      <c r="D20" s="646" t="str">
        <f t="shared" ref="D20:E20" si="22">D82</f>
        <v>-</v>
      </c>
      <c r="E20" s="647">
        <f t="shared" si="22"/>
        <v>0</v>
      </c>
      <c r="F20" s="647">
        <f t="shared" ref="F20:G20" si="23">F82</f>
        <v>0</v>
      </c>
      <c r="G20" s="648">
        <f t="shared" si="23"/>
        <v>0</v>
      </c>
    </row>
    <row r="21" spans="1:7" outlineLevel="1">
      <c r="A21" s="638"/>
      <c r="B21" s="644" t="s">
        <v>1354</v>
      </c>
      <c r="C21" s="645"/>
      <c r="D21" s="646" t="str">
        <f t="shared" ref="D21:E21" si="24">D61</f>
        <v>-</v>
      </c>
      <c r="E21" s="647" t="e">
        <f t="shared" si="24"/>
        <v>#VALUE!</v>
      </c>
      <c r="F21" s="647" t="e">
        <f t="shared" ref="F21:G21" si="25">F61</f>
        <v>#VALUE!</v>
      </c>
      <c r="G21" s="648" t="e">
        <f t="shared" si="25"/>
        <v>#VALUE!</v>
      </c>
    </row>
    <row r="22" spans="1:7" outlineLevel="1">
      <c r="A22" s="638"/>
      <c r="B22" s="649" t="s">
        <v>1355</v>
      </c>
      <c r="C22" s="650"/>
      <c r="D22" s="651" t="str">
        <f t="shared" ref="D22:E22" si="26">D122</f>
        <v>-</v>
      </c>
      <c r="E22" s="652">
        <f t="shared" si="26"/>
        <v>50.104775452600002</v>
      </c>
      <c r="F22" s="652">
        <f t="shared" ref="F22:G22" si="27">F122</f>
        <v>50.104775452600002</v>
      </c>
      <c r="G22" s="968">
        <f t="shared" si="27"/>
        <v>0</v>
      </c>
    </row>
    <row r="23" spans="1:7" outlineLevel="1">
      <c r="A23" s="638" t="s">
        <v>1356</v>
      </c>
      <c r="B23" s="639" t="s">
        <v>1357</v>
      </c>
      <c r="C23" s="640"/>
      <c r="D23" s="641" t="str">
        <f t="shared" ref="D23:E23" si="28">D90</f>
        <v>-</v>
      </c>
      <c r="E23" s="642">
        <f t="shared" si="28"/>
        <v>0</v>
      </c>
      <c r="F23" s="642">
        <f t="shared" ref="F23:G23" si="29">F90</f>
        <v>0</v>
      </c>
      <c r="G23" s="643">
        <f t="shared" si="29"/>
        <v>0</v>
      </c>
    </row>
    <row r="24" spans="1:7" outlineLevel="1">
      <c r="A24" s="638"/>
      <c r="B24" s="653" t="s">
        <v>1358</v>
      </c>
      <c r="C24" s="645"/>
      <c r="D24" s="646" t="str">
        <f t="shared" ref="D24:E25" si="30">D103</f>
        <v>-</v>
      </c>
      <c r="E24" s="647">
        <f t="shared" si="30"/>
        <v>10</v>
      </c>
      <c r="F24" s="647">
        <f t="shared" ref="F24:G24" si="31">F103</f>
        <v>0</v>
      </c>
      <c r="G24" s="648">
        <f t="shared" si="31"/>
        <v>0</v>
      </c>
    </row>
    <row r="25" spans="1:7" outlineLevel="1">
      <c r="A25" s="638"/>
      <c r="B25" s="653" t="s">
        <v>1359</v>
      </c>
      <c r="C25" s="645"/>
      <c r="D25" s="646" t="str">
        <f t="shared" si="30"/>
        <v>-</v>
      </c>
      <c r="E25" s="647">
        <f t="shared" si="30"/>
        <v>5</v>
      </c>
      <c r="F25" s="647">
        <f t="shared" ref="F25:G25" si="32">F104</f>
        <v>0</v>
      </c>
      <c r="G25" s="648">
        <f t="shared" si="32"/>
        <v>0</v>
      </c>
    </row>
    <row r="26" spans="1:7" outlineLevel="1">
      <c r="A26" s="630"/>
      <c r="B26" s="654" t="s">
        <v>1360</v>
      </c>
      <c r="C26" s="650"/>
      <c r="D26" s="651" t="str">
        <f t="shared" ref="D26:E26" si="33">D99</f>
        <v>-</v>
      </c>
      <c r="E26" s="652">
        <f t="shared" si="33"/>
        <v>0</v>
      </c>
      <c r="F26" s="652">
        <f t="shared" ref="F26:G26" si="34">F99</f>
        <v>0</v>
      </c>
      <c r="G26" s="968">
        <f t="shared" si="34"/>
        <v>0</v>
      </c>
    </row>
    <row r="27" spans="1:7" outlineLevel="1">
      <c r="A27" s="655"/>
      <c r="B27" s="654" t="s">
        <v>1361</v>
      </c>
      <c r="C27" s="656"/>
      <c r="D27" s="657">
        <f t="shared" ref="D27:E27" si="35">D108</f>
        <v>0.2610208108</v>
      </c>
      <c r="E27" s="658">
        <f t="shared" si="35"/>
        <v>20.261020810799998</v>
      </c>
      <c r="F27" s="658">
        <f t="shared" ref="F27:G27" si="36">F108</f>
        <v>20.261020810799998</v>
      </c>
      <c r="G27" s="659">
        <f t="shared" si="36"/>
        <v>20.261020810799998</v>
      </c>
    </row>
    <row r="28" spans="1:7" outlineLevel="1">
      <c r="A28" s="660"/>
      <c r="B28" s="407"/>
      <c r="C28" s="435"/>
      <c r="D28" s="435"/>
      <c r="E28" s="435"/>
      <c r="F28" s="435"/>
      <c r="G28" s="435"/>
    </row>
    <row r="29" spans="1:7">
      <c r="A29" s="632" t="s">
        <v>1362</v>
      </c>
      <c r="B29" s="628"/>
      <c r="C29" s="435"/>
      <c r="D29" s="435"/>
      <c r="E29" s="435"/>
      <c r="F29" s="435"/>
      <c r="G29" s="435"/>
    </row>
    <row r="30" spans="1:7" outlineLevel="1">
      <c r="A30" s="628"/>
      <c r="B30" s="628"/>
      <c r="C30" s="435"/>
      <c r="D30" s="435"/>
      <c r="E30" s="435"/>
      <c r="F30" s="435"/>
      <c r="G30" s="435"/>
    </row>
    <row r="31" spans="1:7">
      <c r="A31" s="661" t="s">
        <v>1307</v>
      </c>
      <c r="B31" s="662" t="s">
        <v>1363</v>
      </c>
      <c r="C31" s="663"/>
      <c r="D31" s="664"/>
      <c r="E31" s="665"/>
      <c r="F31" s="666"/>
      <c r="G31" s="666"/>
    </row>
    <row r="32" spans="1:7" outlineLevel="1">
      <c r="A32" s="667"/>
      <c r="B32" s="668" t="s">
        <v>1364</v>
      </c>
      <c r="C32" s="667"/>
      <c r="D32" s="664"/>
      <c r="E32" s="665"/>
      <c r="F32" s="666"/>
      <c r="G32" s="666"/>
    </row>
    <row r="33" spans="1:7" outlineLevel="1">
      <c r="A33" s="667"/>
      <c r="B33" s="668" t="s">
        <v>1365</v>
      </c>
      <c r="C33" s="669">
        <v>30</v>
      </c>
      <c r="D33" s="665"/>
      <c r="E33" s="665"/>
      <c r="F33" s="435"/>
      <c r="G33" s="435"/>
    </row>
    <row r="34" spans="1:7" outlineLevel="1">
      <c r="A34" s="667"/>
      <c r="B34" s="668" t="s">
        <v>1366</v>
      </c>
      <c r="C34" s="670">
        <v>1</v>
      </c>
      <c r="D34" s="665"/>
      <c r="E34" s="665"/>
      <c r="F34" s="435"/>
      <c r="G34" s="435"/>
    </row>
    <row r="35" spans="1:7" outlineLevel="1">
      <c r="A35" s="667"/>
      <c r="B35" s="668" t="s">
        <v>1367</v>
      </c>
      <c r="C35" s="667"/>
      <c r="D35" s="634">
        <v>43465</v>
      </c>
      <c r="E35" s="635">
        <v>43830</v>
      </c>
      <c r="F35" s="635">
        <v>44196</v>
      </c>
      <c r="G35" s="636">
        <v>44561</v>
      </c>
    </row>
    <row r="36" spans="1:7" outlineLevel="1">
      <c r="A36" s="667"/>
      <c r="B36" s="671"/>
      <c r="C36" s="672" t="s">
        <v>1309</v>
      </c>
      <c r="D36" s="673">
        <f>'历史年度（简化）'!F54</f>
        <v>2.0865982441999997</v>
      </c>
      <c r="E36" s="674"/>
      <c r="F36" s="674"/>
      <c r="G36" s="675"/>
    </row>
    <row r="37" spans="1:7" outlineLevel="1">
      <c r="A37" s="667"/>
      <c r="B37" s="676"/>
      <c r="C37" s="672" t="s">
        <v>1311</v>
      </c>
      <c r="D37" s="677">
        <f>C34</f>
        <v>1</v>
      </c>
      <c r="E37" s="678"/>
      <c r="F37" s="678"/>
      <c r="G37" s="967"/>
    </row>
    <row r="38" spans="1:7" ht="15.35" outlineLevel="1">
      <c r="A38" s="628"/>
      <c r="B38" s="679" t="s">
        <v>1368</v>
      </c>
      <c r="C38" s="680"/>
      <c r="D38" s="681"/>
      <c r="E38" s="681"/>
      <c r="F38" s="682"/>
      <c r="G38" s="682"/>
    </row>
    <row r="39" spans="1:7" outlineLevel="1">
      <c r="A39" s="628"/>
      <c r="B39" s="683" t="s">
        <v>1369</v>
      </c>
      <c r="C39" s="684" t="e">
        <f>'历史年度（简化）'!F141</f>
        <v>#VALUE!</v>
      </c>
      <c r="D39" s="685"/>
      <c r="E39" s="686" t="e">
        <f>IF('历史年度（简化）'!F142+(C39/C33)*1&gt;=C39,C39-('历史年度（简化）'!F142+(C39/C33)*(1-1)),C39/C33)</f>
        <v>#VALUE!</v>
      </c>
      <c r="F39" s="686" t="e">
        <f>IF('历史年度（简化）'!F142+(C39/C33)*2&gt;=C39,C39-('历史年度（简化）'!F142+(C39/C33)*(2-1)),C39/C33)</f>
        <v>#VALUE!</v>
      </c>
      <c r="G39" s="687" t="e">
        <f>IF('历史年度（简化）'!F142+(C39/C33)*3&gt;=C39,C39-('历史年度（简化）'!F142+(C39/C33)*(3-1)),C39/C33)</f>
        <v>#VALUE!</v>
      </c>
    </row>
    <row r="40" spans="1:7" outlineLevel="1">
      <c r="A40" s="628"/>
      <c r="B40" s="683" t="s">
        <v>3541</v>
      </c>
      <c r="C40" s="684">
        <f>IF(YEAR(D35)+D37=YEAR(E35),D36,0)+IF(YEAR(E35)+E37=YEAR(E35),E36,0)</f>
        <v>2.0865982441999997</v>
      </c>
      <c r="D40" s="688"/>
      <c r="E40" s="689">
        <f>IF(YEAR(D35)+D37=YEAR(E35),IF(C33&gt;=1,D36/C33,0),0)+IF(YEAR(E35)+E37=YEAR(E35),IF(C33&gt;=1,E36/C33,0),0)</f>
        <v>6.9553274806666662E-2</v>
      </c>
      <c r="F40" s="689">
        <f>IF(YEAR(D35)+D37=YEAR(E35),IF(C33&gt;=2,D36/C33,0),0)+IF(YEAR(E35)+E37=YEAR(E35),IF(C33&gt;=2,E36/C33,0),0)</f>
        <v>6.9553274806666662E-2</v>
      </c>
      <c r="G40" s="690">
        <f>IF(YEAR(D35)+D37=YEAR(E35),IF(C33&gt;=3,D36/C33,0),0)+IF(YEAR(E35)+E37=YEAR(E35),IF(C33&gt;=3,E36/C33,0),0)</f>
        <v>6.9553274806666662E-2</v>
      </c>
    </row>
    <row r="41" spans="1:7" outlineLevel="1">
      <c r="A41" s="628"/>
      <c r="B41" s="683" t="s">
        <v>3542</v>
      </c>
      <c r="C41" s="684">
        <f>IF(YEAR(D35)+D37=YEAR(F35),D36,0)+IF(YEAR(E35)+E37=YEAR(F35),E36,0)+IF(YEAR(F35)+F37=YEAR(F35),F36,0)</f>
        <v>0</v>
      </c>
      <c r="D41" s="688"/>
      <c r="E41" s="691"/>
      <c r="F41" s="689">
        <f>IF(YEAR(D35)+D37=YEAR(F35),IF(C33&gt;=1,D36/C33,0),0)+IF(YEAR(E35)+E37=YEAR(F35),IF(C33&gt;=1,E36/C33,0),0)+IF(YEAR(F35)+F37=YEAR(F35),IF(C33&gt;=1,F36/C33,0),0)</f>
        <v>0</v>
      </c>
      <c r="G41" s="690">
        <f>IF(YEAR(D35)+D37=YEAR(F35),IF(C33&gt;=2,D36/C33,0),0)+IF(YEAR(E35)+E37=YEAR(F35),IF(C33&gt;=2,E36/C33,0),0)+IF(YEAR(F35)+F37=YEAR(F35),IF(C33&gt;=2,F36/C33,0),0)</f>
        <v>0</v>
      </c>
    </row>
    <row r="42" spans="1:7" s="626" customFormat="1" outlineLevel="1">
      <c r="A42" s="407"/>
      <c r="B42" s="683" t="s">
        <v>3543</v>
      </c>
      <c r="C42" s="684">
        <f>IF(YEAR(D35)+D37=YEAR(G35),D36,0)+IF(YEAR(E35)+E37=YEAR(G35),E36,0)+IF(YEAR(F35)+F37=YEAR(G35),F36,0)+IF(YEAR(G35)+G37=YEAR(G35),G36,0)</f>
        <v>0</v>
      </c>
      <c r="D42" s="963"/>
      <c r="E42" s="964"/>
      <c r="F42" s="964"/>
      <c r="G42" s="969">
        <f>IF(YEAR(D35)+D37=YEAR(G35),IF(C33&gt;=1,D36/C33,0),0)+IF(YEAR(E35)+E37=YEAR(G35),IF(C33&gt;=1,E36/C33,0),0)+IF(YEAR(F35)+F37=YEAR(G35),IF(C33&gt;=1,F36/C33,0),0)+IF(YEAR(G35)+G37=YEAR(G35),IF(C33&gt;=1,G36/C33,0),0)</f>
        <v>0</v>
      </c>
    </row>
    <row r="43" spans="1:7" ht="15.35" outlineLevel="1">
      <c r="A43" s="628"/>
      <c r="B43" s="692"/>
      <c r="C43" s="693"/>
      <c r="D43" s="694"/>
      <c r="E43" s="694"/>
      <c r="F43" s="695"/>
      <c r="G43" s="695"/>
    </row>
    <row r="44" spans="1:7" outlineLevel="1">
      <c r="A44" s="628"/>
      <c r="B44" s="696" t="s">
        <v>1370</v>
      </c>
      <c r="C44" s="697"/>
      <c r="D44" s="641" t="s">
        <v>1262</v>
      </c>
      <c r="E44" s="686" t="e">
        <f>E39+E40</f>
        <v>#VALUE!</v>
      </c>
      <c r="F44" s="686" t="e">
        <f>F39+F40+F41</f>
        <v>#VALUE!</v>
      </c>
      <c r="G44" s="687" t="e">
        <f>G39+G40+G41+G42</f>
        <v>#VALUE!</v>
      </c>
    </row>
    <row r="45" spans="1:7" outlineLevel="1">
      <c r="A45" s="628"/>
      <c r="B45" s="696" t="s">
        <v>1371</v>
      </c>
      <c r="C45" s="697"/>
      <c r="D45" s="698">
        <f>'历史年度（简化）'!F53</f>
        <v>24.6299196698</v>
      </c>
      <c r="E45" s="689" t="e">
        <f>D45+C40-E44</f>
        <v>#VALUE!</v>
      </c>
      <c r="F45" s="689" t="e">
        <f>E45+C41-F44</f>
        <v>#VALUE!</v>
      </c>
      <c r="G45" s="690" t="e">
        <f>F45+C42-G44</f>
        <v>#VALUE!</v>
      </c>
    </row>
    <row r="46" spans="1:7" outlineLevel="1">
      <c r="A46" s="628"/>
      <c r="B46" s="696" t="s">
        <v>1372</v>
      </c>
      <c r="C46" s="697"/>
      <c r="D46" s="699">
        <f>'历史年度（简化）'!F54</f>
        <v>2.0865982441999997</v>
      </c>
      <c r="E46" s="700">
        <f>IF(YEAR(D35)+D37&gt;YEAR(E35),D36,0)+IF(YEAR(E35)+E37&gt;YEAR(E35),E36,0)</f>
        <v>0</v>
      </c>
      <c r="F46" s="700">
        <f>IF(YEAR(D35)+D37&gt;YEAR(F35),D36,0)+IF(YEAR(E35)+E37&gt;YEAR(F35),E36,0)+IF(YEAR(F35)+F37&gt;YEAR(F35),F36,0)</f>
        <v>0</v>
      </c>
      <c r="G46" s="969">
        <f>IF(YEAR(D35)+D37&gt;YEAR(G35),D36,0)+IF(YEAR(E35)+E37&gt;YEAR(G35),E36,0)+IF(YEAR(F35)+F37&gt;YEAR(G35),F36,0)+IF(YEAR(G35)+G37&gt;YEAR(G35),G36,0)</f>
        <v>0</v>
      </c>
    </row>
    <row r="47" spans="1:7" outlineLevel="1">
      <c r="A47" s="628"/>
      <c r="B47" s="679"/>
      <c r="C47" s="697"/>
      <c r="D47" s="701"/>
      <c r="E47" s="701"/>
      <c r="F47" s="435"/>
      <c r="G47" s="435"/>
    </row>
    <row r="48" spans="1:7">
      <c r="A48" s="661" t="s">
        <v>907</v>
      </c>
      <c r="B48" s="702" t="s">
        <v>1373</v>
      </c>
      <c r="C48" s="628"/>
      <c r="D48" s="701"/>
      <c r="E48" s="701"/>
      <c r="F48" s="435"/>
      <c r="G48" s="435"/>
    </row>
    <row r="49" spans="1:7" outlineLevel="1">
      <c r="A49" s="667"/>
      <c r="B49" s="668" t="s">
        <v>1374</v>
      </c>
      <c r="C49" s="667"/>
      <c r="D49" s="664"/>
      <c r="E49" s="665"/>
      <c r="F49" s="666"/>
      <c r="G49" s="666"/>
    </row>
    <row r="50" spans="1:7" outlineLevel="1">
      <c r="A50" s="667"/>
      <c r="B50" s="668" t="s">
        <v>1375</v>
      </c>
      <c r="C50" s="703">
        <v>10</v>
      </c>
      <c r="D50" s="664"/>
      <c r="E50" s="665"/>
      <c r="F50" s="704"/>
      <c r="G50" s="666"/>
    </row>
    <row r="51" spans="1:7" outlineLevel="1">
      <c r="A51" s="667"/>
      <c r="B51" s="668" t="s">
        <v>1376</v>
      </c>
      <c r="C51" s="703">
        <v>4</v>
      </c>
      <c r="D51" s="468"/>
      <c r="E51" s="468"/>
      <c r="F51" s="468"/>
      <c r="G51" s="705"/>
    </row>
    <row r="52" spans="1:7" outlineLevel="1">
      <c r="A52" s="667"/>
      <c r="B52" s="668" t="s">
        <v>1377</v>
      </c>
      <c r="C52" s="667"/>
      <c r="D52" s="634">
        <v>43465</v>
      </c>
      <c r="E52" s="635">
        <v>43830</v>
      </c>
      <c r="F52" s="635">
        <v>44196</v>
      </c>
      <c r="G52" s="636">
        <v>44561</v>
      </c>
    </row>
    <row r="53" spans="1:7" outlineLevel="1">
      <c r="A53" s="667"/>
      <c r="B53" s="706"/>
      <c r="C53" s="569" t="s">
        <v>1309</v>
      </c>
      <c r="D53" s="707">
        <f>'历史年度（简化）'!F56</f>
        <v>0</v>
      </c>
      <c r="E53" s="708"/>
      <c r="F53" s="708"/>
      <c r="G53" s="709"/>
    </row>
    <row r="54" spans="1:7" outlineLevel="1">
      <c r="A54" s="667"/>
      <c r="B54" s="706"/>
      <c r="C54" s="569" t="s">
        <v>1314</v>
      </c>
      <c r="D54" s="710">
        <f>C51</f>
        <v>4</v>
      </c>
      <c r="E54" s="678"/>
      <c r="F54" s="678"/>
      <c r="G54" s="967"/>
    </row>
    <row r="55" spans="1:7" ht="15.35" outlineLevel="1">
      <c r="A55" s="628"/>
      <c r="B55" s="662" t="s">
        <v>1378</v>
      </c>
      <c r="C55" s="711"/>
      <c r="D55" s="681"/>
      <c r="E55" s="681"/>
      <c r="F55" s="682"/>
      <c r="G55" s="682"/>
    </row>
    <row r="56" spans="1:7" outlineLevel="1">
      <c r="A56" s="628"/>
      <c r="B56" s="683" t="s">
        <v>1379</v>
      </c>
      <c r="C56" s="712" t="e">
        <f>'历史年度（简化）'!F143</f>
        <v>#VALUE!</v>
      </c>
      <c r="D56" s="685"/>
      <c r="E56" s="713" t="e">
        <f>IF('历史年度（简化）'!F144+(C56/C50)*1&gt;=C56,C56-('历史年度（简化）'!F144+(C56/C50)*(1-1)),C56/C50)</f>
        <v>#VALUE!</v>
      </c>
      <c r="F56" s="713" t="e">
        <f>IF('历史年度（简化）'!F144+(C56/C50)*2&gt;=C56,C56-('历史年度（简化）'!F144+(C56/C50)*(2-1)),C56/C50)</f>
        <v>#VALUE!</v>
      </c>
      <c r="G56" s="714" t="e">
        <f>IF('历史年度（简化）'!F144+(C56/C50)*3&gt;=C56,C56-('历史年度（简化）'!F144+(C56/C50)*(3-1)),C56/C50)</f>
        <v>#VALUE!</v>
      </c>
    </row>
    <row r="57" spans="1:7" outlineLevel="1">
      <c r="A57" s="628"/>
      <c r="B57" s="683" t="s">
        <v>3544</v>
      </c>
      <c r="C57" s="712">
        <f>IF(YEAR(D52)+D54=YEAR(E52),D53,0)+IF(YEAR(E52)+E54=YEAR(E52),E53,0)</f>
        <v>0</v>
      </c>
      <c r="D57" s="688"/>
      <c r="E57" s="695">
        <f>IF(YEAR(D52)+D54=YEAR(E52),IF(C50&gt;=1,D53/C50,0),0)+IF(YEAR(E52)+E54=YEAR(E52),IF(C50&gt;=1,E53/C50,0),0)</f>
        <v>0</v>
      </c>
      <c r="F57" s="695">
        <f>IF(YEAR(D52)+D54=YEAR(E52),IF(C50&gt;=2,D53/C50,0),0)+IF(YEAR(E52)+E54=YEAR(E52),IF(C50&gt;=2,E53/C50,0),0)</f>
        <v>0</v>
      </c>
      <c r="G57" s="715">
        <f>IF(YEAR(D52)+D54=YEAR(E52),IF(C50&gt;=3,D53/C50,0),0)+IF(YEAR(E52)+E54=YEAR(E52),IF(C50&gt;=3,E53/C50,0),0)</f>
        <v>0</v>
      </c>
    </row>
    <row r="58" spans="1:7" outlineLevel="1">
      <c r="A58" s="628"/>
      <c r="B58" s="683" t="s">
        <v>3545</v>
      </c>
      <c r="C58" s="712">
        <f>IF(YEAR(D52)+D54=YEAR(F52),D53,0)+IF(YEAR(E52)+E54=YEAR(F52),E53,0)+IF(YEAR(F52)+F54=YEAR(F52),F53,0)</f>
        <v>0</v>
      </c>
      <c r="D58" s="688"/>
      <c r="E58" s="691"/>
      <c r="F58" s="695">
        <f>IF(YEAR(D52)+D54=YEAR(F52),IF(C50&gt;=1,D53/C50,0),0)+IF(YEAR(E52)+E54=YEAR(F52),IF(C50&gt;=1,E53/C50,0),0)+IF(YEAR(F52)+F54=YEAR(F52),IF(C50&gt;=1,F53/C50,0),0)</f>
        <v>0</v>
      </c>
      <c r="G58" s="715">
        <f>IF(YEAR(D52)+D54=YEAR(F52),IF(C50&gt;=2,D53/C50,0),0)+IF(YEAR(E52)+E54=YEAR(F52),IF(C50&gt;=2,E53/C50,0),0)+IF(YEAR(F52)+F54=YEAR(F52),IF(C50&gt;=2,F53/C50,0),0)</f>
        <v>0</v>
      </c>
    </row>
    <row r="59" spans="1:7" s="626" customFormat="1" outlineLevel="1">
      <c r="A59" s="407"/>
      <c r="B59" s="683" t="s">
        <v>3546</v>
      </c>
      <c r="C59" s="712">
        <f>IF(YEAR(D52)+D54=YEAR(G52),D53,0)+IF(YEAR(E52)+E54=YEAR(G52),E53,0)+IF(YEAR(F52)+F54=YEAR(G52),F53,0)+IF(YEAR(G52)+G54=YEAR(G52),G53,0)</f>
        <v>0</v>
      </c>
      <c r="D59" s="963"/>
      <c r="E59" s="964"/>
      <c r="F59" s="964"/>
      <c r="G59" s="970">
        <f>IF(YEAR(D52)+D54=YEAR(G52),IF(C50&gt;=1,D53/C50,0),0)+IF(YEAR(E52)+E54=YEAR(G52),IF(C50&gt;=1,E53/C50,0),0)+IF(YEAR(F52)+F54=YEAR(G52),IF(C50&gt;=1,F53/C50,0),0)+IF(YEAR(G52)+G54=YEAR(G52),IF(C50&gt;=1,G53/C50,0),0)</f>
        <v>0</v>
      </c>
    </row>
    <row r="60" spans="1:7" outlineLevel="1">
      <c r="A60" s="628"/>
      <c r="B60" s="662"/>
      <c r="C60" s="666"/>
      <c r="D60" s="694"/>
      <c r="E60" s="694"/>
      <c r="F60" s="695"/>
      <c r="G60" s="695"/>
    </row>
    <row r="61" spans="1:7" outlineLevel="1">
      <c r="A61" s="628"/>
      <c r="B61" s="696" t="s">
        <v>1380</v>
      </c>
      <c r="C61" s="716"/>
      <c r="D61" s="717" t="s">
        <v>1262</v>
      </c>
      <c r="E61" s="713" t="e">
        <f>E56+E57</f>
        <v>#VALUE!</v>
      </c>
      <c r="F61" s="713" t="e">
        <f>F56+F57+F58</f>
        <v>#VALUE!</v>
      </c>
      <c r="G61" s="714" t="e">
        <f>G56+G57+G58+G59</f>
        <v>#VALUE!</v>
      </c>
    </row>
    <row r="62" spans="1:7" outlineLevel="1">
      <c r="A62" s="628"/>
      <c r="B62" s="696" t="s">
        <v>1381</v>
      </c>
      <c r="C62" s="716"/>
      <c r="D62" s="718">
        <f>'历史年度（简化）'!F55</f>
        <v>1.0650512071</v>
      </c>
      <c r="E62" s="695" t="e">
        <f>D62+C57-E61</f>
        <v>#VALUE!</v>
      </c>
      <c r="F62" s="695" t="e">
        <f>E62+C58-F61</f>
        <v>#VALUE!</v>
      </c>
      <c r="G62" s="715" t="e">
        <f>F62+C59-G61</f>
        <v>#VALUE!</v>
      </c>
    </row>
    <row r="63" spans="1:7" outlineLevel="1">
      <c r="A63" s="628"/>
      <c r="B63" s="696" t="s">
        <v>1382</v>
      </c>
      <c r="C63" s="716"/>
      <c r="D63" s="719">
        <f>'历史年度（简化）'!F56</f>
        <v>0</v>
      </c>
      <c r="E63" s="720">
        <f>IF(YEAR(D52)+D54&gt;YEAR(E52),D53,0)+IF(YEAR(E52)+E54&gt;YEAR(E52),E53,0)</f>
        <v>0</v>
      </c>
      <c r="F63" s="720">
        <f>IF(YEAR(D52)+D54&gt;YEAR(F52),D53,0)+IF(YEAR(E52)+E54&gt;YEAR(F52),E53,0)+IF(YEAR(F52)+F54&gt;YEAR(F52),F53,0)</f>
        <v>0</v>
      </c>
      <c r="G63" s="970">
        <f>IF(YEAR(D52)+D54&gt;YEAR(G52),D53,0)+IF(YEAR(E52)+E54&gt;YEAR(G52),E53,0)+IF(YEAR(F52)+F54&gt;YEAR(G52),F53,0)+IF(YEAR(G52)+G54&gt;YEAR(G52),G53,0)</f>
        <v>0</v>
      </c>
    </row>
    <row r="64" spans="1:7" outlineLevel="1">
      <c r="A64" s="628"/>
      <c r="B64" s="662"/>
      <c r="C64" s="716"/>
      <c r="D64" s="701"/>
      <c r="E64" s="701"/>
      <c r="F64" s="435"/>
      <c r="G64" s="435"/>
    </row>
    <row r="65" spans="1:7">
      <c r="A65" s="661" t="s">
        <v>904</v>
      </c>
      <c r="B65" s="662"/>
      <c r="C65" s="721"/>
      <c r="D65" s="722"/>
      <c r="E65" s="722"/>
      <c r="F65" s="468"/>
      <c r="G65" s="468"/>
    </row>
    <row r="66" spans="1:7" outlineLevel="1">
      <c r="A66" s="721"/>
      <c r="B66" s="723" t="s">
        <v>1383</v>
      </c>
      <c r="C66" s="703">
        <v>2</v>
      </c>
      <c r="D66" s="664"/>
      <c r="E66" s="665"/>
      <c r="F66" s="666"/>
      <c r="G66" s="666"/>
    </row>
    <row r="67" spans="1:7" outlineLevel="1">
      <c r="A67" s="721"/>
      <c r="B67" s="723"/>
      <c r="C67" s="667"/>
      <c r="D67" s="634">
        <v>43465</v>
      </c>
      <c r="E67" s="635">
        <v>43830</v>
      </c>
      <c r="F67" s="635">
        <v>44196</v>
      </c>
      <c r="G67" s="636">
        <v>44561</v>
      </c>
    </row>
    <row r="68" spans="1:7" outlineLevel="1">
      <c r="A68" s="721"/>
      <c r="B68" s="723"/>
      <c r="C68" s="724" t="s">
        <v>1309</v>
      </c>
      <c r="D68" s="673">
        <v>0</v>
      </c>
      <c r="E68" s="708"/>
      <c r="F68" s="708"/>
      <c r="G68" s="709"/>
    </row>
    <row r="69" spans="1:7" outlineLevel="1">
      <c r="A69" s="667"/>
      <c r="B69" s="668"/>
      <c r="C69" s="725" t="s">
        <v>1311</v>
      </c>
      <c r="D69" s="677">
        <v>0</v>
      </c>
      <c r="E69" s="678"/>
      <c r="F69" s="678"/>
      <c r="G69" s="967"/>
    </row>
    <row r="70" spans="1:7" outlineLevel="1">
      <c r="A70" s="667"/>
      <c r="B70" s="668"/>
      <c r="C70" s="725"/>
      <c r="D70" s="682"/>
      <c r="E70" s="726"/>
      <c r="F70" s="726"/>
      <c r="G70" s="727"/>
    </row>
    <row r="71" spans="1:7" outlineLevel="1">
      <c r="A71" s="721"/>
      <c r="B71" s="728" t="s">
        <v>1316</v>
      </c>
      <c r="C71" s="663"/>
      <c r="D71" s="681"/>
      <c r="E71" s="729"/>
      <c r="F71" s="695"/>
      <c r="G71" s="695"/>
    </row>
    <row r="72" spans="1:7" outlineLevel="1">
      <c r="A72" s="721"/>
      <c r="B72" s="728"/>
      <c r="C72" s="663"/>
      <c r="D72" s="681"/>
      <c r="E72" s="729"/>
      <c r="F72" s="695"/>
      <c r="G72" s="695"/>
    </row>
    <row r="73" spans="1:7" outlineLevel="1">
      <c r="A73" s="667"/>
      <c r="B73" s="668" t="s">
        <v>1364</v>
      </c>
      <c r="C73" s="667"/>
      <c r="D73" s="681"/>
      <c r="E73" s="729"/>
      <c r="F73" s="695"/>
      <c r="G73" s="695"/>
    </row>
    <row r="74" spans="1:7" outlineLevel="1">
      <c r="A74" s="667"/>
      <c r="B74" s="668" t="s">
        <v>1384</v>
      </c>
      <c r="C74" s="703">
        <v>5</v>
      </c>
      <c r="D74" s="729"/>
      <c r="E74" s="729"/>
      <c r="F74" s="682"/>
      <c r="G74" s="682"/>
    </row>
    <row r="75" spans="1:7" outlineLevel="1">
      <c r="A75" s="628"/>
      <c r="B75" s="102" t="s">
        <v>1385</v>
      </c>
      <c r="C75" s="682"/>
      <c r="D75" s="681"/>
      <c r="E75" s="681"/>
      <c r="F75" s="682"/>
      <c r="G75" s="682"/>
    </row>
    <row r="76" spans="1:7" outlineLevel="1">
      <c r="A76" s="628"/>
      <c r="B76" s="102"/>
      <c r="D76" s="681"/>
      <c r="E76" s="681"/>
      <c r="F76" s="682"/>
      <c r="G76" s="682"/>
    </row>
    <row r="77" spans="1:7" outlineLevel="1">
      <c r="A77" s="628"/>
      <c r="B77" s="683" t="s">
        <v>1386</v>
      </c>
      <c r="C77" s="682" t="e">
        <f>IF('历史年度（简化）'!F145="--",0,'历史年度（简化）'!F145)</f>
        <v>#VALUE!</v>
      </c>
      <c r="D77" s="685"/>
      <c r="E77" s="713">
        <f>IF(ISERR(IF('历史年度（简化）'!F146+(#REF!/C74)*1&gt;=#REF!,#REF!-('历史年度（简化）'!F146+(#REF!/C74)*(1-1)),#REF!/C74))=TRUE,0,IF('历史年度（简化）'!F146+(#REF!/C74)*1&gt;=#REF!,#REF!-('历史年度（简化）'!F146+(#REF!/C74)*(1-1)),#REF!/C74))</f>
        <v>0</v>
      </c>
      <c r="F77" s="713">
        <f>IF(ISERROR(IF('历史年度（简化）'!F146+(#REF!/C74)*2&gt;=#REF!,#REF!-('历史年度（简化）'!F146+(#REF!/C74)*(2-1)),#REF!/C74))=TRUE,0,IF('历史年度（简化）'!F146+(#REF!/C74)*2&gt;=#REF!,#REF!-('历史年度（简化）'!F146+(#REF!/C74)*(2-1)),#REF!/C74))</f>
        <v>0</v>
      </c>
      <c r="G77" s="714">
        <f>IF(ISERROR(IF('历史年度（简化）'!F146+(#REF!/C74)*3&gt;=#REF!,#REF!-('历史年度（简化）'!F146+(#REF!/C74)*(3-1)),#REF!/C74))=TRUE,0,IF('历史年度（简化）'!F146+(#REF!/C74)*3&gt;=#REF!,#REF!-('历史年度（简化）'!F146+(#REF!/C74)*(3-1)),#REF!/C74))</f>
        <v>0</v>
      </c>
    </row>
    <row r="78" spans="1:7" outlineLevel="1">
      <c r="A78" s="628"/>
      <c r="B78" s="683" t="s">
        <v>3547</v>
      </c>
      <c r="C78" s="712">
        <f>IF(YEAR(D67)+D69=YEAR(E67),D68,0)+IF(YEAR(E67)+E69=YEAR(E67),E68,0)</f>
        <v>0</v>
      </c>
      <c r="D78" s="688"/>
      <c r="E78" s="695">
        <f>IF(YEAR(D67)+D69=YEAR(E67),IF(C74&gt;=1,D68/C74,0),0)+IF(YEAR(E67)+E69=YEAR(E67),IF(C74&gt;=1,E68/C74,0),0)</f>
        <v>0</v>
      </c>
      <c r="F78" s="695">
        <f>IF(YEAR(D67)+D69=YEAR(E67),IF(C74&gt;=2,D68/C74,0),0)+IF(YEAR(E67)+E69=YEAR(E67),IF(C74&gt;=2,E68/C74,0),0)</f>
        <v>0</v>
      </c>
      <c r="G78" s="715">
        <f>IF(YEAR(D67)+D69=YEAR(E67),IF(C74&gt;=3,D68/C74,0),0)+IF(YEAR(E67)+E69=YEAR(E67),IF(C74&gt;=3,E68/C74,0),0)</f>
        <v>0</v>
      </c>
    </row>
    <row r="79" spans="1:7" outlineLevel="1">
      <c r="A79" s="628"/>
      <c r="B79" s="683" t="s">
        <v>3548</v>
      </c>
      <c r="C79" s="712">
        <f>IF(YEAR(D67)+D69=YEAR(F67),D68,0)+IF(YEAR(E67)+E69=YEAR(F67),E68,0)+IF(YEAR(F67)+F69=YEAR(F67),F68,0)</f>
        <v>0</v>
      </c>
      <c r="D79" s="688"/>
      <c r="E79" s="691"/>
      <c r="F79" s="695">
        <f>IF(YEAR(D67)+D69=YEAR(F67),IF(C74&gt;=1,D68/C74,0),0)+IF(YEAR(E67)+E69=YEAR(F67),IF(C74&gt;=1,E68/C74,0),0)+IF(YEAR(F67)+F69=YEAR(F67),IF(C74&gt;=1,F68/C74,0),0)</f>
        <v>0</v>
      </c>
      <c r="G79" s="715">
        <f>IF(YEAR(D67)+D69=YEAR(F67),IF(C74&gt;=2,D68/C74,0),0)+IF(YEAR(E67)+E69=YEAR(F67),IF(C74&gt;=2,E68/C74,0),0)+IF(YEAR(F67)+F69=YEAR(F67),IF(C74&gt;=2,F68/C74,0),0)</f>
        <v>0</v>
      </c>
    </row>
    <row r="80" spans="1:7" s="626" customFormat="1" outlineLevel="1">
      <c r="A80" s="407"/>
      <c r="B80" s="683" t="s">
        <v>3549</v>
      </c>
      <c r="C80" s="712">
        <f>IF(YEAR(D67)+D69=YEAR(G67),D68,0)+IF(YEAR(E67)+E69=YEAR(G67),E68,0)+IF(YEAR(F67)+F69=YEAR(F67),G68,0)+IF(YEAR(G67)+G69=YEAR(G67),G68,0)</f>
        <v>0</v>
      </c>
      <c r="D80" s="963"/>
      <c r="E80" s="964"/>
      <c r="F80" s="964"/>
      <c r="G80" s="970">
        <f>IF(YEAR(D67)+D69=YEAR(G67),IF(C74&gt;=1,D68/C74,0),0)+IF(YEAR(E67)+E69=YEAR(G67),IF(C74&gt;=1,E68/C74,0),0)+IF(YEAR(F67)+F69=YEAR(F67),IF(C74&gt;=1,G68/C74,0),0)+IF(YEAR(G67)+G69=YEAR(G67),IF(C74&gt;=1,G68/C74,0),0)</f>
        <v>0</v>
      </c>
    </row>
    <row r="81" spans="1:7" ht="15.35" outlineLevel="1">
      <c r="A81" s="628"/>
      <c r="B81" s="692"/>
      <c r="C81" s="666"/>
      <c r="D81" s="694"/>
      <c r="E81" s="694"/>
      <c r="F81" s="695"/>
      <c r="G81" s="695"/>
    </row>
    <row r="82" spans="1:7" outlineLevel="1">
      <c r="A82" s="628"/>
      <c r="B82" s="696" t="s">
        <v>1370</v>
      </c>
      <c r="C82" s="730"/>
      <c r="D82" s="717" t="s">
        <v>1262</v>
      </c>
      <c r="E82" s="713">
        <f>E77+E78</f>
        <v>0</v>
      </c>
      <c r="F82" s="713">
        <f>F77+F78+F79</f>
        <v>0</v>
      </c>
      <c r="G82" s="714">
        <f>G77+G78+G79+G80</f>
        <v>0</v>
      </c>
    </row>
    <row r="83" spans="1:7" outlineLevel="1">
      <c r="A83" s="628"/>
      <c r="B83" s="696" t="s">
        <v>1387</v>
      </c>
      <c r="C83" s="730"/>
      <c r="D83" s="718">
        <f>'历史年度（简化）'!F52</f>
        <v>0</v>
      </c>
      <c r="E83" s="695">
        <f>D83+C78-E82</f>
        <v>0</v>
      </c>
      <c r="F83" s="695">
        <f>E83+C79-F82</f>
        <v>0</v>
      </c>
      <c r="G83" s="715">
        <f>F83+C80-G82</f>
        <v>0</v>
      </c>
    </row>
    <row r="84" spans="1:7" outlineLevel="1">
      <c r="A84" s="628"/>
      <c r="B84" s="696" t="s">
        <v>1372</v>
      </c>
      <c r="C84" s="730"/>
      <c r="D84" s="731" t="s">
        <v>1262</v>
      </c>
      <c r="E84" s="720">
        <f>IF(YEAR(D67)+D69&gt;YEAR(E67),D68,0)+IF(YEAR(E67)+E69&gt;YEAR(E67),E68,0)</f>
        <v>0</v>
      </c>
      <c r="F84" s="720">
        <f>IF(YEAR(D67)+D69&gt;YEAR(F67),D68,0)+IF(YEAR(E67)+E69&gt;YEAR(F67),E68,0)+IF(YEAR(F67)+F69&gt;YEAR(F67),F68,0)</f>
        <v>0</v>
      </c>
      <c r="G84" s="970">
        <f>IF(YEAR(D67)+D69&gt;YEAR(G67),D68,0)+IF(YEAR(E67)+E69&gt;YEAR(G67),E68,0)+IF(YEAR(F67)+F69&gt;YEAR(F67),G68,0)+IF(YEAR(G67)+G69&gt;YEAR(G67),G68,0)</f>
        <v>0</v>
      </c>
    </row>
    <row r="85" spans="1:7" ht="15.35" outlineLevel="1">
      <c r="A85" s="628"/>
      <c r="B85" s="692"/>
      <c r="C85" s="732"/>
      <c r="D85" s="732"/>
      <c r="E85" s="732"/>
      <c r="F85" s="435"/>
      <c r="G85" s="435"/>
    </row>
    <row r="86" spans="1:7" ht="15.35" outlineLevel="1">
      <c r="A86" s="628"/>
      <c r="B86" s="733" t="s">
        <v>1317</v>
      </c>
      <c r="C86" s="732"/>
      <c r="D86" s="732"/>
      <c r="E86" s="732"/>
      <c r="F86" s="435"/>
      <c r="G86" s="435"/>
    </row>
    <row r="87" spans="1:7" ht="15.35" outlineLevel="1">
      <c r="A87" s="628"/>
      <c r="B87" s="692"/>
      <c r="C87" s="730"/>
      <c r="D87" s="634">
        <v>43465</v>
      </c>
      <c r="E87" s="635">
        <v>43830</v>
      </c>
      <c r="F87" s="635">
        <v>44196</v>
      </c>
      <c r="G87" s="636">
        <v>44561</v>
      </c>
    </row>
    <row r="88" spans="1:7" outlineLevel="1">
      <c r="A88" s="628"/>
      <c r="B88" s="696" t="s">
        <v>1388</v>
      </c>
      <c r="C88" s="730"/>
      <c r="D88" s="717" t="s">
        <v>1262</v>
      </c>
      <c r="E88" s="713">
        <f>'历史年度（简化）'!F52</f>
        <v>0</v>
      </c>
      <c r="F88" s="713">
        <f>预测资产负债表!H22</f>
        <v>0</v>
      </c>
      <c r="G88" s="714">
        <f>预测资产负债表!I22</f>
        <v>0</v>
      </c>
    </row>
    <row r="89" spans="1:7" outlineLevel="1">
      <c r="A89" s="628"/>
      <c r="B89" s="696" t="s">
        <v>1389</v>
      </c>
      <c r="C89" s="730"/>
      <c r="D89" s="734" t="s">
        <v>1262</v>
      </c>
      <c r="E89" s="695">
        <v>0</v>
      </c>
      <c r="F89" s="695">
        <v>0</v>
      </c>
      <c r="G89" s="715">
        <v>0</v>
      </c>
    </row>
    <row r="90" spans="1:7" outlineLevel="1">
      <c r="A90" s="628"/>
      <c r="B90" s="696" t="s">
        <v>1318</v>
      </c>
      <c r="C90" s="730"/>
      <c r="D90" s="734" t="s">
        <v>1262</v>
      </c>
      <c r="E90" s="735"/>
      <c r="F90" s="735"/>
      <c r="G90" s="736"/>
    </row>
    <row r="91" spans="1:7" outlineLevel="1">
      <c r="A91" s="628"/>
      <c r="B91" s="696" t="s">
        <v>1387</v>
      </c>
      <c r="C91" s="730"/>
      <c r="D91" s="719">
        <f>'历史年度（简化）'!F52</f>
        <v>0</v>
      </c>
      <c r="E91" s="720">
        <f t="shared" ref="E91:G91" si="37">E88+E89+E90</f>
        <v>0</v>
      </c>
      <c r="F91" s="720">
        <f t="shared" si="37"/>
        <v>0</v>
      </c>
      <c r="G91" s="970">
        <f t="shared" si="37"/>
        <v>0</v>
      </c>
    </row>
    <row r="92" spans="1:7" ht="15.35" outlineLevel="1">
      <c r="A92" s="711"/>
      <c r="B92" s="692"/>
      <c r="C92" s="730"/>
      <c r="D92" s="435"/>
      <c r="E92" s="435"/>
      <c r="F92" s="468"/>
      <c r="G92" s="737"/>
    </row>
    <row r="93" spans="1:7">
      <c r="A93" s="661" t="s">
        <v>902</v>
      </c>
      <c r="B93" s="702"/>
      <c r="C93" s="730"/>
      <c r="D93" s="435"/>
      <c r="E93" s="435"/>
      <c r="F93" s="435"/>
      <c r="G93" s="435"/>
    </row>
    <row r="94" spans="1:7" outlineLevel="1">
      <c r="A94" s="738"/>
      <c r="B94" s="739" t="s">
        <v>1390</v>
      </c>
      <c r="C94" s="730"/>
      <c r="D94" s="435"/>
      <c r="E94" s="435"/>
      <c r="F94" s="435"/>
      <c r="G94" s="435"/>
    </row>
    <row r="95" spans="1:7" outlineLevel="1">
      <c r="A95" s="738"/>
      <c r="B95" s="702"/>
      <c r="C95" s="459"/>
      <c r="D95" s="634">
        <v>43465</v>
      </c>
      <c r="E95" s="635">
        <v>43830</v>
      </c>
      <c r="F95" s="635">
        <v>44196</v>
      </c>
      <c r="G95" s="636">
        <v>44561</v>
      </c>
    </row>
    <row r="96" spans="1:7" outlineLevel="1">
      <c r="A96" s="738"/>
      <c r="B96" s="740" t="s">
        <v>1319</v>
      </c>
      <c r="C96" s="459"/>
      <c r="D96" s="717" t="s">
        <v>1262</v>
      </c>
      <c r="E96" s="708">
        <v>15</v>
      </c>
      <c r="F96" s="708"/>
      <c r="G96" s="709"/>
    </row>
    <row r="97" spans="1:7" outlineLevel="1">
      <c r="A97" s="738"/>
      <c r="B97" s="740" t="s">
        <v>1320</v>
      </c>
      <c r="C97" s="459"/>
      <c r="D97" s="734" t="s">
        <v>1262</v>
      </c>
      <c r="E97" s="741">
        <v>10</v>
      </c>
      <c r="F97" s="741"/>
      <c r="G97" s="742"/>
    </row>
    <row r="98" spans="1:7" outlineLevel="1">
      <c r="A98" s="738"/>
      <c r="B98" s="740" t="s">
        <v>1391</v>
      </c>
      <c r="C98" s="459"/>
      <c r="D98" s="734" t="s">
        <v>1262</v>
      </c>
      <c r="E98" s="695">
        <f t="shared" ref="E98:G98" si="38">IF(E96&gt;E97,E96-E97,0)</f>
        <v>5</v>
      </c>
      <c r="F98" s="695">
        <f t="shared" si="38"/>
        <v>0</v>
      </c>
      <c r="G98" s="715">
        <f t="shared" si="38"/>
        <v>0</v>
      </c>
    </row>
    <row r="99" spans="1:7" outlineLevel="1">
      <c r="A99" s="738"/>
      <c r="B99" s="740" t="s">
        <v>1392</v>
      </c>
      <c r="C99" s="459"/>
      <c r="D99" s="743" t="s">
        <v>1262</v>
      </c>
      <c r="E99" s="720">
        <f t="shared" ref="E99:G99" si="39">IF(E97&gt;E96,E97-E96,0)</f>
        <v>0</v>
      </c>
      <c r="F99" s="720">
        <f t="shared" si="39"/>
        <v>0</v>
      </c>
      <c r="G99" s="970">
        <f t="shared" si="39"/>
        <v>0</v>
      </c>
    </row>
    <row r="100" spans="1:7" outlineLevel="1">
      <c r="A100" s="738"/>
      <c r="B100" s="744" t="s">
        <v>1393</v>
      </c>
      <c r="C100" s="459"/>
      <c r="D100" s="681"/>
      <c r="E100" s="681"/>
      <c r="F100" s="682"/>
      <c r="G100" s="682"/>
    </row>
    <row r="101" spans="1:7" outlineLevel="1">
      <c r="A101" s="738"/>
      <c r="B101" s="744"/>
      <c r="C101" s="459"/>
      <c r="D101" s="681"/>
      <c r="E101" s="681"/>
      <c r="F101" s="682"/>
      <c r="G101" s="682"/>
    </row>
    <row r="102" spans="1:7" outlineLevel="1">
      <c r="A102" s="738"/>
      <c r="B102" s="702"/>
      <c r="C102" s="459"/>
      <c r="D102" s="681"/>
      <c r="E102" s="681"/>
      <c r="F102" s="682"/>
      <c r="G102" s="682"/>
    </row>
    <row r="103" spans="1:7" outlineLevel="1">
      <c r="A103" s="738"/>
      <c r="B103" s="696" t="s">
        <v>1321</v>
      </c>
      <c r="C103" s="459"/>
      <c r="D103" s="717" t="s">
        <v>1262</v>
      </c>
      <c r="E103" s="745">
        <v>10</v>
      </c>
      <c r="F103" s="745"/>
      <c r="G103" s="746"/>
    </row>
    <row r="104" spans="1:7" outlineLevel="1">
      <c r="A104" s="738"/>
      <c r="B104" s="696" t="s">
        <v>1322</v>
      </c>
      <c r="C104" s="459"/>
      <c r="D104" s="743" t="s">
        <v>1262</v>
      </c>
      <c r="E104" s="747">
        <v>5</v>
      </c>
      <c r="F104" s="747"/>
      <c r="G104" s="971"/>
    </row>
    <row r="105" spans="1:7" outlineLevel="1">
      <c r="A105" s="738"/>
      <c r="B105" s="696"/>
      <c r="C105" s="459"/>
      <c r="D105" s="682"/>
      <c r="E105" s="682"/>
      <c r="F105" s="682"/>
      <c r="G105" s="682"/>
    </row>
    <row r="106" spans="1:7" outlineLevel="1">
      <c r="A106" s="738"/>
      <c r="B106" s="748" t="s">
        <v>1394</v>
      </c>
      <c r="C106" s="459"/>
      <c r="D106" s="682"/>
      <c r="E106" s="682"/>
      <c r="F106" s="682"/>
      <c r="G106" s="682"/>
    </row>
    <row r="107" spans="1:7" outlineLevel="1">
      <c r="A107" s="738"/>
      <c r="B107" s="696" t="s">
        <v>1395</v>
      </c>
      <c r="C107" s="459"/>
      <c r="D107" s="717" t="s">
        <v>1262</v>
      </c>
      <c r="E107" s="713">
        <f t="shared" ref="E107:G107" si="40">D108</f>
        <v>0.2610208108</v>
      </c>
      <c r="F107" s="713">
        <f t="shared" si="40"/>
        <v>20.261020810799998</v>
      </c>
      <c r="G107" s="714">
        <f t="shared" si="40"/>
        <v>20.261020810799998</v>
      </c>
    </row>
    <row r="108" spans="1:7" outlineLevel="1">
      <c r="A108" s="738"/>
      <c r="B108" s="696" t="s">
        <v>1396</v>
      </c>
      <c r="C108" s="459"/>
      <c r="D108" s="719">
        <f>'历史年度（简化）'!F50</f>
        <v>0.2610208108</v>
      </c>
      <c r="E108" s="720">
        <f t="shared" ref="E108:G108" si="41">E107+E97+E103</f>
        <v>20.261020810799998</v>
      </c>
      <c r="F108" s="720">
        <f t="shared" si="41"/>
        <v>20.261020810799998</v>
      </c>
      <c r="G108" s="970">
        <f t="shared" si="41"/>
        <v>20.261020810799998</v>
      </c>
    </row>
    <row r="109" spans="1:7" outlineLevel="1">
      <c r="A109" s="738"/>
      <c r="B109" s="98"/>
      <c r="C109" s="435"/>
      <c r="D109" s="435"/>
      <c r="E109" s="435"/>
      <c r="F109" s="435"/>
      <c r="G109" s="435"/>
    </row>
    <row r="110" spans="1:7" ht="15.35" outlineLevel="1">
      <c r="A110" s="711"/>
      <c r="B110" s="98"/>
      <c r="C110" s="435"/>
      <c r="D110" s="435"/>
      <c r="E110" s="435"/>
      <c r="F110" s="435"/>
      <c r="G110" s="435"/>
    </row>
    <row r="111" spans="1:7">
      <c r="A111" s="749" t="s">
        <v>910</v>
      </c>
      <c r="B111" s="98"/>
      <c r="C111" s="435"/>
      <c r="D111" s="435"/>
      <c r="E111" s="435"/>
      <c r="F111" s="435"/>
      <c r="G111" s="435"/>
    </row>
    <row r="112" spans="1:7" outlineLevel="1">
      <c r="A112" s="730"/>
      <c r="B112" s="98" t="s">
        <v>1374</v>
      </c>
      <c r="C112" s="435"/>
      <c r="D112" s="435"/>
      <c r="E112" s="435"/>
      <c r="F112" s="435"/>
      <c r="G112" s="435"/>
    </row>
    <row r="113" spans="1:7" outlineLevel="1">
      <c r="A113" s="730"/>
      <c r="B113" s="679" t="s">
        <v>1397</v>
      </c>
      <c r="C113" s="750">
        <v>2</v>
      </c>
      <c r="D113" s="435"/>
      <c r="E113" s="435"/>
      <c r="F113" s="435"/>
      <c r="G113" s="435"/>
    </row>
    <row r="114" spans="1:7" ht="15.35" outlineLevel="1">
      <c r="A114" s="730"/>
      <c r="B114" s="679" t="s">
        <v>1398</v>
      </c>
      <c r="C114" s="711"/>
      <c r="D114" s="634">
        <v>43465</v>
      </c>
      <c r="E114" s="635">
        <v>43830</v>
      </c>
      <c r="F114" s="635">
        <v>44196</v>
      </c>
      <c r="G114" s="636">
        <v>44561</v>
      </c>
    </row>
    <row r="115" spans="1:7" ht="15.35" outlineLevel="1">
      <c r="A115" s="730"/>
      <c r="B115" s="692"/>
      <c r="C115" s="751" t="s">
        <v>1309</v>
      </c>
      <c r="D115" s="752">
        <v>0</v>
      </c>
      <c r="E115" s="753">
        <v>100</v>
      </c>
      <c r="F115" s="753"/>
      <c r="G115" s="754"/>
    </row>
    <row r="116" spans="1:7" ht="15.35" outlineLevel="1">
      <c r="A116" s="730"/>
      <c r="B116" s="679" t="s">
        <v>1399</v>
      </c>
      <c r="C116" s="711"/>
      <c r="D116" s="681"/>
      <c r="E116" s="681"/>
      <c r="F116" s="682"/>
      <c r="G116" s="682"/>
    </row>
    <row r="117" spans="1:7" outlineLevel="1">
      <c r="A117" s="730"/>
      <c r="B117" s="755" t="s">
        <v>1400</v>
      </c>
      <c r="C117" s="756">
        <f>'历史年度（简化）'!F58</f>
        <v>0.2095509052</v>
      </c>
      <c r="D117" s="757"/>
      <c r="E117" s="758">
        <f>IF(C113&gt;=1,C117/C113,0)</f>
        <v>0.1047754526</v>
      </c>
      <c r="F117" s="758">
        <f>IF(C113&gt;=2,C117/C113,0)</f>
        <v>0.1047754526</v>
      </c>
      <c r="G117" s="759">
        <f>IF(C113&gt;=3,C117/C113,0)</f>
        <v>0</v>
      </c>
    </row>
    <row r="118" spans="1:7" outlineLevel="1">
      <c r="A118" s="730"/>
      <c r="B118" s="755" t="s">
        <v>3550</v>
      </c>
      <c r="C118" s="756">
        <f>E115</f>
        <v>100</v>
      </c>
      <c r="D118" s="760"/>
      <c r="E118" s="682">
        <f>IF(C113&gt;=1,C118/C113,0)</f>
        <v>50</v>
      </c>
      <c r="F118" s="682">
        <f>IF(C113&gt;=2,C118/C113,0)</f>
        <v>50</v>
      </c>
      <c r="G118" s="761">
        <f>IF(C113&gt;=3,C118/C113,0)</f>
        <v>0</v>
      </c>
    </row>
    <row r="119" spans="1:7" outlineLevel="1">
      <c r="A119" s="730"/>
      <c r="B119" s="755" t="s">
        <v>3551</v>
      </c>
      <c r="C119" s="756">
        <f>F115</f>
        <v>0</v>
      </c>
      <c r="D119" s="760"/>
      <c r="E119" s="762"/>
      <c r="F119" s="682">
        <f>IF(C113&gt;=1,C119/C113,0)</f>
        <v>0</v>
      </c>
      <c r="G119" s="761">
        <f>IF(C113&gt;=2,C119/C113,0)</f>
        <v>0</v>
      </c>
    </row>
    <row r="120" spans="1:7" s="626" customFormat="1" outlineLevel="1">
      <c r="A120" s="730"/>
      <c r="B120" s="763" t="s">
        <v>3552</v>
      </c>
      <c r="C120" s="730">
        <f>G115</f>
        <v>0</v>
      </c>
      <c r="D120" s="965"/>
      <c r="E120" s="966"/>
      <c r="F120" s="966"/>
      <c r="G120" s="972">
        <f>IF(C113&gt;=1,C120/C113,0)</f>
        <v>0</v>
      </c>
    </row>
    <row r="121" spans="1:7" ht="15.35" outlineLevel="1">
      <c r="A121" s="730"/>
      <c r="B121" s="692"/>
      <c r="C121" s="681"/>
      <c r="D121" s="681"/>
      <c r="E121" s="681"/>
      <c r="F121" s="682"/>
      <c r="G121" s="682"/>
    </row>
    <row r="122" spans="1:7" outlineLevel="1">
      <c r="A122" s="730"/>
      <c r="B122" s="755" t="s">
        <v>1380</v>
      </c>
      <c r="C122" s="681"/>
      <c r="D122" s="764" t="s">
        <v>1262</v>
      </c>
      <c r="E122" s="758">
        <f>E117+E118</f>
        <v>50.104775452600002</v>
      </c>
      <c r="F122" s="758">
        <f>F117+F118+F119</f>
        <v>50.104775452600002</v>
      </c>
      <c r="G122" s="759">
        <f>G117+G118+G119+G120</f>
        <v>0</v>
      </c>
    </row>
    <row r="123" spans="1:7" outlineLevel="1">
      <c r="A123" s="730"/>
      <c r="B123" s="755" t="s">
        <v>1401</v>
      </c>
      <c r="C123" s="681"/>
      <c r="D123" s="765" t="s">
        <v>1262</v>
      </c>
      <c r="E123" s="766">
        <f>C117+C118-E122</f>
        <v>50.104775452600002</v>
      </c>
      <c r="F123" s="766">
        <f>E123+C119-F122</f>
        <v>0</v>
      </c>
      <c r="G123" s="972">
        <f>F123+C120-G122</f>
        <v>0</v>
      </c>
    </row>
    <row r="124" spans="1:7" outlineLevel="1">
      <c r="A124" s="730"/>
      <c r="B124" s="435"/>
      <c r="C124" s="435"/>
      <c r="D124" s="435"/>
      <c r="E124" s="435"/>
      <c r="F124" s="435"/>
      <c r="G124" s="435"/>
    </row>
    <row r="125" spans="1:7">
      <c r="A125" s="730"/>
      <c r="B125" s="435"/>
      <c r="C125" s="738"/>
      <c r="D125" s="738"/>
      <c r="E125" s="738"/>
      <c r="F125" s="738"/>
      <c r="G125" s="738"/>
    </row>
    <row r="126" spans="1:7">
      <c r="A126" s="730"/>
      <c r="B126" s="435"/>
      <c r="C126" s="738"/>
      <c r="D126" s="738"/>
      <c r="E126" s="738"/>
      <c r="F126" s="738"/>
      <c r="G126" s="738"/>
    </row>
    <row r="127" spans="1:7">
      <c r="A127" s="730"/>
      <c r="B127" s="435"/>
      <c r="C127" s="738"/>
      <c r="D127" s="738"/>
      <c r="E127" s="738"/>
      <c r="F127" s="738"/>
      <c r="G127" s="738"/>
    </row>
    <row r="128" spans="1:7">
      <c r="A128" s="730"/>
      <c r="B128" s="435"/>
      <c r="C128" s="738"/>
      <c r="D128" s="738"/>
      <c r="E128" s="738"/>
      <c r="F128" s="738"/>
      <c r="G128" s="738"/>
    </row>
    <row r="129" spans="1:7">
      <c r="A129" s="730"/>
      <c r="B129" s="435"/>
      <c r="C129" s="738"/>
      <c r="D129" s="738"/>
      <c r="E129" s="738"/>
      <c r="F129" s="738"/>
      <c r="G129" s="738"/>
    </row>
    <row r="130" spans="1:7">
      <c r="A130" s="730"/>
      <c r="B130" s="435"/>
      <c r="C130" s="738"/>
      <c r="D130" s="738"/>
      <c r="E130" s="738"/>
      <c r="F130" s="738"/>
      <c r="G130" s="738"/>
    </row>
    <row r="131" spans="1:7">
      <c r="A131" s="730"/>
      <c r="B131" s="435"/>
      <c r="C131" s="738"/>
      <c r="D131" s="738"/>
      <c r="E131" s="738"/>
      <c r="F131" s="738"/>
      <c r="G131" s="738"/>
    </row>
    <row r="132" spans="1:7">
      <c r="A132" s="730"/>
      <c r="B132" s="435"/>
      <c r="C132" s="435"/>
      <c r="D132" s="435"/>
      <c r="E132" s="435"/>
      <c r="F132" s="435"/>
      <c r="G132" s="435"/>
    </row>
    <row r="133" spans="1:7">
      <c r="A133" s="730"/>
      <c r="B133" s="435"/>
      <c r="C133" s="435"/>
      <c r="D133" s="435"/>
      <c r="E133" s="435"/>
      <c r="F133" s="435"/>
      <c r="G133" s="435"/>
    </row>
    <row r="134" spans="1:7">
      <c r="A134" s="730"/>
      <c r="B134" s="435"/>
      <c r="C134" s="435"/>
      <c r="D134" s="435"/>
      <c r="E134" s="435"/>
      <c r="F134" s="435"/>
      <c r="G134" s="435"/>
    </row>
    <row r="135" spans="1:7">
      <c r="A135" s="730"/>
      <c r="B135" s="435"/>
      <c r="C135" s="435"/>
      <c r="D135" s="435"/>
      <c r="E135" s="435"/>
      <c r="F135" s="435"/>
      <c r="G135" s="435"/>
    </row>
    <row r="136" spans="1:7">
      <c r="A136" s="730"/>
      <c r="B136" s="435"/>
      <c r="C136" s="435"/>
      <c r="D136" s="435"/>
      <c r="E136" s="435"/>
      <c r="F136" s="435"/>
      <c r="G136" s="435"/>
    </row>
    <row r="137" spans="1:7">
      <c r="A137" s="730"/>
      <c r="B137" s="435"/>
      <c r="C137" s="435"/>
      <c r="D137" s="435"/>
      <c r="E137" s="435"/>
      <c r="F137" s="435"/>
      <c r="G137" s="435"/>
    </row>
    <row r="138" spans="1:7">
      <c r="A138" s="730"/>
      <c r="B138" s="435"/>
      <c r="C138" s="435"/>
      <c r="D138" s="435"/>
      <c r="E138" s="435"/>
      <c r="F138" s="435"/>
      <c r="G138" s="435"/>
    </row>
    <row r="139" spans="1:7">
      <c r="A139" s="730"/>
      <c r="B139" s="435"/>
      <c r="C139" s="435"/>
      <c r="D139" s="435"/>
      <c r="E139" s="435"/>
      <c r="F139" s="435"/>
      <c r="G139" s="435"/>
    </row>
    <row r="140" spans="1:7">
      <c r="A140" s="730"/>
      <c r="B140" s="435"/>
      <c r="C140" s="435"/>
      <c r="D140" s="435"/>
      <c r="E140" s="435"/>
      <c r="F140" s="435"/>
      <c r="G140" s="435"/>
    </row>
    <row r="141" spans="1:7">
      <c r="A141" s="730"/>
      <c r="B141" s="435"/>
      <c r="C141" s="435"/>
      <c r="D141" s="435"/>
      <c r="E141" s="435"/>
      <c r="F141" s="435"/>
      <c r="G141" s="435"/>
    </row>
    <row r="142" spans="1:7">
      <c r="A142" s="730"/>
      <c r="B142" s="435"/>
      <c r="C142" s="435"/>
      <c r="D142" s="435"/>
      <c r="E142" s="435"/>
      <c r="F142" s="435"/>
      <c r="G142" s="435"/>
    </row>
    <row r="143" spans="1:7">
      <c r="A143" s="730"/>
      <c r="B143" s="435"/>
      <c r="C143" s="435"/>
      <c r="D143" s="435"/>
      <c r="E143" s="435"/>
      <c r="F143" s="435"/>
      <c r="G143" s="435"/>
    </row>
    <row r="144" spans="1:7">
      <c r="A144" s="435"/>
      <c r="B144" s="435"/>
      <c r="C144" s="435"/>
      <c r="D144" s="435"/>
      <c r="E144" s="435"/>
      <c r="F144" s="435"/>
      <c r="G144" s="435"/>
    </row>
    <row r="145" spans="1:7">
      <c r="A145" s="435"/>
      <c r="B145" s="435"/>
      <c r="C145" s="435"/>
      <c r="D145" s="435"/>
      <c r="E145" s="435"/>
      <c r="F145" s="435"/>
      <c r="G145" s="435"/>
    </row>
    <row r="146" spans="1:7">
      <c r="A146" s="435"/>
      <c r="B146" s="435"/>
      <c r="C146" s="435"/>
      <c r="D146" s="435"/>
      <c r="E146" s="435"/>
      <c r="F146" s="435"/>
      <c r="G146" s="435"/>
    </row>
    <row r="147" spans="1:7">
      <c r="A147" s="435"/>
      <c r="B147" s="435"/>
      <c r="C147" s="435"/>
      <c r="D147" s="435"/>
      <c r="E147" s="435"/>
      <c r="F147" s="435"/>
      <c r="G147" s="435"/>
    </row>
    <row r="148" spans="1:7">
      <c r="A148" s="435"/>
      <c r="B148" s="435"/>
      <c r="C148" s="435"/>
      <c r="D148" s="435"/>
      <c r="E148" s="435"/>
      <c r="F148" s="435"/>
      <c r="G148" s="435"/>
    </row>
    <row r="149" spans="1:7">
      <c r="A149" s="435"/>
      <c r="B149" s="435"/>
      <c r="C149" s="435"/>
      <c r="D149" s="435"/>
      <c r="E149" s="435"/>
      <c r="F149" s="435"/>
      <c r="G149" s="435"/>
    </row>
    <row r="150" spans="1:7">
      <c r="A150" s="435"/>
      <c r="B150" s="435"/>
      <c r="C150" s="435"/>
      <c r="D150" s="435"/>
      <c r="E150" s="435"/>
      <c r="F150" s="435"/>
      <c r="G150" s="435"/>
    </row>
    <row r="151" spans="1:7">
      <c r="A151" s="435"/>
      <c r="B151" s="435"/>
      <c r="C151" s="435"/>
      <c r="D151" s="435"/>
      <c r="E151" s="435"/>
      <c r="F151" s="435"/>
      <c r="G151" s="435"/>
    </row>
    <row r="152" spans="1:7">
      <c r="A152" s="435"/>
      <c r="B152" s="435"/>
      <c r="C152" s="435"/>
      <c r="D152" s="435"/>
      <c r="E152" s="435"/>
      <c r="F152" s="435"/>
      <c r="G152" s="435"/>
    </row>
    <row r="153" spans="1:7">
      <c r="A153" s="435"/>
      <c r="B153" s="435"/>
      <c r="C153" s="435"/>
      <c r="D153" s="435"/>
      <c r="E153" s="435"/>
      <c r="F153" s="435"/>
      <c r="G153" s="435"/>
    </row>
    <row r="154" spans="1:7">
      <c r="A154" s="435"/>
      <c r="B154" s="435"/>
      <c r="C154" s="435"/>
      <c r="D154" s="435"/>
      <c r="E154" s="435"/>
      <c r="F154" s="435"/>
      <c r="G154" s="435"/>
    </row>
    <row r="155" spans="1:7">
      <c r="A155" s="435"/>
      <c r="B155" s="435"/>
      <c r="C155" s="435"/>
      <c r="D155" s="435"/>
      <c r="E155" s="435"/>
      <c r="F155" s="435"/>
      <c r="G155" s="435"/>
    </row>
    <row r="156" spans="1:7">
      <c r="A156" s="435"/>
      <c r="B156" s="435"/>
      <c r="C156" s="435"/>
      <c r="D156" s="435"/>
      <c r="E156" s="435"/>
      <c r="F156" s="435"/>
      <c r="G156" s="435"/>
    </row>
    <row r="157" spans="1:7">
      <c r="A157" s="435"/>
      <c r="B157" s="435"/>
      <c r="C157" s="435"/>
      <c r="D157" s="435"/>
      <c r="E157" s="435"/>
      <c r="F157" s="435"/>
      <c r="G157" s="435"/>
    </row>
    <row r="158" spans="1:7">
      <c r="A158" s="435"/>
      <c r="B158" s="435"/>
      <c r="C158" s="435"/>
      <c r="D158" s="435"/>
      <c r="E158" s="435"/>
      <c r="F158" s="435"/>
      <c r="G158" s="435"/>
    </row>
    <row r="159" spans="1:7">
      <c r="A159" s="435"/>
      <c r="B159" s="435"/>
      <c r="C159" s="435"/>
      <c r="D159" s="435"/>
      <c r="E159" s="435"/>
      <c r="F159" s="435"/>
      <c r="G159" s="435"/>
    </row>
    <row r="160" spans="1:7">
      <c r="A160" s="435"/>
      <c r="B160" s="435"/>
      <c r="C160" s="435"/>
      <c r="D160" s="435"/>
      <c r="E160" s="435"/>
      <c r="F160" s="435"/>
      <c r="G160" s="435"/>
    </row>
  </sheetData>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Pict="0">
                <anchor moveWithCells="1">
                  <from>
                    <xdr:col>0</xdr:col>
                    <xdr:colOff>39003</xdr:colOff>
                    <xdr:row>0</xdr:row>
                    <xdr:rowOff>21668</xdr:rowOff>
                  </from>
                  <to>
                    <xdr:col>1</xdr:col>
                    <xdr:colOff>0</xdr:colOff>
                    <xdr:row>1</xdr:row>
                    <xdr:rowOff>0</xdr:rowOff>
                  </to>
                </anchor>
              </controlPr>
            </control>
          </mc:Choice>
        </mc:AlternateContent>
        <mc:AlternateContent xmlns:mc="http://schemas.openxmlformats.org/markup-compatibility/2006">
          <mc:Choice Requires="x14">
            <control shapeId="3093" r:id="rId4" name="NavigateCombBox">
              <controlPr defaultSize="0" autoPict="0" macro="[0]!NavigateBox">
                <anchor moveWithCells="1">
                  <from>
                    <xdr:col>0</xdr:col>
                    <xdr:colOff>0</xdr:colOff>
                    <xdr:row>0</xdr:row>
                    <xdr:rowOff>0</xdr:rowOff>
                  </from>
                  <to>
                    <xdr:col>1</xdr:col>
                    <xdr:colOff>797391</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14996795556505021"/>
  </sheetPr>
  <dimension ref="A1:CG116"/>
  <sheetViews>
    <sheetView workbookViewId="0">
      <pane ySplit="14" topLeftCell="A15" activePane="bottomLeft" state="frozen"/>
      <selection pane="bottomLeft" activeCell="H25" sqref="H25"/>
    </sheetView>
  </sheetViews>
  <sheetFormatPr defaultColWidth="9" defaultRowHeight="14.35" outlineLevelRow="1"/>
  <cols>
    <col min="1" max="1" width="23.875" customWidth="1"/>
    <col min="2" max="2" width="11.5625" customWidth="1"/>
    <col min="3" max="3" width="28.875" customWidth="1"/>
    <col min="4" max="7" width="8.1875" bestFit="1" customWidth="1"/>
    <col min="8" max="8" width="13.125" customWidth="1"/>
    <col min="17" max="17" width="9.125" style="578"/>
    <col min="18" max="85" width="9.125" style="511"/>
  </cols>
  <sheetData>
    <row r="1" spans="1:17">
      <c r="A1" s="404"/>
      <c r="B1" s="579"/>
      <c r="C1" s="579"/>
      <c r="D1" s="579"/>
      <c r="E1" s="579"/>
      <c r="F1" s="210"/>
      <c r="G1" s="210"/>
      <c r="H1" s="210"/>
      <c r="I1" s="220"/>
      <c r="J1" s="220"/>
      <c r="K1" s="220"/>
      <c r="L1" s="220"/>
      <c r="M1" s="220"/>
      <c r="N1" s="220"/>
      <c r="O1" s="220"/>
      <c r="P1" s="220"/>
      <c r="Q1" s="621"/>
    </row>
    <row r="2" spans="1:17" ht="18" customHeight="1">
      <c r="A2" s="211" t="str">
        <f>'[2]历史年度（原始）'!A2</f>
        <v>单位：元</v>
      </c>
      <c r="B2" s="579"/>
      <c r="C2" s="579"/>
      <c r="D2" s="579"/>
      <c r="E2" s="579"/>
      <c r="F2" s="210"/>
      <c r="G2" s="210"/>
      <c r="H2" s="210"/>
      <c r="I2" s="220"/>
      <c r="J2" s="220"/>
      <c r="K2" s="220"/>
      <c r="L2" s="220"/>
      <c r="M2" s="220"/>
      <c r="N2" s="220"/>
      <c r="O2" s="220"/>
      <c r="P2" s="220"/>
      <c r="Q2" s="621"/>
    </row>
    <row r="3" spans="1:17" ht="15.35">
      <c r="A3" s="212"/>
      <c r="B3" s="579"/>
      <c r="C3" s="579"/>
      <c r="D3" s="579"/>
      <c r="E3" s="579"/>
      <c r="F3" s="210"/>
      <c r="G3" s="210"/>
      <c r="H3" s="210"/>
      <c r="I3" s="220"/>
      <c r="J3" s="220"/>
      <c r="K3" s="220"/>
      <c r="L3" s="220"/>
      <c r="M3" s="220"/>
      <c r="N3" s="220"/>
      <c r="O3" s="220"/>
      <c r="P3" s="220"/>
      <c r="Q3" s="621"/>
    </row>
    <row r="4" spans="1:17">
      <c r="A4" s="580" t="s">
        <v>1402</v>
      </c>
      <c r="B4" s="418"/>
      <c r="C4" s="581" t="s">
        <v>1336</v>
      </c>
      <c r="D4" s="210"/>
      <c r="E4" s="210"/>
      <c r="F4" s="210"/>
      <c r="G4" s="210"/>
      <c r="H4" s="210"/>
      <c r="I4" s="220"/>
      <c r="J4" s="220"/>
      <c r="K4" s="220"/>
      <c r="L4" s="220"/>
      <c r="M4" s="220"/>
      <c r="N4" s="220"/>
      <c r="O4" s="220"/>
      <c r="P4" s="220"/>
      <c r="Q4" s="621"/>
    </row>
    <row r="5" spans="1:17">
      <c r="A5" s="418"/>
      <c r="B5" s="418"/>
      <c r="C5" s="418"/>
      <c r="D5" s="210"/>
      <c r="E5" s="210"/>
      <c r="F5" s="210"/>
      <c r="G5" s="210"/>
      <c r="H5" s="210"/>
      <c r="I5" s="220"/>
      <c r="J5" s="220"/>
      <c r="K5" s="220"/>
      <c r="L5" s="220"/>
      <c r="M5" s="220"/>
      <c r="N5" s="220"/>
      <c r="O5" s="220"/>
      <c r="P5" s="220"/>
      <c r="Q5" s="621"/>
    </row>
    <row r="6" spans="1:17">
      <c r="A6" s="582" t="s">
        <v>1332</v>
      </c>
      <c r="B6" s="583">
        <v>2.2499999999999999E-2</v>
      </c>
      <c r="C6" s="418"/>
      <c r="D6" s="76">
        <v>43465</v>
      </c>
      <c r="E6" s="312">
        <v>43830</v>
      </c>
      <c r="F6" s="312">
        <v>44196</v>
      </c>
      <c r="G6" s="973">
        <v>44561</v>
      </c>
      <c r="H6" s="217"/>
      <c r="I6" s="217"/>
      <c r="J6" s="224"/>
      <c r="K6" s="224"/>
      <c r="L6" s="224"/>
      <c r="M6" s="220"/>
      <c r="N6" s="220"/>
      <c r="O6" s="220"/>
      <c r="P6" s="220"/>
      <c r="Q6" s="621"/>
    </row>
    <row r="7" spans="1:17">
      <c r="A7" s="582" t="s">
        <v>1333</v>
      </c>
      <c r="B7" s="583">
        <v>5.3100000000000001E-2</v>
      </c>
      <c r="C7" s="422" t="s">
        <v>1403</v>
      </c>
      <c r="D7" s="584"/>
      <c r="E7" s="579" t="e">
        <f>E58</f>
        <v>#VALUE!</v>
      </c>
      <c r="F7" s="579" t="e">
        <f>F58</f>
        <v>#VALUE!</v>
      </c>
      <c r="G7" s="1076" t="e">
        <f>G58</f>
        <v>#VALUE!</v>
      </c>
      <c r="H7" s="614"/>
      <c r="I7" s="579"/>
      <c r="J7" s="615"/>
      <c r="K7" s="615"/>
      <c r="L7" s="615"/>
      <c r="M7" s="220"/>
      <c r="N7" s="220"/>
      <c r="O7" s="220"/>
      <c r="P7" s="220"/>
      <c r="Q7" s="621"/>
    </row>
    <row r="8" spans="1:17">
      <c r="A8" s="582" t="s">
        <v>1334</v>
      </c>
      <c r="B8" s="583">
        <v>5.7599999999999998E-2</v>
      </c>
      <c r="C8" s="422" t="s">
        <v>1404</v>
      </c>
      <c r="D8" s="584"/>
      <c r="E8" s="579" t="e">
        <f>E63</f>
        <v>#VALUE!</v>
      </c>
      <c r="F8" s="579" t="e">
        <f>F63</f>
        <v>#VALUE!</v>
      </c>
      <c r="G8" s="1076" t="e">
        <f>G63</f>
        <v>#VALUE!</v>
      </c>
      <c r="H8" s="614"/>
      <c r="I8" s="579"/>
      <c r="J8" s="615"/>
      <c r="K8" s="615"/>
      <c r="L8" s="615"/>
      <c r="M8" s="220"/>
      <c r="N8" s="220"/>
      <c r="O8" s="220"/>
      <c r="P8" s="220"/>
      <c r="Q8" s="621"/>
    </row>
    <row r="9" spans="1:17">
      <c r="A9" s="582" t="s">
        <v>1335</v>
      </c>
      <c r="B9" s="583">
        <v>0.01</v>
      </c>
      <c r="C9" s="422" t="s">
        <v>983</v>
      </c>
      <c r="D9" s="584"/>
      <c r="E9" s="579">
        <f t="shared" ref="E9:F10" si="0">E72</f>
        <v>1.7070103167795003E-2</v>
      </c>
      <c r="F9" s="579" t="e">
        <f t="shared" si="0"/>
        <v>#VALUE!</v>
      </c>
      <c r="G9" s="1076" t="e">
        <f t="shared" ref="G9" si="1">G72</f>
        <v>#VALUE!</v>
      </c>
      <c r="H9" s="614"/>
      <c r="I9" s="579"/>
      <c r="J9" s="615"/>
      <c r="K9" s="615"/>
      <c r="L9" s="615"/>
      <c r="M9" s="220"/>
      <c r="N9" s="220"/>
      <c r="O9" s="220"/>
      <c r="P9" s="220"/>
      <c r="Q9" s="621"/>
    </row>
    <row r="10" spans="1:17">
      <c r="A10" s="585"/>
      <c r="B10" s="292"/>
      <c r="C10" s="422" t="s">
        <v>984</v>
      </c>
      <c r="D10" s="584"/>
      <c r="E10" s="579">
        <f t="shared" si="0"/>
        <v>5.7353824019249995E-2</v>
      </c>
      <c r="F10" s="579" t="e">
        <f t="shared" si="0"/>
        <v>#VALUE!</v>
      </c>
      <c r="G10" s="1076" t="e">
        <f t="shared" ref="G10" si="2">G73</f>
        <v>#VALUE!</v>
      </c>
      <c r="H10" s="614"/>
      <c r="I10" s="579"/>
      <c r="J10" s="615"/>
      <c r="K10" s="615"/>
      <c r="L10" s="615"/>
      <c r="M10" s="220"/>
      <c r="N10" s="220"/>
      <c r="O10" s="220"/>
      <c r="P10" s="220"/>
      <c r="Q10" s="621"/>
    </row>
    <row r="11" spans="1:17">
      <c r="A11" s="225"/>
      <c r="B11" s="586"/>
      <c r="C11" s="422" t="s">
        <v>1330</v>
      </c>
      <c r="D11" s="584"/>
      <c r="E11" s="579" t="e">
        <f>IF($B$18=1,E33,E41)</f>
        <v>#VALUE!</v>
      </c>
      <c r="F11" s="579" t="e">
        <f t="shared" ref="F11:G13" si="3">IF($B$18=1,F33,F41)</f>
        <v>#VALUE!</v>
      </c>
      <c r="G11" s="1076" t="e">
        <f t="shared" ref="G11" si="4">IF($B$18=1,G33,G41)</f>
        <v>#VALUE!</v>
      </c>
      <c r="H11" s="579"/>
      <c r="I11" s="579"/>
      <c r="J11" s="615"/>
      <c r="K11" s="615"/>
      <c r="L11" s="615"/>
      <c r="M11" s="220"/>
      <c r="N11" s="220"/>
      <c r="O11" s="220"/>
      <c r="P11" s="220"/>
      <c r="Q11" s="621"/>
    </row>
    <row r="12" spans="1:17">
      <c r="A12" s="225"/>
      <c r="B12" s="586"/>
      <c r="C12" s="427" t="s">
        <v>1405</v>
      </c>
      <c r="D12" s="584"/>
      <c r="E12" s="579" t="e">
        <f>IF($B$18=1,E34,E42)</f>
        <v>#VALUE!</v>
      </c>
      <c r="F12" s="579" t="e">
        <f t="shared" si="3"/>
        <v>#VALUE!</v>
      </c>
      <c r="G12" s="1076" t="e">
        <f t="shared" ref="G12" si="5">IF($B$18=1,G34,G42)</f>
        <v>#VALUE!</v>
      </c>
      <c r="H12" s="579"/>
      <c r="I12" s="579"/>
      <c r="J12" s="615"/>
      <c r="K12" s="615"/>
      <c r="L12" s="615"/>
      <c r="M12" s="220"/>
      <c r="N12" s="220"/>
      <c r="O12" s="220"/>
      <c r="P12" s="220"/>
      <c r="Q12" s="621"/>
    </row>
    <row r="13" spans="1:17" ht="15.35">
      <c r="A13" s="212"/>
      <c r="B13" s="586"/>
      <c r="C13" s="428" t="s">
        <v>1406</v>
      </c>
      <c r="D13" s="587"/>
      <c r="E13" s="974" t="e">
        <f>IF($B$18=1,E35,E43)</f>
        <v>#VALUE!</v>
      </c>
      <c r="F13" s="974" t="e">
        <f t="shared" si="3"/>
        <v>#VALUE!</v>
      </c>
      <c r="G13" s="975" t="e">
        <f t="shared" ref="G13" si="6">IF($B$18=1,G35,G43)</f>
        <v>#VALUE!</v>
      </c>
      <c r="H13" s="579"/>
      <c r="I13" s="579"/>
      <c r="J13" s="615"/>
      <c r="K13" s="615"/>
      <c r="L13" s="615"/>
      <c r="M13" s="220"/>
      <c r="N13" s="220"/>
      <c r="O13" s="220"/>
      <c r="P13" s="220"/>
      <c r="Q13" s="621"/>
    </row>
    <row r="14" spans="1:17">
      <c r="A14" s="588"/>
      <c r="B14" s="589"/>
      <c r="C14" s="588"/>
      <c r="D14" s="589"/>
      <c r="E14" s="589"/>
      <c r="F14" s="589"/>
      <c r="G14" s="589"/>
      <c r="H14" s="210"/>
      <c r="I14" s="210"/>
      <c r="J14" s="210"/>
      <c r="K14" s="210"/>
      <c r="L14" s="210"/>
      <c r="M14" s="225"/>
      <c r="N14" s="225"/>
      <c r="O14" s="225"/>
      <c r="P14" s="225"/>
      <c r="Q14" s="622"/>
    </row>
    <row r="15" spans="1:17">
      <c r="A15" s="590"/>
      <c r="B15" s="254"/>
      <c r="C15" s="233"/>
      <c r="D15" s="254"/>
      <c r="E15" s="254"/>
      <c r="F15" s="210"/>
      <c r="G15" s="213"/>
      <c r="H15" s="210"/>
      <c r="I15" s="225"/>
      <c r="J15" s="225"/>
      <c r="K15" s="616"/>
      <c r="L15" s="225"/>
      <c r="M15" s="225"/>
      <c r="N15" s="225"/>
      <c r="O15" s="225"/>
      <c r="P15" s="225"/>
      <c r="Q15" s="622"/>
    </row>
    <row r="16" spans="1:17">
      <c r="A16" s="580" t="s">
        <v>1362</v>
      </c>
      <c r="B16" s="254"/>
      <c r="C16" s="233"/>
      <c r="D16" s="254"/>
      <c r="E16" s="254"/>
      <c r="F16" s="210"/>
      <c r="G16" s="213"/>
      <c r="H16" s="210"/>
      <c r="I16" s="225"/>
      <c r="J16" s="225"/>
      <c r="K16" s="616"/>
      <c r="L16" s="225"/>
      <c r="M16" s="225"/>
      <c r="N16" s="225"/>
      <c r="O16" s="225"/>
      <c r="P16" s="225"/>
      <c r="Q16" s="622"/>
    </row>
    <row r="17" spans="1:17">
      <c r="A17" s="233"/>
      <c r="B17" s="254"/>
      <c r="C17" s="233"/>
      <c r="D17" s="254"/>
      <c r="E17" s="254"/>
      <c r="F17" s="210"/>
      <c r="G17" s="213"/>
      <c r="H17" s="210"/>
      <c r="I17" s="225"/>
      <c r="J17" s="225"/>
      <c r="K17" s="616"/>
      <c r="L17" s="225"/>
      <c r="M17" s="225"/>
      <c r="N17" s="225"/>
      <c r="O17" s="225"/>
      <c r="P17" s="225"/>
      <c r="Q17" s="622"/>
    </row>
    <row r="18" spans="1:17">
      <c r="A18" s="591" t="s">
        <v>1324</v>
      </c>
      <c r="B18" s="592">
        <v>1</v>
      </c>
      <c r="C18" s="233"/>
      <c r="D18" s="254"/>
      <c r="E18" s="254"/>
      <c r="F18" s="210"/>
      <c r="G18" s="213"/>
      <c r="H18" s="210"/>
      <c r="I18" s="225"/>
      <c r="J18" s="225"/>
      <c r="K18" s="616"/>
      <c r="L18" s="225"/>
      <c r="M18" s="225"/>
      <c r="N18" s="225"/>
      <c r="O18" s="225"/>
      <c r="P18" s="225"/>
      <c r="Q18" s="622"/>
    </row>
    <row r="19" spans="1:17" outlineLevel="1">
      <c r="A19" s="591"/>
      <c r="B19" s="593"/>
      <c r="C19" s="233"/>
      <c r="D19" s="254"/>
      <c r="E19" s="254"/>
      <c r="F19" s="210"/>
      <c r="G19" s="213"/>
      <c r="H19" s="210"/>
      <c r="I19" s="225"/>
      <c r="J19" s="225"/>
      <c r="K19" s="616"/>
      <c r="L19" s="225"/>
      <c r="M19" s="225"/>
      <c r="N19" s="225"/>
      <c r="O19" s="225"/>
      <c r="P19" s="225"/>
      <c r="Q19" s="622"/>
    </row>
    <row r="20" spans="1:17" outlineLevel="1">
      <c r="A20" s="233"/>
      <c r="B20" s="254"/>
      <c r="C20" s="594" t="s">
        <v>1325</v>
      </c>
      <c r="D20" s="254"/>
      <c r="E20" s="254"/>
      <c r="F20" s="210"/>
      <c r="G20" s="213"/>
      <c r="H20" s="210"/>
      <c r="I20" s="220"/>
      <c r="J20" s="616"/>
      <c r="K20" s="616"/>
      <c r="L20" s="225"/>
      <c r="M20" s="225"/>
      <c r="N20" s="225"/>
      <c r="O20" s="225"/>
      <c r="P20" s="225"/>
      <c r="Q20" s="622"/>
    </row>
    <row r="21" spans="1:17" outlineLevel="1">
      <c r="A21" s="233"/>
      <c r="B21" s="254"/>
      <c r="C21" s="594"/>
      <c r="D21" s="254"/>
      <c r="E21" s="254"/>
      <c r="F21" s="210"/>
      <c r="G21" s="213"/>
      <c r="H21" s="210"/>
      <c r="I21" s="220"/>
      <c r="J21" s="616"/>
      <c r="K21" s="616"/>
      <c r="L21" s="225"/>
      <c r="M21" s="225"/>
      <c r="N21" s="225"/>
      <c r="O21" s="225"/>
      <c r="P21" s="225"/>
      <c r="Q21" s="622"/>
    </row>
    <row r="22" spans="1:17" outlineLevel="1">
      <c r="A22" s="233"/>
      <c r="B22" s="254"/>
      <c r="C22" s="233" t="s">
        <v>1407</v>
      </c>
      <c r="D22" s="254"/>
      <c r="E22" s="595">
        <v>0.65</v>
      </c>
      <c r="F22" s="210"/>
      <c r="G22" s="213"/>
      <c r="H22" s="210"/>
      <c r="I22" s="220"/>
      <c r="J22" s="616"/>
      <c r="K22" s="616"/>
      <c r="L22" s="225"/>
      <c r="M22" s="225"/>
      <c r="N22" s="225"/>
      <c r="O22" s="225"/>
      <c r="P22" s="225"/>
      <c r="Q22" s="622"/>
    </row>
    <row r="23" spans="1:17" outlineLevel="1">
      <c r="A23" s="233"/>
      <c r="B23" s="254"/>
      <c r="C23" s="596" t="s">
        <v>1408</v>
      </c>
      <c r="D23" s="254"/>
      <c r="E23" s="595">
        <v>0.55000000000000004</v>
      </c>
      <c r="F23" s="210"/>
      <c r="G23" s="213"/>
      <c r="H23" s="210"/>
      <c r="I23" s="220"/>
      <c r="J23" s="616"/>
      <c r="K23" s="616"/>
      <c r="L23" s="225"/>
      <c r="M23" s="225"/>
      <c r="N23" s="225"/>
      <c r="O23" s="225"/>
      <c r="P23" s="225"/>
      <c r="Q23" s="622"/>
    </row>
    <row r="24" spans="1:17" outlineLevel="1">
      <c r="A24" s="233"/>
      <c r="B24" s="254"/>
      <c r="C24" s="596" t="s">
        <v>1409</v>
      </c>
      <c r="D24" s="254"/>
      <c r="E24" s="597">
        <v>28.63</v>
      </c>
      <c r="F24" s="210"/>
      <c r="G24" s="213"/>
      <c r="H24" s="210"/>
      <c r="I24" s="220"/>
      <c r="J24" s="616"/>
      <c r="K24" s="616"/>
      <c r="L24" s="225"/>
      <c r="M24" s="225"/>
      <c r="N24" s="225"/>
      <c r="O24" s="225"/>
      <c r="P24" s="225"/>
      <c r="Q24" s="622"/>
    </row>
    <row r="25" spans="1:17" outlineLevel="1">
      <c r="A25" s="233"/>
      <c r="B25" s="254"/>
      <c r="C25" s="225"/>
      <c r="D25" s="598"/>
      <c r="E25" s="281"/>
      <c r="F25" s="210"/>
      <c r="G25" s="213"/>
      <c r="H25" s="210"/>
      <c r="I25" s="220"/>
      <c r="J25" s="616"/>
      <c r="K25" s="616"/>
      <c r="L25" s="225"/>
      <c r="M25" s="225"/>
      <c r="N25" s="225"/>
      <c r="O25" s="225"/>
      <c r="P25" s="225"/>
      <c r="Q25" s="622"/>
    </row>
    <row r="26" spans="1:17" ht="15.35" outlineLevel="1">
      <c r="A26" s="233"/>
      <c r="B26" s="254"/>
      <c r="C26" s="212"/>
      <c r="D26" s="76">
        <v>43465</v>
      </c>
      <c r="E26" s="312">
        <v>43830</v>
      </c>
      <c r="F26" s="312">
        <v>44196</v>
      </c>
      <c r="G26" s="973">
        <v>44561</v>
      </c>
      <c r="H26" s="217"/>
      <c r="I26" s="217"/>
      <c r="J26" s="224"/>
      <c r="K26" s="224"/>
      <c r="L26" s="224"/>
      <c r="M26" s="220"/>
      <c r="N26" s="220"/>
      <c r="O26" s="220"/>
      <c r="P26" s="220"/>
      <c r="Q26" s="621"/>
    </row>
    <row r="27" spans="1:17" outlineLevel="1">
      <c r="A27" s="233"/>
      <c r="B27" s="425"/>
      <c r="C27" s="220" t="s">
        <v>1410</v>
      </c>
      <c r="D27" s="584"/>
      <c r="E27" s="579">
        <f>D55</f>
        <v>2.5321442329999995</v>
      </c>
      <c r="F27" s="579" t="e">
        <f>E55</f>
        <v>#VALUE!</v>
      </c>
      <c r="G27" s="1076" t="e">
        <f>F55</f>
        <v>#VALUE!</v>
      </c>
      <c r="H27" s="579"/>
      <c r="I27" s="579"/>
      <c r="J27" s="615"/>
      <c r="K27" s="615"/>
      <c r="L27" s="615"/>
      <c r="M27" s="225"/>
      <c r="N27" s="225"/>
      <c r="O27" s="225"/>
      <c r="P27" s="225"/>
      <c r="Q27" s="622"/>
    </row>
    <row r="28" spans="1:17" outlineLevel="1">
      <c r="A28" s="233"/>
      <c r="B28" s="422" t="s">
        <v>865</v>
      </c>
      <c r="C28" s="220" t="s">
        <v>1411</v>
      </c>
      <c r="D28" s="584"/>
      <c r="E28" s="579" t="e">
        <f t="shared" ref="E28:F29" si="7">E49</f>
        <v>#VALUE!</v>
      </c>
      <c r="F28" s="579" t="e">
        <f t="shared" si="7"/>
        <v>#VALUE!</v>
      </c>
      <c r="G28" s="1076" t="e">
        <f t="shared" ref="G28" si="8">G49</f>
        <v>#VALUE!</v>
      </c>
      <c r="H28" s="579"/>
      <c r="I28" s="579"/>
      <c r="J28" s="615"/>
      <c r="K28" s="615"/>
      <c r="L28" s="615"/>
      <c r="M28" s="225"/>
      <c r="N28" s="225"/>
      <c r="O28" s="225"/>
      <c r="P28" s="225"/>
      <c r="Q28" s="622"/>
    </row>
    <row r="29" spans="1:17" outlineLevel="1">
      <c r="A29" s="233"/>
      <c r="B29" s="425"/>
      <c r="C29" s="220" t="s">
        <v>1412</v>
      </c>
      <c r="D29" s="584"/>
      <c r="E29" s="579">
        <f t="shared" si="7"/>
        <v>-105.67993182974058</v>
      </c>
      <c r="F29" s="579">
        <f t="shared" si="7"/>
        <v>8.095152932281648</v>
      </c>
      <c r="G29" s="1076">
        <f t="shared" ref="G29" si="9">G50</f>
        <v>5.1947297436779447</v>
      </c>
      <c r="H29" s="579"/>
      <c r="I29" s="579"/>
      <c r="J29" s="615"/>
      <c r="K29" s="615"/>
      <c r="L29" s="615"/>
      <c r="M29" s="225"/>
      <c r="N29" s="225"/>
      <c r="O29" s="225"/>
      <c r="P29" s="225"/>
      <c r="Q29" s="622"/>
    </row>
    <row r="30" spans="1:17" outlineLevel="1">
      <c r="A30" s="233"/>
      <c r="B30" s="422" t="s">
        <v>858</v>
      </c>
      <c r="C30" s="220" t="s">
        <v>1413</v>
      </c>
      <c r="D30" s="584"/>
      <c r="E30" s="579">
        <f>E52</f>
        <v>0.28070861922876927</v>
      </c>
      <c r="F30" s="579">
        <f>F52</f>
        <v>0.33359822094504815</v>
      </c>
      <c r="G30" s="1076">
        <f>G52</f>
        <v>0.39645299572010972</v>
      </c>
      <c r="H30" s="579"/>
      <c r="I30" s="579"/>
      <c r="J30" s="615"/>
      <c r="K30" s="615"/>
      <c r="L30" s="615"/>
      <c r="M30" s="225"/>
      <c r="N30" s="225"/>
      <c r="O30" s="225"/>
      <c r="P30" s="225"/>
      <c r="Q30" s="622"/>
    </row>
    <row r="31" spans="1:17" outlineLevel="1">
      <c r="A31" s="233"/>
      <c r="B31" s="425"/>
      <c r="C31" s="220" t="s">
        <v>1414</v>
      </c>
      <c r="D31" s="584"/>
      <c r="E31" s="579" t="e">
        <f>E27+E28+E29-E30</f>
        <v>#VALUE!</v>
      </c>
      <c r="F31" s="579" t="e">
        <f>F27+F28+F29-F30</f>
        <v>#VALUE!</v>
      </c>
      <c r="G31" s="1076" t="e">
        <f>G27+G28+G29-G30</f>
        <v>#VALUE!</v>
      </c>
      <c r="H31" s="579"/>
      <c r="I31" s="579"/>
      <c r="J31" s="615"/>
      <c r="K31" s="615"/>
      <c r="L31" s="615"/>
      <c r="M31" s="225"/>
      <c r="N31" s="225"/>
      <c r="O31" s="225"/>
      <c r="P31" s="225"/>
      <c r="Q31" s="622"/>
    </row>
    <row r="32" spans="1:17" outlineLevel="1">
      <c r="A32" s="233"/>
      <c r="B32" s="425"/>
      <c r="C32" s="220" t="s">
        <v>1415</v>
      </c>
      <c r="D32" s="584"/>
      <c r="E32" s="579" t="e">
        <f>IF(E31&gt;0,0,-E31*$E$23)</f>
        <v>#VALUE!</v>
      </c>
      <c r="F32" s="579" t="e">
        <f>IF(F31&gt;0,0,-F31*$E$23)</f>
        <v>#VALUE!</v>
      </c>
      <c r="G32" s="1076" t="e">
        <f>IF(G31&gt;0,0,-G31*$E$23)</f>
        <v>#VALUE!</v>
      </c>
      <c r="H32" s="579"/>
      <c r="I32" s="579"/>
      <c r="J32" s="615"/>
      <c r="K32" s="615"/>
      <c r="L32" s="615"/>
      <c r="M32" s="220"/>
      <c r="N32" s="220"/>
      <c r="O32" s="220"/>
      <c r="P32" s="220"/>
      <c r="Q32" s="621"/>
    </row>
    <row r="33" spans="1:17" outlineLevel="1">
      <c r="A33" s="233"/>
      <c r="B33" s="425"/>
      <c r="C33" s="220" t="s">
        <v>1330</v>
      </c>
      <c r="D33" s="584"/>
      <c r="E33" s="579" t="e">
        <f>IF(E31&gt;0,0,-E31*(1-$E$22))</f>
        <v>#VALUE!</v>
      </c>
      <c r="F33" s="579" t="e">
        <f>IF(F31&gt;0,0,-F31*(1-$E$22))</f>
        <v>#VALUE!</v>
      </c>
      <c r="G33" s="1076" t="e">
        <f>IF(G31&gt;0,0,-G31*(1-$E$22))</f>
        <v>#VALUE!</v>
      </c>
      <c r="H33" s="579"/>
      <c r="I33" s="579"/>
      <c r="J33" s="615"/>
      <c r="K33" s="615"/>
      <c r="L33" s="615"/>
      <c r="M33" s="220"/>
      <c r="N33" s="220"/>
      <c r="O33" s="220"/>
      <c r="P33" s="220"/>
      <c r="Q33" s="621"/>
    </row>
    <row r="34" spans="1:17" outlineLevel="1">
      <c r="A34" s="233"/>
      <c r="B34" s="425"/>
      <c r="C34" s="220" t="s">
        <v>1416</v>
      </c>
      <c r="D34" s="584"/>
      <c r="E34" s="579" t="e">
        <f>E33/$E$24</f>
        <v>#VALUE!</v>
      </c>
      <c r="F34" s="579" t="e">
        <f>F33/$E$24</f>
        <v>#VALUE!</v>
      </c>
      <c r="G34" s="1076" t="e">
        <f>G33/$E$24</f>
        <v>#VALUE!</v>
      </c>
      <c r="H34" s="579"/>
      <c r="I34" s="579"/>
      <c r="J34" s="615"/>
      <c r="K34" s="615"/>
      <c r="L34" s="615"/>
      <c r="M34" s="220"/>
      <c r="N34" s="220"/>
      <c r="O34" s="220"/>
      <c r="P34" s="220"/>
      <c r="Q34" s="621"/>
    </row>
    <row r="35" spans="1:17" outlineLevel="1">
      <c r="A35" s="233"/>
      <c r="B35" s="425"/>
      <c r="C35" s="220" t="s">
        <v>1417</v>
      </c>
      <c r="D35" s="587"/>
      <c r="E35" s="974" t="e">
        <f>E33-E34</f>
        <v>#VALUE!</v>
      </c>
      <c r="F35" s="974" t="e">
        <f>F33-F34</f>
        <v>#VALUE!</v>
      </c>
      <c r="G35" s="975" t="e">
        <f>G33-G34</f>
        <v>#VALUE!</v>
      </c>
      <c r="H35" s="579"/>
      <c r="I35" s="579"/>
      <c r="J35" s="615"/>
      <c r="K35" s="615"/>
      <c r="L35" s="615"/>
      <c r="M35" s="220"/>
      <c r="N35" s="220"/>
      <c r="O35" s="220"/>
      <c r="P35" s="220"/>
      <c r="Q35" s="621"/>
    </row>
    <row r="36" spans="1:17" outlineLevel="1">
      <c r="A36" s="233"/>
      <c r="B36" s="599"/>
      <c r="C36" s="600"/>
      <c r="D36" s="210"/>
      <c r="E36" s="210"/>
      <c r="F36" s="601"/>
      <c r="G36" s="601"/>
      <c r="H36" s="601"/>
      <c r="I36" s="225"/>
      <c r="J36" s="225"/>
      <c r="K36" s="616"/>
      <c r="L36" s="225"/>
      <c r="M36" s="225"/>
      <c r="N36" s="225"/>
      <c r="O36" s="225"/>
      <c r="P36" s="225"/>
      <c r="Q36" s="622"/>
    </row>
    <row r="37" spans="1:17" outlineLevel="1">
      <c r="A37" s="211"/>
      <c r="B37" s="599"/>
      <c r="C37" s="600"/>
      <c r="D37" s="210"/>
      <c r="E37" s="210"/>
      <c r="F37" s="601"/>
      <c r="G37" s="601"/>
      <c r="H37" s="601"/>
      <c r="I37" s="225"/>
      <c r="J37" s="225"/>
      <c r="K37" s="616"/>
      <c r="L37" s="225"/>
      <c r="M37" s="225"/>
      <c r="N37" s="225"/>
      <c r="O37" s="225"/>
      <c r="P37" s="225"/>
      <c r="Q37" s="622"/>
    </row>
    <row r="38" spans="1:17" outlineLevel="1">
      <c r="A38" s="211"/>
      <c r="B38" s="254"/>
      <c r="C38" s="594" t="s">
        <v>1326</v>
      </c>
      <c r="D38" s="254"/>
      <c r="E38" s="254"/>
      <c r="F38" s="109"/>
      <c r="G38" s="426"/>
      <c r="H38" s="210"/>
      <c r="I38" s="225"/>
      <c r="J38" s="225"/>
      <c r="K38" s="616"/>
      <c r="L38" s="225"/>
      <c r="M38" s="225"/>
      <c r="N38" s="225"/>
      <c r="O38" s="225"/>
      <c r="P38" s="225"/>
      <c r="Q38" s="622"/>
    </row>
    <row r="39" spans="1:17" outlineLevel="1">
      <c r="A39" s="211"/>
      <c r="B39" s="254"/>
      <c r="C39" s="233"/>
      <c r="D39" s="76">
        <v>43465</v>
      </c>
      <c r="E39" s="312">
        <v>43830</v>
      </c>
      <c r="F39" s="312">
        <v>44196</v>
      </c>
      <c r="G39" s="973">
        <v>44561</v>
      </c>
      <c r="H39" s="217"/>
      <c r="I39" s="217"/>
      <c r="J39" s="224"/>
      <c r="K39" s="224"/>
      <c r="L39" s="224"/>
      <c r="M39" s="225"/>
      <c r="N39" s="225"/>
      <c r="O39" s="225"/>
      <c r="P39" s="225"/>
      <c r="Q39" s="622"/>
    </row>
    <row r="40" spans="1:17" outlineLevel="1">
      <c r="A40" s="211"/>
      <c r="B40" s="254"/>
      <c r="C40" s="220" t="s">
        <v>1415</v>
      </c>
      <c r="D40" s="584"/>
      <c r="E40" s="602"/>
      <c r="F40" s="603"/>
      <c r="G40" s="604"/>
      <c r="H40" s="284"/>
      <c r="I40" s="617"/>
      <c r="J40" s="618"/>
      <c r="K40" s="618"/>
      <c r="L40" s="302"/>
      <c r="M40" s="225"/>
      <c r="N40" s="225"/>
      <c r="O40" s="225"/>
      <c r="P40" s="225"/>
      <c r="Q40" s="622"/>
    </row>
    <row r="41" spans="1:17" outlineLevel="1">
      <c r="A41" s="211"/>
      <c r="B41" s="254"/>
      <c r="C41" s="220" t="s">
        <v>1330</v>
      </c>
      <c r="D41" s="584"/>
      <c r="E41" s="602"/>
      <c r="F41" s="603"/>
      <c r="G41" s="604"/>
      <c r="H41" s="284"/>
      <c r="I41" s="617"/>
      <c r="J41" s="618"/>
      <c r="K41" s="618"/>
      <c r="L41" s="302"/>
      <c r="M41" s="225"/>
      <c r="N41" s="225"/>
      <c r="O41" s="225"/>
      <c r="P41" s="225"/>
      <c r="Q41" s="622"/>
    </row>
    <row r="42" spans="1:17" outlineLevel="1">
      <c r="A42" s="211"/>
      <c r="B42" s="254"/>
      <c r="C42" s="220" t="s">
        <v>1416</v>
      </c>
      <c r="D42" s="584"/>
      <c r="E42" s="579">
        <f>E41/$E$24</f>
        <v>0</v>
      </c>
      <c r="F42" s="579">
        <f>F41/$E$24</f>
        <v>0</v>
      </c>
      <c r="G42" s="1076">
        <f>G41/$E$24</f>
        <v>0</v>
      </c>
      <c r="H42" s="284"/>
      <c r="I42" s="617"/>
      <c r="J42" s="618"/>
      <c r="K42" s="618"/>
      <c r="L42" s="302"/>
      <c r="M42" s="225"/>
      <c r="N42" s="225"/>
      <c r="O42" s="225"/>
      <c r="P42" s="225"/>
      <c r="Q42" s="622"/>
    </row>
    <row r="43" spans="1:17" outlineLevel="1">
      <c r="A43" s="211"/>
      <c r="B43" s="254"/>
      <c r="C43" s="225" t="s">
        <v>1418</v>
      </c>
      <c r="D43" s="587"/>
      <c r="E43" s="974">
        <f>E41-E42</f>
        <v>0</v>
      </c>
      <c r="F43" s="974">
        <f>F41-F42</f>
        <v>0</v>
      </c>
      <c r="G43" s="975">
        <f>G41-G42</f>
        <v>0</v>
      </c>
      <c r="H43" s="579"/>
      <c r="I43" s="579"/>
      <c r="J43" s="615"/>
      <c r="K43" s="615"/>
      <c r="L43" s="615"/>
      <c r="M43" s="225"/>
      <c r="N43" s="225"/>
      <c r="O43" s="225"/>
      <c r="P43" s="225"/>
      <c r="Q43" s="622"/>
    </row>
    <row r="44" spans="1:17">
      <c r="A44" s="211"/>
      <c r="B44" s="254"/>
      <c r="C44" s="233"/>
      <c r="D44" s="210"/>
      <c r="E44" s="210"/>
      <c r="F44" s="210"/>
      <c r="G44" s="213"/>
      <c r="H44" s="210"/>
      <c r="I44" s="220"/>
      <c r="J44" s="616"/>
      <c r="K44" s="616"/>
      <c r="L44" s="225"/>
      <c r="M44" s="225"/>
      <c r="N44" s="225"/>
      <c r="O44" s="225"/>
      <c r="P44" s="225"/>
      <c r="Q44" s="622"/>
    </row>
    <row r="45" spans="1:17">
      <c r="A45" s="211"/>
      <c r="B45" s="254"/>
      <c r="C45" s="233"/>
      <c r="D45" s="210"/>
      <c r="E45" s="210"/>
      <c r="F45" s="210"/>
      <c r="G45" s="213"/>
      <c r="H45" s="210"/>
      <c r="I45" s="220"/>
      <c r="J45" s="616"/>
      <c r="K45" s="616"/>
      <c r="L45" s="225"/>
      <c r="M45" s="225"/>
      <c r="N45" s="225"/>
      <c r="O45" s="225"/>
      <c r="P45" s="225"/>
      <c r="Q45" s="622"/>
    </row>
    <row r="46" spans="1:17">
      <c r="A46" s="591" t="s">
        <v>1419</v>
      </c>
      <c r="B46" s="254"/>
      <c r="C46" s="233"/>
      <c r="D46" s="210"/>
      <c r="E46" s="605"/>
      <c r="F46" s="210"/>
      <c r="G46" s="213"/>
      <c r="H46" s="210"/>
      <c r="I46" s="220"/>
      <c r="J46" s="619"/>
      <c r="K46" s="619"/>
      <c r="L46" s="225"/>
      <c r="M46" s="225"/>
      <c r="N46" s="225"/>
      <c r="O46" s="225"/>
      <c r="P46" s="225"/>
      <c r="Q46" s="622"/>
    </row>
    <row r="47" spans="1:17" outlineLevel="1">
      <c r="A47" s="233"/>
      <c r="B47" s="254"/>
      <c r="C47" s="606"/>
      <c r="D47" s="76">
        <v>43465</v>
      </c>
      <c r="E47" s="312">
        <v>43830</v>
      </c>
      <c r="F47" s="312">
        <v>44196</v>
      </c>
      <c r="G47" s="973">
        <v>44561</v>
      </c>
      <c r="H47" s="217"/>
      <c r="I47" s="217"/>
      <c r="J47" s="224"/>
      <c r="K47" s="224"/>
      <c r="L47" s="224"/>
      <c r="M47" s="220"/>
      <c r="N47" s="220"/>
      <c r="O47" s="220"/>
      <c r="P47" s="220"/>
      <c r="Q47" s="621"/>
    </row>
    <row r="48" spans="1:17" outlineLevel="1">
      <c r="A48" s="594"/>
      <c r="B48" s="607"/>
      <c r="C48" s="220" t="s">
        <v>1410</v>
      </c>
      <c r="D48" s="608">
        <f>'历史年度（简化）'!E40</f>
        <v>2.5659734576000002</v>
      </c>
      <c r="E48" s="579">
        <f>D55</f>
        <v>2.5321442329999995</v>
      </c>
      <c r="F48" s="579" t="e">
        <f>E55</f>
        <v>#VALUE!</v>
      </c>
      <c r="G48" s="1076" t="e">
        <f>F55</f>
        <v>#VALUE!</v>
      </c>
      <c r="H48" s="579"/>
      <c r="I48" s="579"/>
      <c r="J48" s="615"/>
      <c r="K48" s="615"/>
      <c r="L48" s="615"/>
      <c r="M48" s="225"/>
      <c r="N48" s="225"/>
      <c r="O48" s="225"/>
      <c r="P48" s="225"/>
      <c r="Q48" s="622"/>
    </row>
    <row r="49" spans="1:17" outlineLevel="1">
      <c r="A49" s="579"/>
      <c r="B49" s="422" t="s">
        <v>865</v>
      </c>
      <c r="C49" s="220" t="s">
        <v>1411</v>
      </c>
      <c r="D49" s="584"/>
      <c r="E49" s="579" t="e">
        <f>预测现金流量表!H16</f>
        <v>#VALUE!</v>
      </c>
      <c r="F49" s="579" t="e">
        <f>预测现金流量表!I16</f>
        <v>#VALUE!</v>
      </c>
      <c r="G49" s="1076" t="e">
        <f>预测现金流量表!J16</f>
        <v>#VALUE!</v>
      </c>
      <c r="H49" s="579"/>
      <c r="I49" s="579"/>
      <c r="J49" s="615"/>
      <c r="K49" s="615"/>
      <c r="L49" s="615"/>
      <c r="M49" s="225"/>
      <c r="N49" s="225"/>
      <c r="O49" s="225"/>
      <c r="P49" s="225"/>
      <c r="Q49" s="622"/>
    </row>
    <row r="50" spans="1:17" outlineLevel="1">
      <c r="A50" s="579"/>
      <c r="B50" s="233"/>
      <c r="C50" s="220" t="s">
        <v>1412</v>
      </c>
      <c r="D50" s="584"/>
      <c r="E50" s="579">
        <f>预测现金流量表!H29</f>
        <v>-105.67993182974058</v>
      </c>
      <c r="F50" s="579">
        <f>预测现金流量表!I29</f>
        <v>8.095152932281648</v>
      </c>
      <c r="G50" s="1076">
        <f>预测现金流量表!J29</f>
        <v>5.1947297436779447</v>
      </c>
      <c r="H50" s="579"/>
      <c r="I50" s="579"/>
      <c r="J50" s="615"/>
      <c r="K50" s="615"/>
      <c r="L50" s="615"/>
      <c r="M50" s="225"/>
      <c r="N50" s="225"/>
      <c r="O50" s="225"/>
      <c r="P50" s="225"/>
      <c r="Q50" s="622"/>
    </row>
    <row r="51" spans="1:17" outlineLevel="1">
      <c r="A51" s="579"/>
      <c r="B51" s="422"/>
      <c r="C51" s="211" t="s">
        <v>1420</v>
      </c>
      <c r="D51" s="584"/>
      <c r="E51" s="579" t="e">
        <f>IF($B$18=1,E32+E33,E40+E41)-预测现金流量表!H34-预测现金流量表!H35+预测现金流量表!H36</f>
        <v>#VALUE!</v>
      </c>
      <c r="F51" s="579" t="e">
        <f>IF($B$18=1,F32+F33,F40+F41)-预测现金流量表!I34-预测现金流量表!I35+预测现金流量表!I36</f>
        <v>#VALUE!</v>
      </c>
      <c r="G51" s="1076" t="e">
        <f>IF($B$18=1,G32+G33,G40+G41)-预测现金流量表!J34-预测现金流量表!J35+预测现金流量表!J36</f>
        <v>#VALUE!</v>
      </c>
      <c r="H51" s="579"/>
      <c r="I51" s="579"/>
      <c r="J51" s="615"/>
      <c r="K51" s="615"/>
      <c r="L51" s="615"/>
      <c r="M51" s="225"/>
      <c r="N51" s="225"/>
      <c r="O51" s="225"/>
      <c r="P51" s="225"/>
      <c r="Q51" s="622"/>
    </row>
    <row r="52" spans="1:17" outlineLevel="1">
      <c r="A52" s="579"/>
      <c r="B52" s="422" t="s">
        <v>858</v>
      </c>
      <c r="C52" s="220" t="s">
        <v>1413</v>
      </c>
      <c r="D52" s="584"/>
      <c r="E52" s="579">
        <f>$B$9*预测利润表!H7</f>
        <v>0.28070861922876927</v>
      </c>
      <c r="F52" s="579">
        <f>$B$9*预测利润表!I7</f>
        <v>0.33359822094504815</v>
      </c>
      <c r="G52" s="1076">
        <f>$B$9*预测利润表!J7</f>
        <v>0.39645299572010972</v>
      </c>
      <c r="H52" s="579"/>
      <c r="I52" s="579"/>
      <c r="J52" s="615"/>
      <c r="K52" s="615"/>
      <c r="L52" s="615"/>
      <c r="M52" s="225"/>
      <c r="N52" s="225"/>
      <c r="O52" s="225"/>
      <c r="P52" s="225"/>
      <c r="Q52" s="622"/>
    </row>
    <row r="53" spans="1:17" outlineLevel="1">
      <c r="A53" s="579"/>
      <c r="B53" s="607"/>
      <c r="C53" s="220" t="s">
        <v>1414</v>
      </c>
      <c r="D53" s="584"/>
      <c r="E53" s="579" t="e">
        <f>E48+E49+E50+E51-E52</f>
        <v>#VALUE!</v>
      </c>
      <c r="F53" s="579" t="e">
        <f>F48+F49+F50+F51-F52</f>
        <v>#VALUE!</v>
      </c>
      <c r="G53" s="1076" t="e">
        <f>G48+G49+G50+G51-G52</f>
        <v>#VALUE!</v>
      </c>
      <c r="H53" s="579"/>
      <c r="I53" s="579"/>
      <c r="J53" s="615"/>
      <c r="K53" s="615"/>
      <c r="L53" s="615"/>
      <c r="M53" s="225"/>
      <c r="N53" s="225"/>
      <c r="O53" s="225"/>
      <c r="P53" s="225"/>
      <c r="Q53" s="622"/>
    </row>
    <row r="54" spans="1:17" outlineLevel="1">
      <c r="A54" s="579"/>
      <c r="B54" s="427" t="s">
        <v>865</v>
      </c>
      <c r="C54" s="211" t="s">
        <v>1421</v>
      </c>
      <c r="D54" s="584"/>
      <c r="E54" s="579" t="e">
        <f>IF(E53&lt;0,-E53,0)</f>
        <v>#VALUE!</v>
      </c>
      <c r="F54" s="579" t="e">
        <f>IF(F53&lt;0,-F53,0)</f>
        <v>#VALUE!</v>
      </c>
      <c r="G54" s="1076" t="e">
        <f>IF(G53&lt;0,-G53,0)</f>
        <v>#VALUE!</v>
      </c>
      <c r="H54" s="579"/>
      <c r="I54" s="579"/>
      <c r="J54" s="615"/>
      <c r="K54" s="615"/>
      <c r="L54" s="615"/>
      <c r="M54" s="225"/>
      <c r="N54" s="225"/>
      <c r="O54" s="225"/>
      <c r="P54" s="225"/>
      <c r="Q54" s="622"/>
    </row>
    <row r="55" spans="1:17" outlineLevel="1">
      <c r="A55" s="579"/>
      <c r="B55" s="607"/>
      <c r="C55" s="211" t="s">
        <v>1422</v>
      </c>
      <c r="D55" s="587">
        <f>'历史年度（简化）'!F40</f>
        <v>2.5321442329999995</v>
      </c>
      <c r="E55" s="974" t="e">
        <f>E48+E49+E50+E51+E54</f>
        <v>#VALUE!</v>
      </c>
      <c r="F55" s="974" t="e">
        <f>F48+F49+F50+F51+F54</f>
        <v>#VALUE!</v>
      </c>
      <c r="G55" s="975" t="e">
        <f>G48+G49+G50+G51+G54</f>
        <v>#VALUE!</v>
      </c>
      <c r="H55" s="579"/>
      <c r="I55" s="579"/>
      <c r="J55" s="615"/>
      <c r="K55" s="615"/>
      <c r="L55" s="615"/>
      <c r="M55" s="225"/>
      <c r="N55" s="225"/>
      <c r="O55" s="225"/>
      <c r="P55" s="225"/>
      <c r="Q55" s="622"/>
    </row>
    <row r="56" spans="1:17" outlineLevel="1">
      <c r="A56" s="579"/>
      <c r="B56" s="607"/>
      <c r="C56" s="211"/>
      <c r="D56" s="609"/>
      <c r="E56" s="579"/>
      <c r="F56" s="579"/>
      <c r="G56" s="579"/>
      <c r="H56" s="620"/>
      <c r="I56" s="220"/>
      <c r="J56" s="225"/>
      <c r="K56" s="225"/>
      <c r="L56" s="225"/>
      <c r="M56" s="225"/>
      <c r="N56" s="225"/>
      <c r="O56" s="225"/>
      <c r="P56" s="225"/>
      <c r="Q56" s="622"/>
    </row>
    <row r="57" spans="1:17" outlineLevel="1">
      <c r="A57" s="579"/>
      <c r="B57" s="607"/>
      <c r="C57" s="610" t="s">
        <v>1423</v>
      </c>
      <c r="D57" s="611">
        <f>'历史年度（简化）'!E72+'历史年度（简化）'!E73</f>
        <v>0</v>
      </c>
      <c r="E57" s="612">
        <f>预测资产负债表!G44</f>
        <v>0</v>
      </c>
      <c r="F57" s="612" t="e">
        <f>预测资产负债表!H44</f>
        <v>#VALUE!</v>
      </c>
      <c r="G57" s="613" t="e">
        <f>预测资产负债表!I44</f>
        <v>#VALUE!</v>
      </c>
      <c r="H57" s="579"/>
      <c r="I57" s="579"/>
      <c r="J57" s="615"/>
      <c r="K57" s="615"/>
      <c r="L57" s="615"/>
      <c r="M57" s="225"/>
      <c r="N57" s="225"/>
      <c r="O57" s="225"/>
      <c r="P57" s="225"/>
      <c r="Q57" s="622"/>
    </row>
    <row r="58" spans="1:17" outlineLevel="1">
      <c r="A58" s="579"/>
      <c r="B58" s="607"/>
      <c r="C58" s="610" t="s">
        <v>1415</v>
      </c>
      <c r="D58" s="584"/>
      <c r="E58" s="579" t="e">
        <f>IF($B$18=1,E32,E40)</f>
        <v>#VALUE!</v>
      </c>
      <c r="F58" s="579" t="e">
        <f>IF($B$18=1,F32,F40)</f>
        <v>#VALUE!</v>
      </c>
      <c r="G58" s="1076" t="e">
        <f>IF($B$18=1,G32,G40)</f>
        <v>#VALUE!</v>
      </c>
      <c r="H58" s="579"/>
      <c r="I58" s="579"/>
      <c r="J58" s="615"/>
      <c r="K58" s="615"/>
      <c r="L58" s="615"/>
      <c r="M58" s="225"/>
      <c r="N58" s="225"/>
      <c r="O58" s="225"/>
      <c r="P58" s="225"/>
      <c r="Q58" s="622"/>
    </row>
    <row r="59" spans="1:17" outlineLevel="1">
      <c r="A59" s="579"/>
      <c r="B59" s="607"/>
      <c r="C59" s="610" t="s">
        <v>1424</v>
      </c>
      <c r="D59" s="584">
        <f>'历史年度（简化）'!F72+'历史年度（简化）'!F73</f>
        <v>0</v>
      </c>
      <c r="E59" s="579" t="e">
        <f>E57+E58</f>
        <v>#VALUE!</v>
      </c>
      <c r="F59" s="579" t="e">
        <f>F57+F58</f>
        <v>#VALUE!</v>
      </c>
      <c r="G59" s="1076" t="e">
        <f>G57+G58</f>
        <v>#VALUE!</v>
      </c>
      <c r="H59" s="579"/>
      <c r="I59" s="579"/>
      <c r="J59" s="615"/>
      <c r="K59" s="615"/>
      <c r="L59" s="615"/>
      <c r="M59" s="225"/>
      <c r="N59" s="225"/>
      <c r="O59" s="225"/>
      <c r="P59" s="225"/>
      <c r="Q59" s="622"/>
    </row>
    <row r="60" spans="1:17" outlineLevel="1">
      <c r="A60" s="579"/>
      <c r="B60" s="607"/>
      <c r="C60" s="591" t="s">
        <v>1425</v>
      </c>
      <c r="D60" s="587"/>
      <c r="E60" s="974">
        <f>(D57+D59)*$B$8/2</f>
        <v>0</v>
      </c>
      <c r="F60" s="974" t="e">
        <f>(E57+E59)*$B$8/2</f>
        <v>#VALUE!</v>
      </c>
      <c r="G60" s="975" t="e">
        <f>(F57+F59)*$B$8/2</f>
        <v>#VALUE!</v>
      </c>
      <c r="H60" s="579"/>
      <c r="I60" s="579"/>
      <c r="J60" s="615"/>
      <c r="K60" s="615"/>
      <c r="L60" s="615"/>
      <c r="M60" s="225"/>
      <c r="N60" s="225"/>
      <c r="O60" s="225"/>
      <c r="P60" s="225"/>
      <c r="Q60" s="622"/>
    </row>
    <row r="61" spans="1:17" outlineLevel="1">
      <c r="A61" s="579"/>
      <c r="B61" s="607"/>
      <c r="C61" s="211"/>
      <c r="D61" s="609"/>
      <c r="E61" s="579"/>
      <c r="F61" s="579"/>
      <c r="G61" s="579"/>
      <c r="H61" s="210"/>
      <c r="I61" s="225"/>
      <c r="J61" s="225"/>
      <c r="K61" s="225"/>
      <c r="L61" s="225"/>
      <c r="M61" s="225"/>
      <c r="N61" s="225"/>
      <c r="O61" s="225"/>
      <c r="P61" s="225"/>
      <c r="Q61" s="622"/>
    </row>
    <row r="62" spans="1:17" outlineLevel="1">
      <c r="A62" s="579"/>
      <c r="B62" s="254"/>
      <c r="C62" s="610" t="s">
        <v>1426</v>
      </c>
      <c r="D62" s="611">
        <f>'历史年度（简化）'!E64</f>
        <v>4.1000000000000002E-2</v>
      </c>
      <c r="E62" s="612">
        <f>预测资产负债表!G34</f>
        <v>0.60194173890000002</v>
      </c>
      <c r="F62" s="612" t="e">
        <f>预测资产负债表!H34</f>
        <v>#VALUE!</v>
      </c>
      <c r="G62" s="613" t="e">
        <f>预测资产负债表!I34</f>
        <v>#VALUE!</v>
      </c>
      <c r="H62" s="579"/>
      <c r="I62" s="579"/>
      <c r="J62" s="615"/>
      <c r="K62" s="615"/>
      <c r="L62" s="615"/>
      <c r="M62" s="225"/>
      <c r="N62" s="225"/>
      <c r="O62" s="225"/>
      <c r="P62" s="225"/>
      <c r="Q62" s="622"/>
    </row>
    <row r="63" spans="1:17" outlineLevel="1">
      <c r="A63" s="579"/>
      <c r="B63" s="579"/>
      <c r="C63" s="610" t="s">
        <v>1421</v>
      </c>
      <c r="D63" s="584"/>
      <c r="E63" s="579" t="e">
        <f>E54</f>
        <v>#VALUE!</v>
      </c>
      <c r="F63" s="579" t="e">
        <f>F54</f>
        <v>#VALUE!</v>
      </c>
      <c r="G63" s="1076" t="e">
        <f>G54</f>
        <v>#VALUE!</v>
      </c>
      <c r="H63" s="579"/>
      <c r="I63" s="579"/>
      <c r="J63" s="615"/>
      <c r="K63" s="615"/>
      <c r="L63" s="615"/>
      <c r="M63" s="225"/>
      <c r="N63" s="225"/>
      <c r="O63" s="225"/>
      <c r="P63" s="225"/>
      <c r="Q63" s="622"/>
    </row>
    <row r="64" spans="1:17" outlineLevel="1">
      <c r="A64" s="579"/>
      <c r="B64" s="579"/>
      <c r="C64" s="610" t="s">
        <v>1427</v>
      </c>
      <c r="D64" s="584">
        <f>'历史年度（简化）'!F64</f>
        <v>0.60194173890000002</v>
      </c>
      <c r="E64" s="579" t="e">
        <f>E62+E63</f>
        <v>#VALUE!</v>
      </c>
      <c r="F64" s="579" t="e">
        <f>F62+F63</f>
        <v>#VALUE!</v>
      </c>
      <c r="G64" s="1076" t="e">
        <f>G62+G63</f>
        <v>#VALUE!</v>
      </c>
      <c r="H64" s="579"/>
      <c r="I64" s="579"/>
      <c r="J64" s="615"/>
      <c r="K64" s="615"/>
      <c r="L64" s="615"/>
      <c r="M64" s="220"/>
      <c r="N64" s="220"/>
      <c r="O64" s="220"/>
      <c r="P64" s="220"/>
      <c r="Q64" s="621"/>
    </row>
    <row r="65" spans="1:17" outlineLevel="1">
      <c r="A65" s="579"/>
      <c r="B65" s="579"/>
      <c r="C65" s="591" t="s">
        <v>1428</v>
      </c>
      <c r="D65" s="587"/>
      <c r="E65" s="974">
        <f>(D62+D64)*$B$7/2</f>
        <v>1.7070103167795003E-2</v>
      </c>
      <c r="F65" s="974" t="e">
        <f>(E62+E64)*$B$7/2</f>
        <v>#VALUE!</v>
      </c>
      <c r="G65" s="975" t="e">
        <f>(F62+F64)*$B$7/2</f>
        <v>#VALUE!</v>
      </c>
      <c r="H65" s="579"/>
      <c r="I65" s="579"/>
      <c r="J65" s="615"/>
      <c r="K65" s="615"/>
      <c r="L65" s="615"/>
      <c r="M65" s="220"/>
      <c r="N65" s="220"/>
      <c r="O65" s="220"/>
      <c r="P65" s="220"/>
      <c r="Q65" s="621"/>
    </row>
    <row r="66" spans="1:17" ht="15.35" outlineLevel="1">
      <c r="A66" s="579"/>
      <c r="B66" s="579"/>
      <c r="C66" s="212"/>
      <c r="D66" s="109"/>
      <c r="E66" s="109"/>
      <c r="F66" s="109"/>
      <c r="G66" s="426"/>
      <c r="H66" s="210"/>
      <c r="I66" s="220"/>
      <c r="J66" s="220"/>
      <c r="K66" s="220"/>
      <c r="L66" s="220"/>
      <c r="M66" s="220"/>
      <c r="N66" s="220"/>
      <c r="O66" s="220"/>
      <c r="P66" s="220"/>
      <c r="Q66" s="621"/>
    </row>
    <row r="67" spans="1:17" outlineLevel="1">
      <c r="A67" s="579"/>
      <c r="B67" s="579"/>
      <c r="C67" s="211" t="s">
        <v>1429</v>
      </c>
      <c r="D67" s="611">
        <f>'历史年度（简化）'!E40</f>
        <v>2.5659734576000002</v>
      </c>
      <c r="E67" s="612">
        <f>预测资产负债表!G7</f>
        <v>2.5321442329999995</v>
      </c>
      <c r="F67" s="612" t="e">
        <f>预测资产负债表!H7</f>
        <v>#VALUE!</v>
      </c>
      <c r="G67" s="613" t="e">
        <f>预测资产负债表!I7</f>
        <v>#VALUE!</v>
      </c>
      <c r="H67" s="579"/>
      <c r="I67" s="579"/>
      <c r="J67" s="615"/>
      <c r="K67" s="615"/>
      <c r="L67" s="615"/>
      <c r="M67" s="220"/>
      <c r="N67" s="220"/>
      <c r="O67" s="220"/>
      <c r="P67" s="220"/>
      <c r="Q67" s="621"/>
    </row>
    <row r="68" spans="1:17" outlineLevel="1">
      <c r="A68" s="579"/>
      <c r="B68" s="579"/>
      <c r="C68" s="211" t="s">
        <v>1430</v>
      </c>
      <c r="D68" s="584"/>
      <c r="E68" s="579" t="e">
        <f>E55-E48</f>
        <v>#VALUE!</v>
      </c>
      <c r="F68" s="579" t="e">
        <f>F55-F48</f>
        <v>#VALUE!</v>
      </c>
      <c r="G68" s="1076" t="e">
        <f>G55-G48</f>
        <v>#VALUE!</v>
      </c>
      <c r="H68" s="579"/>
      <c r="I68" s="579"/>
      <c r="J68" s="615"/>
      <c r="K68" s="615"/>
      <c r="L68" s="615"/>
      <c r="M68" s="220"/>
      <c r="N68" s="220"/>
      <c r="O68" s="220"/>
      <c r="P68" s="220"/>
      <c r="Q68" s="621"/>
    </row>
    <row r="69" spans="1:17" outlineLevel="1">
      <c r="A69" s="579"/>
      <c r="B69" s="579"/>
      <c r="C69" s="211" t="s">
        <v>1431</v>
      </c>
      <c r="D69" s="584">
        <f>'历史年度（简化）'!F40</f>
        <v>2.5321442329999995</v>
      </c>
      <c r="E69" s="579" t="e">
        <f>E67+E68</f>
        <v>#VALUE!</v>
      </c>
      <c r="F69" s="579" t="e">
        <f>F67+F68</f>
        <v>#VALUE!</v>
      </c>
      <c r="G69" s="1076" t="e">
        <f>G67+G68</f>
        <v>#VALUE!</v>
      </c>
      <c r="H69" s="579"/>
      <c r="I69" s="579"/>
      <c r="J69" s="615"/>
      <c r="K69" s="615"/>
      <c r="L69" s="615"/>
      <c r="M69" s="220"/>
      <c r="N69" s="220"/>
      <c r="O69" s="220"/>
      <c r="P69" s="220"/>
      <c r="Q69" s="621"/>
    </row>
    <row r="70" spans="1:17" outlineLevel="1">
      <c r="A70" s="579"/>
      <c r="B70" s="579"/>
      <c r="C70" s="418" t="s">
        <v>1432</v>
      </c>
      <c r="D70" s="587"/>
      <c r="E70" s="974">
        <f>(D48+D55)*$B$6/2</f>
        <v>5.7353824019249995E-2</v>
      </c>
      <c r="F70" s="974" t="e">
        <f>(E48+E55)*$B$6/2</f>
        <v>#VALUE!</v>
      </c>
      <c r="G70" s="975" t="e">
        <f>(F48+F55)*$B$6/2</f>
        <v>#VALUE!</v>
      </c>
      <c r="H70" s="579"/>
      <c r="I70" s="579"/>
      <c r="J70" s="615"/>
      <c r="K70" s="615"/>
      <c r="L70" s="615"/>
      <c r="M70" s="220"/>
      <c r="N70" s="220"/>
      <c r="O70" s="220"/>
      <c r="P70" s="220"/>
      <c r="Q70" s="621"/>
    </row>
    <row r="71" spans="1:17" outlineLevel="1">
      <c r="A71" s="455"/>
      <c r="B71" s="281"/>
      <c r="C71" s="425"/>
      <c r="D71" s="623"/>
      <c r="E71" s="624"/>
      <c r="F71" s="109"/>
      <c r="G71" s="426"/>
      <c r="H71" s="210"/>
      <c r="I71" s="225"/>
      <c r="J71" s="225"/>
      <c r="K71" s="225"/>
      <c r="L71" s="225"/>
      <c r="M71" s="225"/>
      <c r="N71" s="225"/>
      <c r="O71" s="225"/>
      <c r="P71" s="225"/>
      <c r="Q71" s="622"/>
    </row>
    <row r="72" spans="1:17" outlineLevel="1">
      <c r="A72" s="455"/>
      <c r="B72" s="281"/>
      <c r="C72" s="625" t="s">
        <v>983</v>
      </c>
      <c r="D72" s="611"/>
      <c r="E72" s="612">
        <f>E60+E65</f>
        <v>1.7070103167795003E-2</v>
      </c>
      <c r="F72" s="612" t="e">
        <f>F60+F65</f>
        <v>#VALUE!</v>
      </c>
      <c r="G72" s="613" t="e">
        <f>G60+G65</f>
        <v>#VALUE!</v>
      </c>
      <c r="H72" s="579"/>
      <c r="I72" s="579"/>
      <c r="J72" s="615"/>
      <c r="K72" s="615"/>
      <c r="L72" s="615"/>
      <c r="M72" s="225"/>
      <c r="N72" s="225"/>
      <c r="O72" s="225"/>
      <c r="P72" s="225"/>
      <c r="Q72" s="622"/>
    </row>
    <row r="73" spans="1:17" outlineLevel="1">
      <c r="A73" s="455"/>
      <c r="B73" s="281"/>
      <c r="C73" s="625" t="s">
        <v>984</v>
      </c>
      <c r="D73" s="584"/>
      <c r="E73" s="579">
        <f>E70</f>
        <v>5.7353824019249995E-2</v>
      </c>
      <c r="F73" s="579" t="e">
        <f>F70</f>
        <v>#VALUE!</v>
      </c>
      <c r="G73" s="1076" t="e">
        <f>G70</f>
        <v>#VALUE!</v>
      </c>
      <c r="H73" s="579"/>
      <c r="I73" s="579"/>
      <c r="J73" s="615"/>
      <c r="K73" s="615"/>
      <c r="L73" s="615"/>
      <c r="M73" s="225"/>
      <c r="N73" s="225"/>
      <c r="O73" s="225"/>
      <c r="P73" s="225"/>
      <c r="Q73" s="622"/>
    </row>
    <row r="74" spans="1:17" outlineLevel="1">
      <c r="A74" s="455"/>
      <c r="B74" s="281"/>
      <c r="C74" s="625" t="s">
        <v>863</v>
      </c>
      <c r="D74" s="587"/>
      <c r="E74" s="974">
        <f>E72-E73</f>
        <v>-4.0283720851454992E-2</v>
      </c>
      <c r="F74" s="974" t="e">
        <f>F72-F73</f>
        <v>#VALUE!</v>
      </c>
      <c r="G74" s="975" t="e">
        <f>G72-G73</f>
        <v>#VALUE!</v>
      </c>
      <c r="H74" s="579"/>
      <c r="I74" s="579"/>
      <c r="J74" s="615"/>
      <c r="K74" s="615"/>
      <c r="L74" s="615"/>
      <c r="M74" s="225"/>
      <c r="N74" s="225"/>
      <c r="O74" s="225"/>
      <c r="P74" s="225"/>
      <c r="Q74" s="622"/>
    </row>
    <row r="75" spans="1:17">
      <c r="A75" s="455"/>
      <c r="B75" s="281"/>
      <c r="C75" s="233"/>
      <c r="D75" s="210"/>
      <c r="E75" s="210"/>
      <c r="F75" s="210"/>
      <c r="G75" s="210"/>
      <c r="H75" s="210"/>
      <c r="I75" s="220"/>
      <c r="J75" s="225"/>
      <c r="K75" s="225"/>
      <c r="L75" s="225"/>
      <c r="M75" s="225"/>
      <c r="N75" s="225"/>
      <c r="O75" s="225"/>
      <c r="P75" s="225"/>
      <c r="Q75" s="622"/>
    </row>
    <row r="76" spans="1:17">
      <c r="A76" s="455"/>
      <c r="B76" s="281"/>
      <c r="C76" s="233"/>
      <c r="D76" s="254"/>
      <c r="E76" s="254"/>
      <c r="F76" s="210"/>
      <c r="G76" s="210"/>
      <c r="H76" s="210"/>
      <c r="I76" s="220"/>
      <c r="J76" s="225"/>
      <c r="K76" s="225"/>
      <c r="L76" s="225"/>
      <c r="M76" s="225"/>
      <c r="N76" s="225"/>
      <c r="O76" s="225"/>
      <c r="P76" s="225"/>
      <c r="Q76" s="622"/>
    </row>
    <row r="77" spans="1:17">
      <c r="A77" s="455"/>
      <c r="B77" s="281"/>
      <c r="C77" s="233"/>
      <c r="D77" s="254"/>
      <c r="E77" s="254"/>
      <c r="F77" s="210"/>
      <c r="G77" s="210"/>
      <c r="H77" s="210"/>
      <c r="I77" s="220"/>
      <c r="J77" s="225"/>
      <c r="K77" s="225"/>
      <c r="L77" s="225"/>
      <c r="M77" s="225"/>
      <c r="N77" s="225"/>
      <c r="O77" s="225"/>
      <c r="P77" s="225"/>
      <c r="Q77" s="622"/>
    </row>
    <row r="78" spans="1:17">
      <c r="A78" s="455"/>
      <c r="B78" s="281"/>
      <c r="C78" s="233"/>
      <c r="D78" s="254"/>
      <c r="E78" s="254"/>
      <c r="F78" s="210"/>
      <c r="G78" s="210"/>
      <c r="H78" s="210"/>
      <c r="I78" s="220"/>
      <c r="J78" s="225"/>
      <c r="K78" s="225"/>
      <c r="L78" s="225"/>
      <c r="M78" s="225"/>
      <c r="N78" s="225"/>
      <c r="O78" s="225"/>
      <c r="P78" s="225"/>
      <c r="Q78" s="622"/>
    </row>
    <row r="79" spans="1:17">
      <c r="A79" s="254"/>
      <c r="B79" s="254"/>
      <c r="C79" s="254"/>
      <c r="D79" s="254"/>
      <c r="E79" s="254"/>
      <c r="F79" s="254"/>
      <c r="G79" s="210"/>
      <c r="H79" s="210"/>
      <c r="I79" s="220"/>
      <c r="J79" s="616"/>
      <c r="K79" s="616"/>
      <c r="L79" s="225"/>
      <c r="M79" s="225"/>
      <c r="N79" s="225"/>
      <c r="O79" s="225"/>
      <c r="P79" s="225"/>
      <c r="Q79" s="622"/>
    </row>
    <row r="80" spans="1:17">
      <c r="A80" s="254" t="s">
        <v>1433</v>
      </c>
      <c r="B80" s="254"/>
      <c r="C80" s="254"/>
      <c r="D80" s="254"/>
      <c r="E80" s="254"/>
      <c r="F80" s="254"/>
      <c r="G80" s="210"/>
      <c r="H80" s="210"/>
      <c r="I80" s="225"/>
      <c r="J80" s="225"/>
      <c r="K80" s="225"/>
      <c r="L80" s="225"/>
      <c r="M80" s="225"/>
      <c r="N80" s="225"/>
      <c r="O80" s="225"/>
      <c r="P80" s="225"/>
      <c r="Q80" s="622"/>
    </row>
    <row r="81" spans="1:17">
      <c r="A81" s="254"/>
      <c r="B81" s="254"/>
      <c r="C81" s="254"/>
      <c r="D81" s="254"/>
      <c r="E81" s="254"/>
      <c r="F81" s="254"/>
      <c r="G81" s="210"/>
      <c r="H81" s="210"/>
      <c r="I81" s="225"/>
      <c r="J81" s="225"/>
      <c r="K81" s="225"/>
      <c r="L81" s="225"/>
      <c r="M81" s="225"/>
      <c r="N81" s="225"/>
      <c r="O81" s="225"/>
      <c r="P81" s="225"/>
      <c r="Q81" s="622"/>
    </row>
    <row r="82" spans="1:17">
      <c r="A82" s="254"/>
      <c r="B82" s="254"/>
      <c r="C82" s="254"/>
      <c r="D82" s="254"/>
      <c r="E82" s="254"/>
      <c r="F82" s="254"/>
      <c r="G82" s="210"/>
      <c r="H82" s="210"/>
      <c r="I82" s="225"/>
      <c r="J82" s="225"/>
      <c r="K82" s="225"/>
      <c r="L82" s="225"/>
      <c r="M82" s="225"/>
      <c r="N82" s="225"/>
      <c r="O82" s="225"/>
      <c r="P82" s="225"/>
      <c r="Q82" s="622"/>
    </row>
    <row r="83" spans="1:17">
      <c r="A83" s="254"/>
      <c r="B83" s="254"/>
      <c r="C83" s="254"/>
      <c r="D83" s="254"/>
      <c r="E83" s="254"/>
      <c r="F83" s="254"/>
      <c r="G83" s="210"/>
      <c r="H83" s="210"/>
      <c r="I83" s="225"/>
      <c r="J83" s="225"/>
      <c r="K83" s="225"/>
      <c r="L83" s="225"/>
      <c r="M83" s="225"/>
      <c r="N83" s="225"/>
      <c r="O83" s="225"/>
      <c r="P83" s="225"/>
      <c r="Q83" s="622"/>
    </row>
    <row r="84" spans="1:17">
      <c r="A84" s="254"/>
      <c r="B84" s="254"/>
      <c r="C84" s="254"/>
      <c r="D84" s="254"/>
      <c r="E84" s="254"/>
      <c r="F84" s="254"/>
      <c r="G84" s="210"/>
      <c r="H84" s="210"/>
      <c r="I84" s="225"/>
      <c r="J84" s="225"/>
      <c r="K84" s="225"/>
      <c r="L84" s="225"/>
      <c r="M84" s="225"/>
      <c r="N84" s="225"/>
      <c r="O84" s="225"/>
      <c r="P84" s="225"/>
      <c r="Q84" s="622"/>
    </row>
    <row r="85" spans="1:17">
      <c r="A85" s="254"/>
      <c r="B85" s="254"/>
      <c r="C85" s="254"/>
      <c r="D85" s="254"/>
      <c r="E85" s="254"/>
      <c r="F85" s="254"/>
      <c r="G85" s="210"/>
      <c r="H85" s="210"/>
      <c r="I85" s="225"/>
      <c r="J85" s="225"/>
      <c r="K85" s="225"/>
      <c r="L85" s="225"/>
      <c r="M85" s="225"/>
      <c r="N85" s="225"/>
      <c r="O85" s="225"/>
      <c r="P85" s="225"/>
      <c r="Q85" s="622"/>
    </row>
    <row r="86" spans="1:17">
      <c r="A86" s="254"/>
      <c r="B86" s="254"/>
      <c r="C86" s="254"/>
      <c r="D86" s="254"/>
      <c r="E86" s="254"/>
      <c r="F86" s="254"/>
      <c r="G86" s="210"/>
      <c r="H86" s="210"/>
      <c r="I86" s="225"/>
      <c r="J86" s="225"/>
      <c r="K86" s="225"/>
      <c r="L86" s="225"/>
      <c r="M86" s="225"/>
      <c r="N86" s="225"/>
      <c r="O86" s="225"/>
      <c r="P86" s="225"/>
      <c r="Q86" s="622"/>
    </row>
    <row r="87" spans="1:17">
      <c r="A87" s="254"/>
      <c r="B87" s="254"/>
      <c r="C87" s="254"/>
      <c r="D87" s="254"/>
      <c r="E87" s="254"/>
      <c r="F87" s="254"/>
      <c r="G87" s="210"/>
      <c r="H87" s="210"/>
      <c r="I87" s="225"/>
      <c r="J87" s="225"/>
      <c r="K87" s="225"/>
      <c r="L87" s="225"/>
      <c r="M87" s="225"/>
      <c r="N87" s="225"/>
      <c r="O87" s="225"/>
      <c r="P87" s="225"/>
      <c r="Q87" s="622"/>
    </row>
    <row r="88" spans="1:17">
      <c r="A88" s="254"/>
      <c r="B88" s="254"/>
      <c r="C88" s="254"/>
      <c r="D88" s="254"/>
      <c r="E88" s="254"/>
      <c r="F88" s="254"/>
      <c r="G88" s="210"/>
      <c r="H88" s="210"/>
      <c r="I88" s="225"/>
      <c r="J88" s="225"/>
      <c r="K88" s="225"/>
      <c r="L88" s="225"/>
      <c r="M88" s="225"/>
      <c r="N88" s="225"/>
      <c r="O88" s="225"/>
      <c r="P88" s="225"/>
      <c r="Q88" s="622"/>
    </row>
    <row r="89" spans="1:17">
      <c r="A89" s="254"/>
      <c r="B89" s="254"/>
      <c r="C89" s="254"/>
      <c r="D89" s="254"/>
      <c r="E89" s="254"/>
      <c r="F89" s="254"/>
      <c r="G89" s="210"/>
      <c r="H89" s="210"/>
      <c r="I89" s="225"/>
      <c r="J89" s="225"/>
      <c r="K89" s="225"/>
      <c r="L89" s="225"/>
      <c r="M89" s="225"/>
      <c r="N89" s="225"/>
      <c r="O89" s="225"/>
      <c r="P89" s="225"/>
      <c r="Q89" s="622"/>
    </row>
    <row r="90" spans="1:17">
      <c r="A90" s="254"/>
      <c r="B90" s="254"/>
      <c r="C90" s="254"/>
      <c r="D90" s="254"/>
      <c r="E90" s="254"/>
      <c r="F90" s="254"/>
      <c r="G90" s="210"/>
      <c r="H90" s="210"/>
      <c r="I90" s="225"/>
      <c r="J90" s="225"/>
      <c r="K90" s="225"/>
      <c r="L90" s="225"/>
      <c r="M90" s="225"/>
      <c r="N90" s="225"/>
      <c r="O90" s="225"/>
      <c r="P90" s="225"/>
      <c r="Q90" s="622"/>
    </row>
    <row r="91" spans="1:17">
      <c r="A91" s="254"/>
      <c r="B91" s="254"/>
      <c r="C91" s="254"/>
      <c r="D91" s="254"/>
      <c r="E91" s="254"/>
      <c r="F91" s="254"/>
      <c r="G91" s="210"/>
      <c r="H91" s="210"/>
      <c r="I91" s="225"/>
      <c r="J91" s="225"/>
      <c r="K91" s="225"/>
      <c r="L91" s="225"/>
      <c r="M91" s="225"/>
      <c r="N91" s="225"/>
      <c r="O91" s="225"/>
      <c r="P91" s="225"/>
      <c r="Q91" s="622"/>
    </row>
    <row r="92" spans="1:17">
      <c r="A92" s="254"/>
      <c r="B92" s="254"/>
      <c r="C92" s="254"/>
      <c r="D92" s="254"/>
      <c r="E92" s="254"/>
      <c r="F92" s="254"/>
      <c r="G92" s="210"/>
      <c r="H92" s="210"/>
      <c r="I92" s="225"/>
      <c r="J92" s="225"/>
      <c r="K92" s="225"/>
      <c r="L92" s="225"/>
      <c r="M92" s="225"/>
      <c r="N92" s="225"/>
      <c r="O92" s="225"/>
      <c r="P92" s="225"/>
      <c r="Q92" s="622"/>
    </row>
    <row r="93" spans="1:17">
      <c r="A93" s="254"/>
      <c r="B93" s="254"/>
      <c r="C93" s="254"/>
      <c r="D93" s="254"/>
      <c r="E93" s="254"/>
      <c r="F93" s="254"/>
      <c r="G93" s="210"/>
      <c r="H93" s="210"/>
      <c r="I93" s="225"/>
      <c r="J93" s="225"/>
      <c r="K93" s="225"/>
      <c r="L93" s="225"/>
      <c r="M93" s="225"/>
      <c r="N93" s="225"/>
      <c r="O93" s="225"/>
      <c r="P93" s="225"/>
      <c r="Q93" s="622"/>
    </row>
    <row r="94" spans="1:17">
      <c r="A94" s="254"/>
      <c r="B94" s="254"/>
      <c r="C94" s="254"/>
      <c r="D94" s="254"/>
      <c r="E94" s="254"/>
      <c r="F94" s="254"/>
      <c r="G94" s="210"/>
      <c r="H94" s="210"/>
      <c r="I94" s="225"/>
      <c r="J94" s="225"/>
      <c r="K94" s="225"/>
      <c r="L94" s="225"/>
      <c r="M94" s="225"/>
      <c r="N94" s="225"/>
      <c r="O94" s="225"/>
      <c r="P94" s="225"/>
      <c r="Q94" s="622"/>
    </row>
    <row r="95" spans="1:17">
      <c r="A95" s="254"/>
      <c r="B95" s="254"/>
      <c r="C95" s="254"/>
      <c r="D95" s="254"/>
      <c r="E95" s="254"/>
      <c r="F95" s="254"/>
      <c r="G95" s="210"/>
      <c r="H95" s="210"/>
      <c r="I95" s="225"/>
      <c r="J95" s="225"/>
      <c r="K95" s="225"/>
      <c r="L95" s="225"/>
      <c r="M95" s="225"/>
      <c r="N95" s="225"/>
      <c r="O95" s="225"/>
      <c r="P95" s="225"/>
      <c r="Q95" s="622"/>
    </row>
    <row r="96" spans="1:17">
      <c r="A96" s="254"/>
      <c r="B96" s="254"/>
      <c r="C96" s="254"/>
      <c r="D96" s="254"/>
      <c r="E96" s="254"/>
      <c r="F96" s="254"/>
      <c r="G96" s="210"/>
      <c r="H96" s="210"/>
      <c r="I96" s="225"/>
      <c r="J96" s="225"/>
      <c r="K96" s="225"/>
      <c r="L96" s="225"/>
      <c r="M96" s="225"/>
      <c r="N96" s="225"/>
      <c r="O96" s="225"/>
      <c r="P96" s="225"/>
      <c r="Q96" s="622"/>
    </row>
    <row r="97" spans="1:17">
      <c r="A97" s="254"/>
      <c r="B97" s="254"/>
      <c r="C97" s="254"/>
      <c r="D97" s="254"/>
      <c r="E97" s="254"/>
      <c r="F97" s="254"/>
      <c r="G97" s="210"/>
      <c r="H97" s="210"/>
      <c r="I97" s="225"/>
      <c r="J97" s="225"/>
      <c r="K97" s="225"/>
      <c r="L97" s="225"/>
      <c r="M97" s="225"/>
      <c r="N97" s="225"/>
      <c r="O97" s="225"/>
      <c r="P97" s="225"/>
      <c r="Q97" s="622"/>
    </row>
    <row r="98" spans="1:17">
      <c r="A98" s="254"/>
      <c r="B98" s="254"/>
      <c r="C98" s="254"/>
      <c r="D98" s="254"/>
      <c r="E98" s="254"/>
      <c r="F98" s="254"/>
      <c r="G98" s="210"/>
      <c r="H98" s="210"/>
      <c r="I98" s="225"/>
      <c r="J98" s="225"/>
      <c r="K98" s="225"/>
      <c r="L98" s="225"/>
      <c r="M98" s="225"/>
      <c r="N98" s="225"/>
      <c r="O98" s="225"/>
      <c r="P98" s="225"/>
      <c r="Q98" s="622"/>
    </row>
    <row r="99" spans="1:17">
      <c r="A99" s="254"/>
      <c r="B99" s="254"/>
      <c r="C99" s="254"/>
      <c r="D99" s="254"/>
      <c r="E99" s="254"/>
      <c r="F99" s="254"/>
      <c r="G99" s="210"/>
      <c r="H99" s="210"/>
      <c r="I99" s="225"/>
      <c r="J99" s="225"/>
      <c r="K99" s="225"/>
      <c r="L99" s="225"/>
      <c r="M99" s="225"/>
      <c r="N99" s="225"/>
      <c r="O99" s="225"/>
      <c r="P99" s="225"/>
      <c r="Q99" s="622"/>
    </row>
    <row r="100" spans="1:17">
      <c r="A100" s="254"/>
      <c r="B100" s="254"/>
      <c r="C100" s="254"/>
      <c r="D100" s="254"/>
      <c r="E100" s="254"/>
      <c r="F100" s="254"/>
      <c r="G100" s="210"/>
      <c r="H100" s="210"/>
      <c r="I100" s="225"/>
      <c r="J100" s="225"/>
      <c r="K100" s="225"/>
      <c r="L100" s="225"/>
      <c r="M100" s="225"/>
      <c r="N100" s="225"/>
      <c r="O100" s="225"/>
      <c r="P100" s="225"/>
      <c r="Q100" s="622"/>
    </row>
    <row r="101" spans="1:17">
      <c r="A101" s="254"/>
      <c r="B101" s="254"/>
      <c r="C101" s="254"/>
      <c r="D101" s="254"/>
      <c r="E101" s="254"/>
      <c r="F101" s="254"/>
      <c r="G101" s="210"/>
      <c r="H101" s="210"/>
      <c r="I101" s="225"/>
      <c r="J101" s="225"/>
      <c r="K101" s="225"/>
      <c r="L101" s="225"/>
      <c r="M101" s="225"/>
      <c r="N101" s="225"/>
      <c r="O101" s="225"/>
      <c r="P101" s="225"/>
      <c r="Q101" s="622"/>
    </row>
    <row r="102" spans="1:17">
      <c r="A102" s="254"/>
      <c r="B102" s="254"/>
      <c r="C102" s="254"/>
      <c r="D102" s="254"/>
      <c r="E102" s="254"/>
      <c r="F102" s="254"/>
      <c r="G102" s="210"/>
      <c r="H102" s="210"/>
      <c r="I102" s="220"/>
      <c r="J102" s="220"/>
      <c r="K102" s="220"/>
      <c r="L102" s="220"/>
      <c r="M102" s="220"/>
      <c r="N102" s="220"/>
      <c r="O102" s="220"/>
      <c r="P102" s="220"/>
      <c r="Q102" s="621"/>
    </row>
    <row r="103" spans="1:17">
      <c r="A103" s="254"/>
      <c r="B103" s="254"/>
      <c r="C103" s="254"/>
      <c r="D103" s="254"/>
      <c r="E103" s="254"/>
      <c r="F103" s="254"/>
      <c r="G103" s="210"/>
      <c r="H103" s="210"/>
      <c r="I103" s="220"/>
      <c r="J103" s="220"/>
      <c r="K103" s="220"/>
      <c r="L103" s="220"/>
      <c r="M103" s="220"/>
      <c r="N103" s="220"/>
      <c r="O103" s="220"/>
      <c r="P103" s="220"/>
      <c r="Q103" s="621"/>
    </row>
    <row r="104" spans="1:17">
      <c r="A104" s="254"/>
      <c r="B104" s="254"/>
      <c r="C104" s="254"/>
      <c r="D104" s="254"/>
      <c r="E104" s="254"/>
      <c r="F104" s="254"/>
      <c r="G104" s="210"/>
      <c r="H104" s="210"/>
      <c r="I104" s="220"/>
      <c r="J104" s="220"/>
      <c r="K104" s="220"/>
      <c r="L104" s="220"/>
      <c r="M104" s="220"/>
      <c r="N104" s="220"/>
      <c r="O104" s="220"/>
      <c r="P104" s="220"/>
      <c r="Q104" s="621"/>
    </row>
    <row r="105" spans="1:17">
      <c r="A105" s="254"/>
      <c r="B105" s="254"/>
      <c r="C105" s="254"/>
      <c r="D105" s="254"/>
      <c r="E105" s="254"/>
      <c r="F105" s="254"/>
      <c r="G105" s="210"/>
      <c r="H105" s="210"/>
      <c r="I105" s="220"/>
      <c r="J105" s="220"/>
      <c r="K105" s="220"/>
      <c r="L105" s="220"/>
      <c r="M105" s="220"/>
      <c r="N105" s="220"/>
      <c r="O105" s="220"/>
      <c r="P105" s="220"/>
      <c r="Q105" s="621"/>
    </row>
    <row r="106" spans="1:17">
      <c r="A106" s="254"/>
      <c r="B106" s="254"/>
      <c r="C106" s="254"/>
      <c r="D106" s="254"/>
      <c r="E106" s="254"/>
      <c r="F106" s="254"/>
      <c r="G106" s="210"/>
      <c r="H106" s="210"/>
      <c r="I106" s="220"/>
      <c r="J106" s="220"/>
      <c r="K106" s="220"/>
      <c r="L106" s="220"/>
      <c r="M106" s="220"/>
      <c r="N106" s="220"/>
      <c r="O106" s="220"/>
      <c r="P106" s="220"/>
      <c r="Q106" s="621"/>
    </row>
    <row r="107" spans="1:17">
      <c r="A107" s="254"/>
      <c r="B107" s="254"/>
      <c r="C107" s="254"/>
      <c r="D107" s="254"/>
      <c r="E107" s="254"/>
      <c r="F107" s="254"/>
      <c r="G107" s="210"/>
      <c r="H107" s="210"/>
      <c r="I107" s="220"/>
      <c r="J107" s="220"/>
      <c r="K107" s="220"/>
      <c r="L107" s="220"/>
      <c r="M107" s="220"/>
      <c r="N107" s="220"/>
      <c r="O107" s="220"/>
      <c r="P107" s="220"/>
      <c r="Q107" s="621"/>
    </row>
    <row r="108" spans="1:17">
      <c r="A108" s="254"/>
      <c r="B108" s="254"/>
      <c r="C108" s="254"/>
      <c r="D108" s="254"/>
      <c r="E108" s="254"/>
      <c r="F108" s="254"/>
      <c r="G108" s="210"/>
      <c r="H108" s="210"/>
      <c r="I108" s="220"/>
      <c r="J108" s="220"/>
      <c r="K108" s="220"/>
      <c r="L108" s="220"/>
      <c r="M108" s="220"/>
      <c r="N108" s="220"/>
      <c r="O108" s="220"/>
      <c r="P108" s="220"/>
      <c r="Q108" s="621"/>
    </row>
    <row r="109" spans="1:17">
      <c r="A109" s="254"/>
      <c r="B109" s="254"/>
      <c r="C109" s="254"/>
      <c r="D109" s="254"/>
      <c r="E109" s="254"/>
      <c r="F109" s="254"/>
      <c r="G109" s="210"/>
      <c r="H109" s="210"/>
      <c r="I109" s="220"/>
      <c r="J109" s="220"/>
      <c r="K109" s="220"/>
      <c r="L109" s="220"/>
      <c r="M109" s="220"/>
      <c r="N109" s="220"/>
      <c r="O109" s="220"/>
      <c r="P109" s="220"/>
      <c r="Q109" s="621"/>
    </row>
    <row r="110" spans="1:17">
      <c r="A110" s="254"/>
      <c r="B110" s="254"/>
      <c r="C110" s="254"/>
      <c r="D110" s="254"/>
      <c r="E110" s="254"/>
      <c r="F110" s="254"/>
      <c r="G110" s="210"/>
      <c r="H110" s="210"/>
      <c r="I110" s="220"/>
      <c r="J110" s="220"/>
      <c r="K110" s="220"/>
      <c r="L110" s="220"/>
      <c r="M110" s="220"/>
      <c r="N110" s="220"/>
      <c r="O110" s="220"/>
      <c r="P110" s="220"/>
      <c r="Q110" s="621"/>
    </row>
    <row r="111" spans="1:17">
      <c r="A111" s="254"/>
      <c r="B111" s="254"/>
      <c r="C111" s="254"/>
      <c r="D111" s="254"/>
      <c r="E111" s="254"/>
      <c r="F111" s="254"/>
      <c r="G111" s="210"/>
      <c r="H111" s="210"/>
      <c r="I111" s="220"/>
      <c r="J111" s="220"/>
      <c r="K111" s="220"/>
      <c r="L111" s="220"/>
      <c r="M111" s="220"/>
      <c r="N111" s="220"/>
      <c r="O111" s="220"/>
      <c r="P111" s="220"/>
      <c r="Q111" s="621"/>
    </row>
    <row r="112" spans="1:17">
      <c r="A112" s="254"/>
      <c r="B112" s="254"/>
      <c r="C112" s="254"/>
      <c r="D112" s="254"/>
      <c r="E112" s="254"/>
      <c r="F112" s="254"/>
      <c r="G112" s="254"/>
      <c r="H112" s="254"/>
      <c r="I112" s="254"/>
      <c r="J112" s="254"/>
      <c r="K112" s="254"/>
      <c r="L112" s="254"/>
      <c r="M112" s="220"/>
      <c r="N112" s="220"/>
      <c r="O112" s="220"/>
      <c r="P112" s="220"/>
      <c r="Q112" s="621"/>
    </row>
    <row r="113" spans="1:17">
      <c r="A113" s="254"/>
      <c r="B113" s="254"/>
      <c r="C113" s="254"/>
      <c r="D113" s="254"/>
      <c r="E113" s="254"/>
      <c r="F113" s="254"/>
      <c r="G113" s="254"/>
      <c r="H113" s="254"/>
      <c r="I113" s="254"/>
      <c r="J113" s="254"/>
      <c r="K113" s="254"/>
      <c r="L113" s="254"/>
      <c r="M113" s="220"/>
      <c r="N113" s="220"/>
      <c r="O113" s="220"/>
      <c r="P113" s="220"/>
      <c r="Q113" s="621"/>
    </row>
    <row r="114" spans="1:17">
      <c r="A114" s="254"/>
      <c r="B114" s="254"/>
      <c r="C114" s="254"/>
      <c r="D114" s="254"/>
      <c r="E114" s="254"/>
      <c r="F114" s="254"/>
      <c r="G114" s="254"/>
      <c r="H114" s="254"/>
      <c r="I114" s="254"/>
      <c r="J114" s="254"/>
      <c r="K114" s="254"/>
      <c r="L114" s="254"/>
      <c r="M114" s="220"/>
      <c r="N114" s="220"/>
      <c r="O114" s="220"/>
      <c r="P114" s="220"/>
      <c r="Q114" s="621"/>
    </row>
    <row r="115" spans="1:17">
      <c r="A115" s="254"/>
      <c r="B115" s="254"/>
      <c r="C115" s="254"/>
      <c r="D115" s="254"/>
      <c r="E115" s="254"/>
      <c r="F115" s="254"/>
      <c r="G115" s="254"/>
      <c r="H115" s="254"/>
      <c r="I115" s="254"/>
      <c r="J115" s="254"/>
      <c r="K115" s="254"/>
      <c r="L115" s="254"/>
      <c r="M115" s="220"/>
      <c r="N115" s="220"/>
      <c r="O115" s="220"/>
      <c r="P115" s="220"/>
      <c r="Q115" s="621"/>
    </row>
    <row r="116" spans="1:17">
      <c r="A116" s="254"/>
      <c r="B116" s="254"/>
      <c r="C116" s="254"/>
      <c r="D116" s="254"/>
      <c r="E116" s="254"/>
      <c r="F116" s="254"/>
      <c r="G116" s="254"/>
      <c r="H116" s="254"/>
      <c r="I116" s="254"/>
      <c r="J116" s="254"/>
      <c r="K116" s="254"/>
      <c r="L116" s="254"/>
    </row>
  </sheetData>
  <phoneticPr fontId="9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NavigateCombBox">
              <controlPr defaultSize="0" autoPict="0" macro="[0]!NavigateBox">
                <anchor moveWithCells="1">
                  <from>
                    <xdr:col>0</xdr:col>
                    <xdr:colOff>0</xdr:colOff>
                    <xdr:row>0</xdr:row>
                    <xdr:rowOff>0</xdr:rowOff>
                  </from>
                  <to>
                    <xdr:col>1</xdr:col>
                    <xdr:colOff>364027</xdr:colOff>
                    <xdr:row>1</xdr:row>
                    <xdr:rowOff>60671</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14996795556505021"/>
  </sheetPr>
  <dimension ref="A1:BI1516"/>
  <sheetViews>
    <sheetView workbookViewId="0">
      <pane xSplit="3" ySplit="4" topLeftCell="D5" activePane="bottomRight" state="frozen"/>
      <selection pane="topRight"/>
      <selection pane="bottomLeft"/>
      <selection pane="bottomRight" activeCell="F12" sqref="F12"/>
    </sheetView>
  </sheetViews>
  <sheetFormatPr defaultColWidth="9" defaultRowHeight="14.35"/>
  <cols>
    <col min="2" max="2" width="27.4375" customWidth="1"/>
    <col min="3" max="3" width="18.125" customWidth="1"/>
    <col min="4" max="10" width="8.1875" bestFit="1" customWidth="1"/>
    <col min="11" max="11" width="14.125" customWidth="1"/>
    <col min="16" max="61" width="9.125" style="511"/>
  </cols>
  <sheetData>
    <row r="1" spans="1:17">
      <c r="A1" s="404"/>
      <c r="B1" s="231"/>
      <c r="C1" s="512"/>
      <c r="D1" s="254"/>
      <c r="E1" s="254"/>
      <c r="F1" s="254"/>
      <c r="G1" s="254"/>
      <c r="H1" s="254"/>
      <c r="I1" s="254"/>
      <c r="J1" s="254"/>
      <c r="K1" s="254"/>
      <c r="L1" s="254"/>
      <c r="M1" s="254"/>
      <c r="N1" s="254"/>
      <c r="O1" s="254"/>
      <c r="P1" s="549"/>
      <c r="Q1" s="550"/>
    </row>
    <row r="2" spans="1:17">
      <c r="A2" s="211" t="str">
        <f>'[2]历史年度（原始）'!A2</f>
        <v>单位：元</v>
      </c>
      <c r="B2" s="512"/>
      <c r="C2" s="512"/>
      <c r="D2" s="254"/>
      <c r="E2" s="254"/>
      <c r="F2" s="254"/>
      <c r="G2" s="254"/>
      <c r="H2" s="254"/>
      <c r="I2" s="254"/>
      <c r="J2" s="254"/>
      <c r="K2" s="254"/>
      <c r="L2" s="254"/>
      <c r="M2" s="254"/>
      <c r="N2" s="254"/>
      <c r="O2" s="254"/>
      <c r="P2" s="549"/>
      <c r="Q2" s="550"/>
    </row>
    <row r="3" spans="1:17">
      <c r="A3" s="211"/>
      <c r="B3" s="512"/>
      <c r="C3" s="512"/>
      <c r="D3" s="254"/>
      <c r="E3" s="254"/>
      <c r="F3" s="254"/>
      <c r="G3" s="254"/>
      <c r="H3" s="254"/>
      <c r="I3" s="254"/>
      <c r="J3" s="254"/>
      <c r="K3" s="254"/>
      <c r="L3" s="254"/>
      <c r="M3" s="254"/>
      <c r="N3" s="254"/>
      <c r="O3" s="254"/>
      <c r="P3" s="549"/>
      <c r="Q3" s="550"/>
    </row>
    <row r="4" spans="1:17" ht="15.35">
      <c r="A4" s="513"/>
      <c r="B4" s="513"/>
      <c r="C4" s="433" t="s">
        <v>1434</v>
      </c>
      <c r="D4" s="77">
        <v>42369</v>
      </c>
      <c r="E4" s="77">
        <v>42735</v>
      </c>
      <c r="F4" s="77">
        <v>43100</v>
      </c>
      <c r="G4" s="77">
        <v>43465</v>
      </c>
      <c r="H4" s="312">
        <v>43830</v>
      </c>
      <c r="I4" s="312">
        <v>44196</v>
      </c>
      <c r="J4" s="312">
        <v>44561</v>
      </c>
      <c r="K4" s="217"/>
      <c r="L4" s="459"/>
      <c r="M4" s="459"/>
      <c r="N4" s="468"/>
      <c r="O4" s="468"/>
      <c r="P4" s="551"/>
      <c r="Q4" s="552"/>
    </row>
    <row r="5" spans="1:17">
      <c r="A5" s="508" t="s">
        <v>855</v>
      </c>
      <c r="B5" s="513"/>
      <c r="C5" s="433"/>
      <c r="D5" s="210"/>
      <c r="E5" s="210"/>
      <c r="F5" s="213"/>
      <c r="G5" s="213"/>
      <c r="H5" s="461"/>
      <c r="I5" s="461"/>
      <c r="J5" s="461"/>
      <c r="K5" s="461"/>
      <c r="L5" s="461"/>
      <c r="M5" s="461"/>
      <c r="N5" s="461"/>
      <c r="O5" s="461"/>
      <c r="P5" s="553"/>
      <c r="Q5" s="554"/>
    </row>
    <row r="6" spans="1:17" ht="15.35">
      <c r="A6" s="353" t="s">
        <v>1435</v>
      </c>
      <c r="B6" s="514"/>
      <c r="C6" s="212"/>
      <c r="D6" s="411"/>
      <c r="E6" s="411"/>
      <c r="F6" s="411"/>
      <c r="G6" s="411"/>
      <c r="H6" s="461"/>
      <c r="I6" s="461"/>
      <c r="J6" s="461"/>
      <c r="K6" s="461"/>
      <c r="L6" s="462"/>
      <c r="M6" s="462"/>
      <c r="N6" s="462"/>
      <c r="O6" s="462"/>
      <c r="P6" s="555"/>
      <c r="Q6" s="556"/>
    </row>
    <row r="7" spans="1:17">
      <c r="A7" s="354"/>
      <c r="B7" s="355" t="s">
        <v>857</v>
      </c>
      <c r="C7" s="515"/>
      <c r="D7" s="171">
        <f>'历史年度（简化）'!C5</f>
        <v>13.1927602149</v>
      </c>
      <c r="E7" s="171">
        <f>'历史年度（简化）'!D5</f>
        <v>17.362587665</v>
      </c>
      <c r="F7" s="171">
        <f>'历史年度（简化）'!E5</f>
        <v>19.875579137999999</v>
      </c>
      <c r="G7" s="171">
        <f>'历史年度（简化）'!F5</f>
        <v>23.620428396199998</v>
      </c>
      <c r="H7" s="466">
        <f>IF(ISERROR((1+H8)*G7),0,(1+H8)*G7)</f>
        <v>28.070861922876926</v>
      </c>
      <c r="I7" s="466">
        <f t="shared" ref="I7:J7" si="0">IF(ISERROR((1+I8)*H7),0,(1+I8)*H7)</f>
        <v>33.359822094504814</v>
      </c>
      <c r="J7" s="466">
        <f t="shared" si="0"/>
        <v>39.64529957201097</v>
      </c>
      <c r="K7" s="502"/>
      <c r="L7" s="463"/>
      <c r="M7" s="463"/>
      <c r="N7" s="463"/>
      <c r="O7" s="463"/>
      <c r="P7" s="557"/>
      <c r="Q7" s="558"/>
    </row>
    <row r="8" spans="1:17">
      <c r="A8" s="516"/>
      <c r="B8" s="517" t="s">
        <v>1250</v>
      </c>
      <c r="C8" s="518"/>
      <c r="E8" s="519">
        <f>IF(ISERROR(('历史年度（简化）'!D5-'历史年度（简化）'!C5)/'历史年度（简化）'!C5),0,('历史年度（简化）'!D5-'历史年度（简化）'!C5)/'历史年度（简化）'!C5)</f>
        <v>0.31606937306345989</v>
      </c>
      <c r="F8" s="519">
        <f>IF(ISERROR(('历史年度（简化）'!E5-'历史年度（简化）'!D5)/'历史年度（简化）'!D5),0,('历史年度（简化）'!E5-'历史年度（简化）'!D5)/'历史年度（简化）'!D5)</f>
        <v>0.1447359991198639</v>
      </c>
      <c r="G8" s="519">
        <f>IF(ISERROR(('历史年度（简化）'!F5-'历史年度（简化）'!E5)/'历史年度（简化）'!E5),0,('历史年度（简化）'!F5-'历史年度（简化）'!E5)/'历史年度（简化）'!E5)</f>
        <v>0.18841459824635973</v>
      </c>
      <c r="H8" s="543">
        <f>IF(ISERROR(G8),0,G8)</f>
        <v>0.18841459824635973</v>
      </c>
      <c r="I8" s="543">
        <f t="shared" ref="I8:J8" si="1">IF(ISERROR(H8),0,H8)</f>
        <v>0.18841459824635973</v>
      </c>
      <c r="J8" s="543">
        <f t="shared" si="1"/>
        <v>0.18841459824635973</v>
      </c>
      <c r="K8" s="502"/>
      <c r="L8" s="463"/>
      <c r="M8" s="463"/>
      <c r="N8" s="463"/>
      <c r="O8" s="463"/>
      <c r="P8" s="557"/>
      <c r="Q8" s="558"/>
    </row>
    <row r="9" spans="1:17">
      <c r="A9" s="354" t="s">
        <v>858</v>
      </c>
      <c r="B9" s="355" t="s">
        <v>859</v>
      </c>
      <c r="C9" s="463"/>
      <c r="D9" s="171">
        <f>'历史年度（简化）'!C6</f>
        <v>8.3774469138000001</v>
      </c>
      <c r="E9" s="171">
        <f>'历史年度（简化）'!D6</f>
        <v>10.937385246</v>
      </c>
      <c r="F9" s="171">
        <f>'历史年度（简化）'!E6</f>
        <v>13.2217180949</v>
      </c>
      <c r="G9" s="171">
        <f>'历史年度（简化）'!F6</f>
        <v>15.4379428183</v>
      </c>
      <c r="H9" s="466">
        <f>IF(ISERROR((1-H10)*H7),0,(1-H10)*H7)</f>
        <v>18.34667661216027</v>
      </c>
      <c r="I9" s="466">
        <f t="shared" ref="I9:J9" si="2">IF(ISERROR((1-I10)*I7),0,(1-I10)*I7)</f>
        <v>21.803458315196327</v>
      </c>
      <c r="J9" s="466">
        <f t="shared" si="2"/>
        <v>25.911548154035291</v>
      </c>
      <c r="K9" s="502"/>
      <c r="L9" s="463"/>
      <c r="M9" s="463"/>
      <c r="N9" s="463"/>
      <c r="O9" s="463"/>
      <c r="P9" s="557"/>
      <c r="Q9" s="558"/>
    </row>
    <row r="10" spans="1:17">
      <c r="A10" s="516"/>
      <c r="B10" s="517" t="s">
        <v>1436</v>
      </c>
      <c r="C10" s="463"/>
      <c r="D10" s="519">
        <f>IF(ISERROR(1-('历史年度（简化）'!C6/'历史年度（简化）'!C5)),0,1-('历史年度（简化）'!C6/'历史年度（简化）'!C5))</f>
        <v>0.36499665139532744</v>
      </c>
      <c r="E10" s="519">
        <f>IF(ISERROR(1-('历史年度（简化）'!D6/'历史年度（简化）'!D5)),0,1-('历史年度（简化）'!D6/'历史年度（简化）'!D5))</f>
        <v>0.37006018589913914</v>
      </c>
      <c r="F10" s="519">
        <f>IF(ISERROR(1-('历史年度（简化）'!E6/'历史年度（简化）'!E5)),0,1-('历史年度（简化）'!E6/'历史年度（简化）'!E5))</f>
        <v>0.33477570625242925</v>
      </c>
      <c r="G10" s="519">
        <f>IF(ISERROR(1-('历史年度（简化）'!F6/'历史年度（简化）'!F5)),0,1-('历史年度（简化）'!F6/'历史年度（简化）'!F5))</f>
        <v>0.34641562975277695</v>
      </c>
      <c r="H10" s="543">
        <f>IF(ISERROR(G10),0,G10)</f>
        <v>0.34641562975277695</v>
      </c>
      <c r="I10" s="543">
        <f t="shared" ref="I10:J10" si="3">IF(ISERROR(H10),0,H10)</f>
        <v>0.34641562975277695</v>
      </c>
      <c r="J10" s="543">
        <f t="shared" si="3"/>
        <v>0.34641562975277695</v>
      </c>
      <c r="K10" s="502"/>
      <c r="L10" s="430"/>
      <c r="M10" s="463"/>
      <c r="N10" s="463"/>
      <c r="O10" s="463"/>
      <c r="P10" s="557"/>
      <c r="Q10" s="558"/>
    </row>
    <row r="11" spans="1:17">
      <c r="A11" s="354"/>
      <c r="B11" s="355" t="s">
        <v>860</v>
      </c>
      <c r="C11" s="463"/>
      <c r="D11" s="171">
        <f>'历史年度（简化）'!C7</f>
        <v>4.9200656900000007E-2</v>
      </c>
      <c r="E11" s="171">
        <f>'历史年度（简化）'!D7</f>
        <v>0.12651449770000001</v>
      </c>
      <c r="F11" s="171">
        <f>'历史年度（简化）'!E7</f>
        <v>0.28420940039999998</v>
      </c>
      <c r="G11" s="171">
        <f>'历史年度（简化）'!F7</f>
        <v>0.32729466509999999</v>
      </c>
      <c r="H11" s="466">
        <f>IF(ISERROR(H7*H12),0,H7*H12)</f>
        <v>0.38896175793299337</v>
      </c>
      <c r="I11" s="466">
        <f t="shared" ref="I11:J11" si="4">IF(ISERROR(I7*I12),0,I7*I12)</f>
        <v>0.46224783128713604</v>
      </c>
      <c r="J11" s="466">
        <f t="shared" si="4"/>
        <v>0.54934207070935281</v>
      </c>
      <c r="K11" s="430"/>
      <c r="L11" s="524"/>
      <c r="M11" s="430"/>
      <c r="N11" s="430"/>
      <c r="O11" s="430"/>
      <c r="P11" s="559"/>
      <c r="Q11" s="558"/>
    </row>
    <row r="12" spans="1:17">
      <c r="A12" s="516"/>
      <c r="B12" s="520" t="s">
        <v>1437</v>
      </c>
      <c r="C12" s="521"/>
      <c r="D12" s="519">
        <f>IF(ISERROR(D11/D7),0,D11/D7)</f>
        <v>3.729367933514961E-3</v>
      </c>
      <c r="E12" s="519">
        <f>IF(ISERROR(E11/E7),0,E11/E7)</f>
        <v>7.2866153444991122E-3</v>
      </c>
      <c r="F12" s="519">
        <f t="shared" ref="F12:G12" si="5">IF(ISERROR(F11/F7),0,F11/F7)</f>
        <v>1.4299427373998967E-2</v>
      </c>
      <c r="G12" s="519">
        <f t="shared" si="5"/>
        <v>1.385642375362906E-2</v>
      </c>
      <c r="H12" s="544">
        <f>IF(ISERROR(G12),0,G12)</f>
        <v>1.385642375362906E-2</v>
      </c>
      <c r="I12" s="544">
        <f t="shared" ref="I12:J12" si="6">IF(ISERROR(H12),0,H12)</f>
        <v>1.385642375362906E-2</v>
      </c>
      <c r="J12" s="544">
        <f t="shared" si="6"/>
        <v>1.385642375362906E-2</v>
      </c>
      <c r="K12" s="524"/>
      <c r="L12" s="430"/>
      <c r="M12" s="524"/>
      <c r="N12" s="524"/>
      <c r="O12" s="524"/>
      <c r="P12" s="560"/>
      <c r="Q12" s="561"/>
    </row>
    <row r="13" spans="1:17">
      <c r="A13" s="354"/>
      <c r="B13" s="355" t="s">
        <v>861</v>
      </c>
      <c r="C13" s="522"/>
      <c r="D13" s="171">
        <f>'历史年度（简化）'!C8</f>
        <v>0.4301314007</v>
      </c>
      <c r="E13" s="171">
        <f>'历史年度（简化）'!D8</f>
        <v>0.51447692550000002</v>
      </c>
      <c r="F13" s="171">
        <f>'历史年度（简化）'!E8</f>
        <v>0.68345308090000001</v>
      </c>
      <c r="G13" s="171">
        <f>'历史年度（简化）'!F8</f>
        <v>0.67827201180000007</v>
      </c>
      <c r="H13" s="464">
        <f>IF(ISERROR(H7*H14),0,H7*H14)</f>
        <v>0.86770223294058424</v>
      </c>
      <c r="I13" s="464">
        <f t="shared" ref="I13:J13" si="7">IF(ISERROR(I7*I14),0,I7*I14)</f>
        <v>1.0454211372952795</v>
      </c>
      <c r="J13" s="464">
        <f t="shared" si="7"/>
        <v>1.2021029733031254</v>
      </c>
      <c r="K13" s="430"/>
      <c r="L13" s="524"/>
      <c r="M13" s="430"/>
      <c r="N13" s="430"/>
      <c r="O13" s="430"/>
      <c r="P13" s="559"/>
      <c r="Q13" s="558"/>
    </row>
    <row r="14" spans="1:17">
      <c r="A14" s="516"/>
      <c r="B14" s="520" t="s">
        <v>1437</v>
      </c>
      <c r="C14" s="523"/>
      <c r="D14" s="519">
        <f>IF(ISERROR(D13/D7),0,D13/D7)</f>
        <v>3.2603594220882333E-2</v>
      </c>
      <c r="E14" s="519">
        <f>IF(ISERROR(E13/E7),0,E13/E7)</f>
        <v>2.9631350777113558E-2</v>
      </c>
      <c r="F14" s="519">
        <f t="shared" ref="F14:G14" si="8">IF(ISERROR(F13/F7),0,F13/F7)</f>
        <v>3.4386574406443847E-2</v>
      </c>
      <c r="G14" s="519">
        <f t="shared" si="8"/>
        <v>2.8715483073504244E-2</v>
      </c>
      <c r="H14" s="544">
        <f>IF(ISERROR(AVERAGE(E14:G14)),0,AVERAGE(E14:G14))</f>
        <v>3.0911136085687217E-2</v>
      </c>
      <c r="I14" s="544">
        <f t="shared" ref="I14:J14" si="9">IF(ISERROR(AVERAGE(F14:H14)),0,AVERAGE(F14:H14))</f>
        <v>3.1337731188545104E-2</v>
      </c>
      <c r="J14" s="544">
        <f t="shared" si="9"/>
        <v>3.0321450115912186E-2</v>
      </c>
      <c r="K14" s="524"/>
      <c r="L14" s="430"/>
      <c r="M14" s="430"/>
      <c r="N14" s="524"/>
      <c r="O14" s="524"/>
      <c r="P14" s="560"/>
      <c r="Q14" s="561"/>
    </row>
    <row r="15" spans="1:17">
      <c r="A15" s="354"/>
      <c r="B15" s="355" t="s">
        <v>862</v>
      </c>
      <c r="C15" s="463"/>
      <c r="D15" s="171">
        <f>'历史年度（简化）'!C9</f>
        <v>1.4364657703999999</v>
      </c>
      <c r="E15" s="171">
        <f>'历史年度（简化）'!D9</f>
        <v>1.8918100594999998</v>
      </c>
      <c r="F15" s="171">
        <f>'历史年度（简化）'!E9</f>
        <v>2.4434639690999997</v>
      </c>
      <c r="G15" s="171">
        <f>'历史年度（简化）'!F9</f>
        <v>1.3848596878999999</v>
      </c>
      <c r="H15" s="464">
        <f>IF(ISERROR(H7*H16),0,H7*H16)</f>
        <v>2.7184453188858191</v>
      </c>
      <c r="I15" s="464">
        <f t="shared" ref="I15:J15" si="10">IF(ISERROR(I7*I16),0,I7*I16)</f>
        <v>3.0959025999885221</v>
      </c>
      <c r="J15" s="464">
        <f t="shared" si="10"/>
        <v>3.2809831658546345</v>
      </c>
      <c r="K15" s="430"/>
      <c r="L15" s="524"/>
      <c r="M15" s="430"/>
      <c r="N15" s="430"/>
      <c r="O15" s="430"/>
      <c r="P15" s="559"/>
      <c r="Q15" s="558"/>
    </row>
    <row r="16" spans="1:17">
      <c r="A16" s="516"/>
      <c r="B16" s="520" t="s">
        <v>1437</v>
      </c>
      <c r="C16" s="463"/>
      <c r="D16" s="519">
        <f>IF(ISERROR(D15/D7),0,D15/D7)</f>
        <v>0.10888288326332536</v>
      </c>
      <c r="E16" s="519">
        <f>IF(ISERROR(E15/E7),0,E15/E7)</f>
        <v>0.10895899251892992</v>
      </c>
      <c r="F16" s="519">
        <f t="shared" ref="F16:G16" si="11">IF(ISERROR(F15/F7),0,F15/F7)</f>
        <v>0.12293800105821097</v>
      </c>
      <c r="G16" s="519">
        <f t="shared" si="11"/>
        <v>5.8629744756144776E-2</v>
      </c>
      <c r="H16" s="544">
        <f>IF(ISERROR(AVERAGE(E16:G16)),0,AVERAGE(E16:G16))</f>
        <v>9.6842246111095223E-2</v>
      </c>
      <c r="I16" s="544">
        <f t="shared" ref="I16:J16" si="12">IF(ISERROR(AVERAGE(F16:H16)),0,AVERAGE(F16:H16))</f>
        <v>9.2803330641816992E-2</v>
      </c>
      <c r="J16" s="544">
        <f t="shared" si="12"/>
        <v>8.2758440503019004E-2</v>
      </c>
      <c r="K16" s="524"/>
      <c r="L16" s="463"/>
      <c r="M16" s="524"/>
      <c r="N16" s="524"/>
      <c r="O16" s="524"/>
      <c r="P16" s="560"/>
      <c r="Q16" s="561"/>
    </row>
    <row r="17" spans="1:17">
      <c r="A17" s="348"/>
      <c r="B17" s="351" t="s">
        <v>863</v>
      </c>
      <c r="C17" s="430"/>
      <c r="D17" s="171" t="e">
        <f>'历史年度（简化）'!C10</f>
        <v>#VALUE!</v>
      </c>
      <c r="E17" s="171" t="e">
        <f>'历史年度（简化）'!D10</f>
        <v>#VALUE!</v>
      </c>
      <c r="F17" s="171" t="e">
        <f>'历史年度（简化）'!E10</f>
        <v>#VALUE!</v>
      </c>
      <c r="G17" s="171" t="e">
        <f>'历史年度（简化）'!F10</f>
        <v>#VALUE!</v>
      </c>
      <c r="H17" s="545">
        <f>筹资!E9-筹资!E10</f>
        <v>-4.0283720851454992E-2</v>
      </c>
      <c r="I17" s="545" t="e">
        <f>筹资!F9-筹资!F10</f>
        <v>#VALUE!</v>
      </c>
      <c r="J17" s="545" t="e">
        <f>筹资!G9-筹资!G10</f>
        <v>#VALUE!</v>
      </c>
      <c r="K17" s="502"/>
      <c r="L17" s="430"/>
      <c r="M17" s="463"/>
      <c r="N17" s="463"/>
      <c r="O17" s="463"/>
      <c r="P17" s="557"/>
      <c r="Q17" s="558"/>
    </row>
    <row r="18" spans="1:17">
      <c r="A18" s="354"/>
      <c r="B18" s="355" t="s">
        <v>945</v>
      </c>
      <c r="C18" s="430"/>
      <c r="D18" s="171" t="e">
        <f>'历史年度（简化）'!C150</f>
        <v>#VALUE!</v>
      </c>
      <c r="E18" s="171" t="e">
        <f>'历史年度（简化）'!D150</f>
        <v>#VALUE!</v>
      </c>
      <c r="F18" s="171" t="e">
        <f>'历史年度（简化）'!E150</f>
        <v>#VALUE!</v>
      </c>
      <c r="G18" s="171" t="e">
        <f>'历史年度（简化）'!F150</f>
        <v>#VALUE!</v>
      </c>
      <c r="H18" s="464">
        <f>IF(ISERROR(G18),0,G18)</f>
        <v>0</v>
      </c>
      <c r="I18" s="464">
        <f t="shared" ref="I18:J18" si="13">IF(ISERROR(H18),0,H18)</f>
        <v>0</v>
      </c>
      <c r="J18" s="464">
        <f t="shared" si="13"/>
        <v>0</v>
      </c>
      <c r="K18" s="430"/>
      <c r="L18" s="524"/>
      <c r="M18" s="430"/>
      <c r="N18" s="430"/>
      <c r="O18" s="430"/>
      <c r="P18" s="559"/>
      <c r="Q18" s="558"/>
    </row>
    <row r="19" spans="1:17">
      <c r="A19" s="516"/>
      <c r="B19" s="520" t="s">
        <v>1437</v>
      </c>
      <c r="C19" s="430"/>
      <c r="D19" s="519">
        <f t="shared" ref="D19:H19" si="14">IF(ISERROR(D18/D7),0,D18/D7)</f>
        <v>0</v>
      </c>
      <c r="E19" s="519">
        <f t="shared" si="14"/>
        <v>0</v>
      </c>
      <c r="F19" s="519">
        <f t="shared" ref="F19:G19" si="15">IF(ISERROR(F18/F7),0,F18/F7)</f>
        <v>0</v>
      </c>
      <c r="G19" s="519">
        <f t="shared" si="15"/>
        <v>0</v>
      </c>
      <c r="H19" s="544">
        <f t="shared" si="14"/>
        <v>0</v>
      </c>
      <c r="I19" s="544">
        <f t="shared" ref="I19:J19" si="16">IF(ISERROR(I18/I7),0,I18/I7)</f>
        <v>0</v>
      </c>
      <c r="J19" s="544">
        <f t="shared" si="16"/>
        <v>0</v>
      </c>
      <c r="K19" s="524"/>
      <c r="L19" s="430"/>
      <c r="M19" s="524"/>
      <c r="N19" s="524"/>
      <c r="O19" s="524"/>
      <c r="P19" s="560"/>
      <c r="Q19" s="561"/>
    </row>
    <row r="20" spans="1:17">
      <c r="A20" s="348"/>
      <c r="B20" s="349" t="s">
        <v>864</v>
      </c>
      <c r="C20" s="524"/>
      <c r="D20" s="171">
        <f>'历史年度（简化）'!C11</f>
        <v>8.1315124500000002E-2</v>
      </c>
      <c r="E20" s="171">
        <f>'历史年度（简化）'!D11</f>
        <v>5.8446824100000003E-2</v>
      </c>
      <c r="F20" s="171">
        <f>'历史年度（简化）'!E11</f>
        <v>5.5743501100000002E-2</v>
      </c>
      <c r="G20" s="171">
        <f>'历史年度（简化）'!F11</f>
        <v>0.260987091</v>
      </c>
      <c r="H20" s="464">
        <f>IF(ISERROR(AVERAGE(E20:G20)),0,AVERAGE(E20:G20))</f>
        <v>0.12505913873333332</v>
      </c>
      <c r="I20" s="464">
        <f t="shared" ref="I20:J20" si="17">IF(ISERROR(AVERAGE(F20:H20)),0,AVERAGE(F20:H20))</f>
        <v>0.14726324361111109</v>
      </c>
      <c r="J20" s="464">
        <f t="shared" si="17"/>
        <v>0.17776982444814815</v>
      </c>
      <c r="K20" s="430"/>
      <c r="L20" s="430"/>
      <c r="M20" s="430"/>
      <c r="N20" s="430"/>
      <c r="O20" s="430"/>
      <c r="P20" s="559"/>
      <c r="Q20" s="558"/>
    </row>
    <row r="21" spans="1:17">
      <c r="A21" s="354" t="s">
        <v>865</v>
      </c>
      <c r="B21" s="525" t="s">
        <v>1438</v>
      </c>
      <c r="C21" s="524"/>
      <c r="D21" s="171">
        <f>'历史年度（简化）'!C12</f>
        <v>4.163336342344337E-16</v>
      </c>
      <c r="E21" s="171">
        <f>'历史年度（简化）'!D12</f>
        <v>-8.4654505627668186E-16</v>
      </c>
      <c r="F21" s="171">
        <f>'历史年度（简化）'!E12</f>
        <v>7.6327832942979512E-17</v>
      </c>
      <c r="G21" s="171">
        <f>'历史年度（简化）'!F12</f>
        <v>-1.3342462273000004</v>
      </c>
      <c r="H21" s="464">
        <f>IF(ISERROR(AVERAGE(E21:G21)),0,AVERAGE(E21:G21))</f>
        <v>-0.44474874243333368</v>
      </c>
      <c r="I21" s="464">
        <f t="shared" ref="I21:J21" si="18">IF(ISERROR(AVERAGE(F21:H21)),0,AVERAGE(F21:H21))</f>
        <v>-0.59299832324444468</v>
      </c>
      <c r="J21" s="464">
        <f t="shared" si="18"/>
        <v>-0.79066443099259287</v>
      </c>
      <c r="K21" s="430"/>
      <c r="L21" s="501"/>
      <c r="M21" s="430"/>
      <c r="N21" s="430"/>
      <c r="O21" s="430"/>
      <c r="P21" s="559"/>
      <c r="Q21" s="558"/>
    </row>
    <row r="22" spans="1:17" hidden="1">
      <c r="A22" s="516"/>
      <c r="B22" s="526"/>
      <c r="C22" s="524"/>
      <c r="D22" s="270"/>
      <c r="E22" s="270"/>
      <c r="F22" s="270"/>
      <c r="G22" s="270"/>
      <c r="H22" s="270"/>
      <c r="I22" s="270"/>
      <c r="J22" s="270"/>
      <c r="K22" s="501"/>
      <c r="L22" s="463"/>
      <c r="M22" s="501"/>
      <c r="N22" s="501"/>
      <c r="O22" s="501"/>
      <c r="P22" s="562"/>
      <c r="Q22" s="561"/>
    </row>
    <row r="23" spans="1:17">
      <c r="A23" s="348"/>
      <c r="B23" s="351" t="s">
        <v>867</v>
      </c>
      <c r="C23" s="430"/>
      <c r="D23" s="171" t="e">
        <f>'历史年度（简化）'!C13</f>
        <v>#VALUE!</v>
      </c>
      <c r="E23" s="171" t="e">
        <f>'历史年度（简化）'!D13</f>
        <v>#VALUE!</v>
      </c>
      <c r="F23" s="171" t="e">
        <f>'历史年度（简化）'!E13</f>
        <v>#VALUE!</v>
      </c>
      <c r="G23" s="171" t="e">
        <f>'历史年度（简化）'!F13</f>
        <v>#VALUE!</v>
      </c>
      <c r="H23" s="171">
        <f>H7-H9-H11-H13-H15-H17-H19-H20+H21</f>
        <v>5.2195518406420476</v>
      </c>
      <c r="I23" s="171" t="e">
        <f t="shared" ref="I23:J23" si="19">I7-I9-I11-I13-I15-I17-I19-I20+I21</f>
        <v>#VALUE!</v>
      </c>
      <c r="J23" s="171" t="e">
        <f t="shared" si="19"/>
        <v>#VALUE!</v>
      </c>
      <c r="K23" s="502"/>
      <c r="L23" s="430"/>
      <c r="M23" s="463"/>
      <c r="N23" s="463"/>
      <c r="O23" s="463"/>
      <c r="P23" s="557"/>
      <c r="Q23" s="558"/>
    </row>
    <row r="24" spans="1:17">
      <c r="A24" s="354" t="s">
        <v>858</v>
      </c>
      <c r="B24" s="355" t="s">
        <v>1439</v>
      </c>
      <c r="C24" s="430"/>
      <c r="D24" s="171">
        <f>'历史年度（简化）'!C14</f>
        <v>0</v>
      </c>
      <c r="E24" s="171">
        <f>'历史年度（简化）'!D14</f>
        <v>0</v>
      </c>
      <c r="F24" s="171">
        <f>'历史年度（简化）'!E14</f>
        <v>0</v>
      </c>
      <c r="G24" s="171">
        <f>'历史年度（简化）'!F14</f>
        <v>0</v>
      </c>
      <c r="H24" s="464">
        <f>IF(ISERROR(H25*H23),0,H25*H23)</f>
        <v>0</v>
      </c>
      <c r="I24" s="464">
        <f t="shared" ref="I24:J24" si="20">IF(ISERROR(I25*I23),0,I25*I23)</f>
        <v>0</v>
      </c>
      <c r="J24" s="464">
        <f t="shared" si="20"/>
        <v>0</v>
      </c>
      <c r="K24" s="430"/>
      <c r="L24" s="524"/>
      <c r="M24" s="430"/>
      <c r="N24" s="430"/>
      <c r="O24" s="430"/>
      <c r="P24" s="559"/>
      <c r="Q24" s="558"/>
    </row>
    <row r="25" spans="1:17">
      <c r="A25" s="516"/>
      <c r="B25" s="520" t="s">
        <v>870</v>
      </c>
      <c r="C25" s="430"/>
      <c r="D25" s="519">
        <f>'历史年度（简化）'!C16</f>
        <v>0</v>
      </c>
      <c r="E25" s="519">
        <f>'历史年度（简化）'!D16</f>
        <v>0</v>
      </c>
      <c r="F25" s="519">
        <f>'历史年度（简化）'!E16</f>
        <v>0</v>
      </c>
      <c r="G25" s="519">
        <f>'历史年度（简化）'!F16</f>
        <v>0</v>
      </c>
      <c r="H25" s="546">
        <f>IF(ISERROR(AVERAGE(E25:G25)),0,AVERAGE(E25:G25))</f>
        <v>0</v>
      </c>
      <c r="I25" s="546">
        <f t="shared" ref="I25:J25" si="21">IF(ISERROR(AVERAGE(F25:H25)),0,AVERAGE(F25:H25))</f>
        <v>0</v>
      </c>
      <c r="J25" s="546">
        <f t="shared" si="21"/>
        <v>0</v>
      </c>
      <c r="K25" s="547"/>
      <c r="L25" s="463"/>
      <c r="M25" s="524"/>
      <c r="N25" s="524"/>
      <c r="O25" s="524"/>
      <c r="P25" s="560"/>
      <c r="Q25" s="561"/>
    </row>
    <row r="26" spans="1:17">
      <c r="A26" s="348"/>
      <c r="B26" s="352" t="s">
        <v>869</v>
      </c>
      <c r="C26" s="527"/>
      <c r="D26" s="171" t="e">
        <f>'历史年度（简化）'!C15</f>
        <v>#VALUE!</v>
      </c>
      <c r="E26" s="171" t="e">
        <f>'历史年度（简化）'!D15</f>
        <v>#VALUE!</v>
      </c>
      <c r="F26" s="171" t="e">
        <f>'历史年度（简化）'!E15</f>
        <v>#VALUE!</v>
      </c>
      <c r="G26" s="171" t="e">
        <f>'历史年度（简化）'!F15</f>
        <v>#VALUE!</v>
      </c>
      <c r="H26" s="171">
        <f>H23-H24</f>
        <v>5.2195518406420476</v>
      </c>
      <c r="I26" s="171" t="e">
        <f t="shared" ref="I26:J26" si="22">I23-I24</f>
        <v>#VALUE!</v>
      </c>
      <c r="J26" s="171" t="e">
        <f t="shared" si="22"/>
        <v>#VALUE!</v>
      </c>
      <c r="K26" s="463"/>
      <c r="L26" s="463"/>
      <c r="M26" s="463"/>
      <c r="N26" s="463"/>
      <c r="O26" s="463"/>
      <c r="P26" s="557"/>
      <c r="Q26" s="558"/>
    </row>
    <row r="27" spans="1:17">
      <c r="A27" s="528"/>
      <c r="B27" s="529"/>
      <c r="C27" s="518"/>
      <c r="D27" s="296"/>
      <c r="E27" s="296"/>
      <c r="F27" s="296"/>
      <c r="G27" s="296"/>
      <c r="H27" s="296"/>
      <c r="I27" s="296"/>
      <c r="J27" s="296"/>
      <c r="K27" s="463"/>
      <c r="L27" s="463"/>
      <c r="M27" s="463"/>
      <c r="N27" s="463"/>
      <c r="O27" s="463"/>
      <c r="P27" s="557"/>
      <c r="Q27" s="558"/>
    </row>
    <row r="28" spans="1:17" ht="15.35">
      <c r="A28" s="353" t="s">
        <v>1440</v>
      </c>
      <c r="B28" s="514"/>
      <c r="C28" s="212"/>
      <c r="D28" s="269"/>
      <c r="E28" s="269"/>
      <c r="F28" s="269"/>
      <c r="G28" s="269"/>
      <c r="H28" s="269"/>
      <c r="I28" s="269"/>
      <c r="J28" s="269"/>
      <c r="K28" s="463"/>
      <c r="L28" s="463"/>
      <c r="M28" s="463"/>
      <c r="N28" s="463"/>
      <c r="O28" s="463"/>
      <c r="P28" s="557"/>
      <c r="Q28" s="558"/>
    </row>
    <row r="29" spans="1:17">
      <c r="A29" s="345"/>
      <c r="B29" s="346" t="s">
        <v>1321</v>
      </c>
      <c r="C29" s="527"/>
      <c r="D29" s="171">
        <f>'历史年度（简化）'!C18</f>
        <v>-1.7687092800000002E-2</v>
      </c>
      <c r="E29" s="171">
        <f>'历史年度（简化）'!D18</f>
        <v>5.9466944600000002E-2</v>
      </c>
      <c r="F29" s="171">
        <f>'历史年度（简化）'!E18</f>
        <v>-1.0830954299999999E-2</v>
      </c>
      <c r="G29" s="171">
        <f>'历史年度（简化）'!F18</f>
        <v>-3.1188881499999998E-2</v>
      </c>
      <c r="H29" s="171">
        <f>投资!E24</f>
        <v>10</v>
      </c>
      <c r="I29" s="171">
        <f>投资!F24</f>
        <v>0</v>
      </c>
      <c r="J29" s="171">
        <f>投资!G24</f>
        <v>0</v>
      </c>
      <c r="K29" s="463"/>
      <c r="L29" s="463"/>
      <c r="M29" s="463"/>
      <c r="N29" s="463"/>
      <c r="O29" s="463"/>
      <c r="P29" s="557"/>
      <c r="Q29" s="558"/>
    </row>
    <row r="30" spans="1:17">
      <c r="A30" s="348"/>
      <c r="B30" s="349" t="s">
        <v>1322</v>
      </c>
      <c r="C30" s="527"/>
      <c r="D30" s="171">
        <f>'历史年度（简化）'!C19</f>
        <v>8.6289337000000008E-3</v>
      </c>
      <c r="E30" s="171">
        <f>'历史年度（简化）'!D19</f>
        <v>0</v>
      </c>
      <c r="F30" s="171">
        <f>'历史年度（简化）'!E19</f>
        <v>0.75359670169999993</v>
      </c>
      <c r="G30" s="171">
        <f>'历史年度（简化）'!F19</f>
        <v>0.31473099589999998</v>
      </c>
      <c r="H30" s="171">
        <f>投资!E25</f>
        <v>5</v>
      </c>
      <c r="I30" s="171">
        <f>投资!F25</f>
        <v>0</v>
      </c>
      <c r="J30" s="171">
        <f>投资!G25</f>
        <v>0</v>
      </c>
      <c r="K30" s="463"/>
      <c r="L30" s="463"/>
      <c r="M30" s="463"/>
      <c r="N30" s="463"/>
      <c r="O30" s="463"/>
      <c r="P30" s="557"/>
      <c r="Q30" s="558"/>
    </row>
    <row r="31" spans="1:17" hidden="1">
      <c r="A31" s="348"/>
      <c r="B31" s="349" t="s">
        <v>1392</v>
      </c>
      <c r="C31" s="527"/>
      <c r="D31" s="171"/>
      <c r="E31" s="171"/>
      <c r="F31" s="171"/>
      <c r="G31" s="171"/>
      <c r="H31" s="171"/>
      <c r="I31" s="171"/>
      <c r="J31" s="171"/>
      <c r="K31" s="463"/>
      <c r="L31" s="430"/>
      <c r="M31" s="463"/>
      <c r="N31" s="463"/>
      <c r="O31" s="463"/>
      <c r="P31" s="557"/>
      <c r="Q31" s="558"/>
    </row>
    <row r="32" spans="1:17">
      <c r="A32" s="350"/>
      <c r="B32" s="349" t="s">
        <v>1441</v>
      </c>
      <c r="C32" s="527"/>
      <c r="D32" s="171">
        <f>'历史年度（简化）'!C20</f>
        <v>0</v>
      </c>
      <c r="E32" s="171">
        <f>'历史年度（简化）'!D20</f>
        <v>0</v>
      </c>
      <c r="F32" s="171">
        <f>'历史年度（简化）'!E20</f>
        <v>0</v>
      </c>
      <c r="G32" s="171">
        <f>'历史年度（简化）'!F20</f>
        <v>0</v>
      </c>
      <c r="H32" s="548">
        <v>0</v>
      </c>
      <c r="I32" s="548">
        <v>1</v>
      </c>
      <c r="J32" s="548">
        <v>2</v>
      </c>
      <c r="K32" s="467"/>
      <c r="L32" s="463"/>
      <c r="M32" s="430"/>
      <c r="N32" s="430"/>
      <c r="O32" s="430"/>
      <c r="P32" s="559"/>
      <c r="Q32" s="558"/>
    </row>
    <row r="33" spans="1:17">
      <c r="A33" s="350"/>
      <c r="B33" s="349" t="s">
        <v>1442</v>
      </c>
      <c r="C33" s="527"/>
      <c r="D33" s="171"/>
      <c r="E33" s="171"/>
      <c r="F33" s="171"/>
      <c r="G33" s="171"/>
      <c r="H33" s="171">
        <f>投资!E23</f>
        <v>0</v>
      </c>
      <c r="I33" s="171">
        <f>投资!F23</f>
        <v>0</v>
      </c>
      <c r="J33" s="171">
        <f>投资!G23</f>
        <v>0</v>
      </c>
      <c r="K33" s="463"/>
      <c r="L33" s="430"/>
      <c r="M33" s="463"/>
      <c r="N33" s="463"/>
      <c r="O33" s="463"/>
      <c r="P33" s="557"/>
      <c r="Q33" s="558"/>
    </row>
    <row r="34" spans="1:17" ht="14.25" customHeight="1">
      <c r="A34" s="350"/>
      <c r="B34" s="349" t="s">
        <v>875</v>
      </c>
      <c r="C34" s="527"/>
      <c r="D34" s="171">
        <f>'历史年度（简化）'!C21</f>
        <v>-1.47621653E-2</v>
      </c>
      <c r="E34" s="171">
        <f>'历史年度（简化）'!D21</f>
        <v>-9.3132087000000006E-3</v>
      </c>
      <c r="F34" s="171">
        <f>'历史年度（简化）'!E21</f>
        <v>0</v>
      </c>
      <c r="G34" s="171">
        <f>'历史年度（简化）'!F21</f>
        <v>-5.0947778000000003E-3</v>
      </c>
      <c r="H34" s="548">
        <f>IF(ISERROR(AVERAGE(E34:G34)),0,AVERAGE(E34:G34))</f>
        <v>-4.8026621666666667E-3</v>
      </c>
      <c r="I34" s="548">
        <f t="shared" ref="I34:J34" si="23">IF(ISERROR(AVERAGE(F34:H34)),0,AVERAGE(F34:H34))</f>
        <v>-3.2991466555555558E-3</v>
      </c>
      <c r="J34" s="548">
        <f t="shared" si="23"/>
        <v>-4.398862207407408E-3</v>
      </c>
      <c r="K34" s="430"/>
      <c r="L34" s="430"/>
      <c r="M34" s="430"/>
      <c r="N34" s="430"/>
      <c r="O34" s="430"/>
      <c r="P34" s="559"/>
      <c r="Q34" s="558"/>
    </row>
    <row r="35" spans="1:17">
      <c r="A35" s="350"/>
      <c r="B35" s="349" t="s">
        <v>1443</v>
      </c>
      <c r="C35" s="527"/>
      <c r="D35" s="171">
        <f>'历史年度（简化）'!C22</f>
        <v>0.23262440339999998</v>
      </c>
      <c r="E35" s="171">
        <f>'历史年度（简化）'!D22</f>
        <v>0.22743353460000001</v>
      </c>
      <c r="F35" s="171">
        <f>'历史年度（简化）'!E22</f>
        <v>0.23194698019999999</v>
      </c>
      <c r="G35" s="171">
        <f>'历史年度（简化）'!F22</f>
        <v>0.91264189849999999</v>
      </c>
      <c r="H35" s="548">
        <f>IF(ISERROR(AVERAGE(E35:G35)),0,AVERAGE(E35:G35))</f>
        <v>0.4573408044333333</v>
      </c>
      <c r="I35" s="548">
        <f t="shared" ref="I35:J35" si="24">IF(ISERROR(AVERAGE(F35:H35)),0,AVERAGE(F35:H35))</f>
        <v>0.53397656104444446</v>
      </c>
      <c r="J35" s="548">
        <f t="shared" si="24"/>
        <v>0.63465308799259257</v>
      </c>
      <c r="K35" s="430"/>
      <c r="L35" s="463"/>
      <c r="M35" s="430"/>
      <c r="N35" s="430"/>
      <c r="O35" s="430"/>
      <c r="P35" s="559"/>
      <c r="Q35" s="558"/>
    </row>
    <row r="36" spans="1:17">
      <c r="A36" s="350"/>
      <c r="B36" s="351" t="s">
        <v>877</v>
      </c>
      <c r="C36" s="530"/>
      <c r="D36" s="171">
        <f>'历史年度（简化）'!C23</f>
        <v>0.20880407899999998</v>
      </c>
      <c r="E36" s="171">
        <f>'历史年度（简化）'!D23</f>
        <v>0.27758727050000004</v>
      </c>
      <c r="F36" s="171">
        <f>'历史年度（简化）'!E23</f>
        <v>0.97471272759999983</v>
      </c>
      <c r="G36" s="171">
        <f>'历史年度（简化）'!F23</f>
        <v>1.1910892351</v>
      </c>
      <c r="H36" s="171">
        <f>SUM(H29:H35)</f>
        <v>15.452538142266667</v>
      </c>
      <c r="I36" s="171">
        <f t="shared" ref="I36:J36" si="25">SUM(I29:I35)</f>
        <v>1.5306774143888888</v>
      </c>
      <c r="J36" s="171">
        <f t="shared" si="25"/>
        <v>2.6302542257851851</v>
      </c>
      <c r="K36" s="463"/>
      <c r="L36" s="463"/>
      <c r="M36" s="463"/>
      <c r="N36" s="463"/>
      <c r="O36" s="463"/>
      <c r="P36" s="557"/>
      <c r="Q36" s="558"/>
    </row>
    <row r="37" spans="1:17">
      <c r="A37" s="348" t="s">
        <v>858</v>
      </c>
      <c r="B37" s="351" t="s">
        <v>878</v>
      </c>
      <c r="C37" s="522"/>
      <c r="D37" s="171">
        <f>'历史年度（简化）'!C24</f>
        <v>2.0212007692228716E-2</v>
      </c>
      <c r="E37" s="171">
        <f>'历史年度（简化）'!D24</f>
        <v>2.2755383030903534E-2</v>
      </c>
      <c r="F37" s="171">
        <f>'历史年度（简化）'!E24</f>
        <v>0.10242594302738146</v>
      </c>
      <c r="G37" s="171">
        <f>'历史年度（简化）'!F24</f>
        <v>0.15429913020724081</v>
      </c>
      <c r="H37" s="171">
        <f>MAX((H34+H35)*H25,-(H24))</f>
        <v>0</v>
      </c>
      <c r="I37" s="171">
        <f t="shared" ref="I37:J37" si="26">MAX((I34+I35)*I25,-(I24))</f>
        <v>0</v>
      </c>
      <c r="J37" s="171">
        <f t="shared" si="26"/>
        <v>0</v>
      </c>
      <c r="K37" s="463"/>
      <c r="L37" s="430"/>
      <c r="M37" s="463"/>
      <c r="N37" s="463"/>
      <c r="O37" s="463"/>
      <c r="P37" s="557"/>
      <c r="Q37" s="558"/>
    </row>
    <row r="38" spans="1:17">
      <c r="A38" s="348" t="s">
        <v>865</v>
      </c>
      <c r="B38" s="351" t="s">
        <v>1444</v>
      </c>
      <c r="C38" s="531"/>
      <c r="D38" s="171">
        <f>'历史年度（简化）'!C25</f>
        <v>0.26008405560777131</v>
      </c>
      <c r="E38" s="171">
        <f>'历史年度（简化）'!D25</f>
        <v>0.29696902736909647</v>
      </c>
      <c r="F38" s="171">
        <f>'历史年度（简化）'!E25</f>
        <v>0.30155829327261857</v>
      </c>
      <c r="G38" s="171">
        <f>'历史年度（简化）'!F25</f>
        <v>0.56447551789275918</v>
      </c>
      <c r="H38" s="548">
        <f>IF(ISERROR(G38),0,G38)</f>
        <v>0.56447551789275918</v>
      </c>
      <c r="I38" s="548">
        <f t="shared" ref="I38:J38" si="27">IF(ISERROR(H38),0,H38)</f>
        <v>0.56447551789275918</v>
      </c>
      <c r="J38" s="548">
        <f t="shared" si="27"/>
        <v>0.56447551789275918</v>
      </c>
      <c r="K38" s="467"/>
      <c r="L38" s="463"/>
      <c r="M38" s="430"/>
      <c r="N38" s="430"/>
      <c r="O38" s="430"/>
      <c r="P38" s="559"/>
      <c r="Q38" s="558"/>
    </row>
    <row r="39" spans="1:17">
      <c r="A39" s="350"/>
      <c r="B39" s="352" t="s">
        <v>880</v>
      </c>
      <c r="C39" s="532"/>
      <c r="D39" s="171">
        <f>'历史年度（简化）'!C26</f>
        <v>0.44867612691554259</v>
      </c>
      <c r="E39" s="171">
        <f>'历史年度（简化）'!D26</f>
        <v>0.55180091483819305</v>
      </c>
      <c r="F39" s="171">
        <f>'历史年度（简化）'!E26</f>
        <v>1.173845077845237</v>
      </c>
      <c r="G39" s="171">
        <f>'历史年度（简化）'!F26</f>
        <v>1.6012656227855184</v>
      </c>
      <c r="H39" s="171">
        <f>H36-H37+H38</f>
        <v>16.017013660159424</v>
      </c>
      <c r="I39" s="171">
        <f t="shared" ref="I39:J39" si="28">I36-I37+I38</f>
        <v>2.095152932281648</v>
      </c>
      <c r="J39" s="171">
        <f t="shared" si="28"/>
        <v>3.1947297436779443</v>
      </c>
      <c r="K39" s="463"/>
      <c r="L39" s="463"/>
      <c r="M39" s="463"/>
      <c r="N39" s="463"/>
      <c r="O39" s="463"/>
      <c r="P39" s="557"/>
      <c r="Q39" s="558"/>
    </row>
    <row r="40" spans="1:17">
      <c r="A40" s="525"/>
      <c r="B40" s="529"/>
      <c r="C40" s="518"/>
      <c r="D40" s="296"/>
      <c r="E40" s="296"/>
      <c r="F40" s="296"/>
      <c r="G40" s="296"/>
      <c r="H40" s="296"/>
      <c r="I40" s="296"/>
      <c r="J40" s="296"/>
      <c r="K40" s="463"/>
      <c r="L40" s="463"/>
      <c r="M40" s="463"/>
      <c r="N40" s="463"/>
      <c r="O40" s="463"/>
      <c r="P40" s="557"/>
      <c r="Q40" s="558"/>
    </row>
    <row r="41" spans="1:17">
      <c r="A41" s="353" t="s">
        <v>1445</v>
      </c>
      <c r="B41" s="353"/>
      <c r="C41" s="533"/>
      <c r="D41" s="269"/>
      <c r="E41" s="269"/>
      <c r="F41" s="269"/>
      <c r="G41" s="269"/>
      <c r="H41" s="269"/>
      <c r="I41" s="269"/>
      <c r="J41" s="269"/>
      <c r="K41" s="463"/>
      <c r="L41" s="463"/>
      <c r="M41" s="463"/>
      <c r="N41" s="463"/>
      <c r="O41" s="463"/>
      <c r="P41" s="557"/>
      <c r="Q41" s="558"/>
    </row>
    <row r="42" spans="1:17">
      <c r="A42" s="348"/>
      <c r="B42" s="352" t="s">
        <v>882</v>
      </c>
      <c r="C42" s="527"/>
      <c r="D42" s="171" t="e">
        <f>'历史年度（简化）'!C29</f>
        <v>#VALUE!</v>
      </c>
      <c r="E42" s="171" t="e">
        <f>'历史年度（简化）'!D29</f>
        <v>#VALUE!</v>
      </c>
      <c r="F42" s="171" t="e">
        <f>'历史年度（简化）'!E29</f>
        <v>#VALUE!</v>
      </c>
      <c r="G42" s="171" t="e">
        <f>'历史年度（简化）'!F29</f>
        <v>#VALUE!</v>
      </c>
      <c r="H42" s="171">
        <f>H26+H39</f>
        <v>21.236565500801472</v>
      </c>
      <c r="I42" s="171" t="e">
        <f t="shared" ref="I42:J42" si="29">I26+I39</f>
        <v>#VALUE!</v>
      </c>
      <c r="J42" s="171" t="e">
        <f t="shared" si="29"/>
        <v>#VALUE!</v>
      </c>
      <c r="K42" s="463"/>
      <c r="L42" s="430"/>
      <c r="M42" s="463"/>
      <c r="N42" s="463"/>
      <c r="O42" s="463"/>
      <c r="P42" s="557"/>
      <c r="Q42" s="558"/>
    </row>
    <row r="43" spans="1:17">
      <c r="A43" s="354" t="s">
        <v>858</v>
      </c>
      <c r="B43" s="525" t="s">
        <v>883</v>
      </c>
      <c r="C43" s="534"/>
      <c r="D43" s="171">
        <f>'历史年度（简化）'!C30</f>
        <v>-1.8422254400000001E-2</v>
      </c>
      <c r="E43" s="171">
        <f>'历史年度（简化）'!D30</f>
        <v>-1.08002532E-2</v>
      </c>
      <c r="F43" s="171">
        <f>'历史年度（简化）'!E30</f>
        <v>2.7697708099999999E-2</v>
      </c>
      <c r="G43" s="171">
        <f>'历史年度（简化）'!F30</f>
        <v>4.3855862999999995E-2</v>
      </c>
      <c r="H43" s="464">
        <f>IF(ISERROR(H44*H42),0,H44*H42)</f>
        <v>0</v>
      </c>
      <c r="I43" s="464">
        <f t="shared" ref="I43:J43" si="30">IF(ISERROR(I44*I42),0,I44*I42)</f>
        <v>0</v>
      </c>
      <c r="J43" s="464">
        <f t="shared" si="30"/>
        <v>0</v>
      </c>
      <c r="L43" s="524"/>
      <c r="M43" s="430"/>
      <c r="N43" s="430"/>
      <c r="O43" s="430"/>
      <c r="P43" s="559"/>
      <c r="Q43" s="558"/>
    </row>
    <row r="44" spans="1:17">
      <c r="A44" s="516"/>
      <c r="B44" s="520" t="s">
        <v>1446</v>
      </c>
      <c r="C44" s="535"/>
      <c r="D44" s="519">
        <f>IF(ISERROR(D43/D42),0,D43/D42)</f>
        <v>0</v>
      </c>
      <c r="E44" s="519" t="e">
        <f>E43/E42</f>
        <v>#VALUE!</v>
      </c>
      <c r="F44" s="519" t="e">
        <f t="shared" ref="F44:G44" si="31">F43/F42</f>
        <v>#VALUE!</v>
      </c>
      <c r="G44" s="519" t="e">
        <f t="shared" si="31"/>
        <v>#VALUE!</v>
      </c>
      <c r="H44" s="544">
        <f>IF(ISERROR(G44),0,G44)</f>
        <v>0</v>
      </c>
      <c r="I44" s="544">
        <f t="shared" ref="I44:J44" si="32">IF(ISERROR(H44),0,H44)</f>
        <v>0</v>
      </c>
      <c r="J44" s="544">
        <f t="shared" si="32"/>
        <v>0</v>
      </c>
      <c r="K44" s="467"/>
      <c r="L44" s="463"/>
      <c r="M44" s="524"/>
      <c r="N44" s="524"/>
      <c r="O44" s="524"/>
      <c r="P44" s="560"/>
      <c r="Q44" s="558"/>
    </row>
    <row r="45" spans="1:17">
      <c r="A45" s="348"/>
      <c r="B45" s="352" t="s">
        <v>884</v>
      </c>
      <c r="C45" s="532"/>
      <c r="D45" s="171" t="e">
        <f>'历史年度（简化）'!C32</f>
        <v>#VALUE!</v>
      </c>
      <c r="E45" s="171" t="e">
        <f>'历史年度（简化）'!D32</f>
        <v>#VALUE!</v>
      </c>
      <c r="F45" s="171" t="e">
        <f>'历史年度（简化）'!E32</f>
        <v>#VALUE!</v>
      </c>
      <c r="G45" s="171" t="e">
        <f>'历史年度（简化）'!F32</f>
        <v>#VALUE!</v>
      </c>
      <c r="H45" s="171">
        <f>H42-H43</f>
        <v>21.236565500801472</v>
      </c>
      <c r="I45" s="171" t="e">
        <f t="shared" ref="I45:J45" si="33">I42-I43</f>
        <v>#VALUE!</v>
      </c>
      <c r="J45" s="171" t="e">
        <f t="shared" si="33"/>
        <v>#VALUE!</v>
      </c>
      <c r="K45" s="463"/>
      <c r="L45" s="430"/>
      <c r="M45" s="463"/>
      <c r="N45" s="463"/>
      <c r="O45" s="463"/>
      <c r="P45" s="557"/>
      <c r="Q45" s="558"/>
    </row>
    <row r="46" spans="1:17">
      <c r="A46" s="354" t="s">
        <v>858</v>
      </c>
      <c r="B46" s="525" t="s">
        <v>888</v>
      </c>
      <c r="C46" s="536"/>
      <c r="D46" s="171" t="e">
        <f>'历史年度（简化）'!C35</f>
        <v>#VALUE!</v>
      </c>
      <c r="E46" s="171" t="e">
        <f>'历史年度（简化）'!D35</f>
        <v>#VALUE!</v>
      </c>
      <c r="F46" s="171" t="e">
        <f>'历史年度（简化）'!E35</f>
        <v>#VALUE!</v>
      </c>
      <c r="G46" s="171" t="e">
        <f>'历史年度（简化）'!F35</f>
        <v>#VALUE!</v>
      </c>
      <c r="H46" s="464">
        <f>IF(ISERROR(H47*H45),0,H47*H45)</f>
        <v>0</v>
      </c>
      <c r="I46" s="464">
        <f t="shared" ref="I46:J46" si="34">IF(ISERROR(I47*I45),0,I47*I45)</f>
        <v>0</v>
      </c>
      <c r="J46" s="464">
        <f t="shared" si="34"/>
        <v>0</v>
      </c>
      <c r="K46" s="467"/>
      <c r="L46" s="524"/>
      <c r="M46" s="430"/>
      <c r="N46" s="430"/>
      <c r="O46" s="430"/>
      <c r="P46" s="559"/>
      <c r="Q46" s="558"/>
    </row>
    <row r="47" spans="1:17">
      <c r="A47" s="516"/>
      <c r="B47" s="520" t="s">
        <v>1447</v>
      </c>
      <c r="C47" s="537"/>
      <c r="D47" s="519">
        <f>IF(ISERROR(D46/D45),0,D46/D45)</f>
        <v>0</v>
      </c>
      <c r="E47" s="519">
        <f>IF(ISERROR(E46/E45),0,E46/E45)</f>
        <v>0</v>
      </c>
      <c r="F47" s="519">
        <f t="shared" ref="F47:G47" si="35">IF(ISERROR(F46/F45),0,F46/F45)</f>
        <v>0</v>
      </c>
      <c r="G47" s="519">
        <f t="shared" si="35"/>
        <v>0</v>
      </c>
      <c r="H47" s="544">
        <f>IF(ISERROR(G47),0,G47)</f>
        <v>0</v>
      </c>
      <c r="I47" s="544">
        <f t="shared" ref="I47:J47" si="36">IF(ISERROR(H47),0,H47)</f>
        <v>0</v>
      </c>
      <c r="J47" s="544">
        <f t="shared" si="36"/>
        <v>0</v>
      </c>
      <c r="K47" s="547"/>
      <c r="L47" s="502"/>
      <c r="M47" s="524"/>
      <c r="N47" s="524"/>
      <c r="O47" s="524"/>
      <c r="P47" s="560"/>
      <c r="Q47" s="561"/>
    </row>
    <row r="48" spans="1:17">
      <c r="A48" s="350"/>
      <c r="B48" s="352" t="s">
        <v>1448</v>
      </c>
      <c r="C48" s="527"/>
      <c r="D48" s="171" t="e">
        <f t="shared" ref="D48:H48" si="37">D45-D46</f>
        <v>#VALUE!</v>
      </c>
      <c r="E48" s="171" t="e">
        <f t="shared" si="37"/>
        <v>#VALUE!</v>
      </c>
      <c r="F48" s="171" t="e">
        <f t="shared" ref="F48:G48" si="38">F45-F46</f>
        <v>#VALUE!</v>
      </c>
      <c r="G48" s="171" t="e">
        <f t="shared" si="38"/>
        <v>#VALUE!</v>
      </c>
      <c r="H48" s="171">
        <f t="shared" si="37"/>
        <v>21.236565500801472</v>
      </c>
      <c r="I48" s="171" t="e">
        <f t="shared" ref="I48:J48" si="39">I45-I46</f>
        <v>#VALUE!</v>
      </c>
      <c r="J48" s="171" t="e">
        <f t="shared" si="39"/>
        <v>#VALUE!</v>
      </c>
      <c r="K48" s="463"/>
      <c r="L48" s="463"/>
      <c r="M48" s="463"/>
      <c r="N48" s="463"/>
      <c r="O48" s="463"/>
      <c r="P48" s="557"/>
      <c r="Q48" s="558"/>
    </row>
    <row r="49" spans="1:17" ht="15.35">
      <c r="A49" s="212"/>
      <c r="B49" s="407"/>
      <c r="C49" s="533"/>
      <c r="D49" s="109"/>
      <c r="E49" s="109"/>
      <c r="F49" s="426"/>
      <c r="G49" s="426"/>
      <c r="H49" s="109"/>
      <c r="I49" s="426"/>
      <c r="J49" s="426"/>
      <c r="K49" s="463"/>
      <c r="L49" s="463"/>
      <c r="M49" s="463"/>
      <c r="N49" s="463"/>
      <c r="O49" s="463"/>
      <c r="P49" s="557"/>
      <c r="Q49" s="558"/>
    </row>
    <row r="50" spans="1:17">
      <c r="A50" s="538" t="s">
        <v>1449</v>
      </c>
      <c r="B50" s="407"/>
      <c r="C50" s="533"/>
      <c r="D50" s="109"/>
      <c r="E50" s="109"/>
      <c r="F50" s="426"/>
      <c r="G50" s="426"/>
      <c r="H50" s="109"/>
      <c r="I50" s="426"/>
      <c r="J50" s="426"/>
      <c r="K50" s="463"/>
      <c r="L50" s="463"/>
      <c r="M50" s="463"/>
      <c r="N50" s="463"/>
      <c r="O50" s="463"/>
      <c r="P50" s="557"/>
      <c r="Q50" s="558"/>
    </row>
    <row r="51" spans="1:17">
      <c r="A51" s="348"/>
      <c r="B51" s="351" t="s">
        <v>867</v>
      </c>
      <c r="C51" s="533"/>
      <c r="D51" s="171" t="e">
        <f>'历史年度（简化）'!C13</f>
        <v>#VALUE!</v>
      </c>
      <c r="E51" s="171" t="e">
        <f>'历史年度（简化）'!D13</f>
        <v>#VALUE!</v>
      </c>
      <c r="F51" s="171" t="e">
        <f>'历史年度（简化）'!E13</f>
        <v>#VALUE!</v>
      </c>
      <c r="G51" s="171" t="e">
        <f>'历史年度（简化）'!F13</f>
        <v>#VALUE!</v>
      </c>
      <c r="H51" s="171">
        <f>H23</f>
        <v>5.2195518406420476</v>
      </c>
      <c r="I51" s="171" t="e">
        <f t="shared" ref="I51:J51" si="40">I23</f>
        <v>#VALUE!</v>
      </c>
      <c r="J51" s="171" t="e">
        <f t="shared" si="40"/>
        <v>#VALUE!</v>
      </c>
      <c r="K51" s="463"/>
      <c r="L51" s="463"/>
      <c r="M51" s="463"/>
      <c r="N51" s="463"/>
      <c r="O51" s="463"/>
      <c r="P51" s="557"/>
      <c r="Q51" s="558"/>
    </row>
    <row r="52" spans="1:17" ht="15.35">
      <c r="A52" s="348" t="s">
        <v>865</v>
      </c>
      <c r="B52" s="351" t="s">
        <v>877</v>
      </c>
      <c r="C52" s="212"/>
      <c r="D52" s="171">
        <f>'历史年度（简化）'!C23</f>
        <v>0.20880407899999998</v>
      </c>
      <c r="E52" s="171">
        <f>'历史年度（简化）'!D23</f>
        <v>0.27758727050000004</v>
      </c>
      <c r="F52" s="171">
        <f>'历史年度（简化）'!E23</f>
        <v>0.97471272759999983</v>
      </c>
      <c r="G52" s="171">
        <f>'历史年度（简化）'!F23</f>
        <v>1.1910892351</v>
      </c>
      <c r="H52" s="171">
        <f>H36</f>
        <v>15.452538142266667</v>
      </c>
      <c r="I52" s="171">
        <f t="shared" ref="I52:J52" si="41">I36</f>
        <v>1.5306774143888888</v>
      </c>
      <c r="J52" s="171">
        <f t="shared" si="41"/>
        <v>2.6302542257851851</v>
      </c>
      <c r="K52" s="463"/>
      <c r="L52" s="463"/>
      <c r="M52" s="463"/>
      <c r="N52" s="463"/>
      <c r="O52" s="463"/>
      <c r="P52" s="557"/>
      <c r="Q52" s="558"/>
    </row>
    <row r="53" spans="1:17">
      <c r="A53" s="348"/>
      <c r="B53" s="351" t="s">
        <v>863</v>
      </c>
      <c r="C53" s="533"/>
      <c r="D53" s="171" t="e">
        <f>'历史年度（简化）'!C10</f>
        <v>#VALUE!</v>
      </c>
      <c r="E53" s="171" t="e">
        <f>'历史年度（简化）'!D10</f>
        <v>#VALUE!</v>
      </c>
      <c r="F53" s="171" t="e">
        <f>'历史年度（简化）'!E10</f>
        <v>#VALUE!</v>
      </c>
      <c r="G53" s="171" t="e">
        <f>'历史年度（简化）'!F10</f>
        <v>#VALUE!</v>
      </c>
      <c r="H53" s="171">
        <f>H17</f>
        <v>-4.0283720851454992E-2</v>
      </c>
      <c r="I53" s="171" t="e">
        <f t="shared" ref="I53:J53" si="42">I17</f>
        <v>#VALUE!</v>
      </c>
      <c r="J53" s="171" t="e">
        <f t="shared" si="42"/>
        <v>#VALUE!</v>
      </c>
      <c r="K53" s="463"/>
      <c r="L53" s="463"/>
      <c r="M53" s="463"/>
      <c r="N53" s="463"/>
      <c r="O53" s="463"/>
      <c r="P53" s="557"/>
      <c r="Q53" s="558"/>
    </row>
    <row r="54" spans="1:17">
      <c r="A54" s="348"/>
      <c r="B54" s="539" t="s">
        <v>1450</v>
      </c>
      <c r="C54" s="533"/>
      <c r="D54" s="171" t="e">
        <f t="shared" ref="D54:H54" si="43">D51+D52+D53</f>
        <v>#VALUE!</v>
      </c>
      <c r="E54" s="171" t="e">
        <f t="shared" si="43"/>
        <v>#VALUE!</v>
      </c>
      <c r="F54" s="171" t="e">
        <f t="shared" ref="F54:G54" si="44">F51+F52+F53</f>
        <v>#VALUE!</v>
      </c>
      <c r="G54" s="171" t="e">
        <f t="shared" si="44"/>
        <v>#VALUE!</v>
      </c>
      <c r="H54" s="171">
        <f t="shared" si="43"/>
        <v>20.63180626205726</v>
      </c>
      <c r="I54" s="171" t="e">
        <f t="shared" ref="I54:J54" si="45">I51+I52+I53</f>
        <v>#VALUE!</v>
      </c>
      <c r="J54" s="171" t="e">
        <f t="shared" si="45"/>
        <v>#VALUE!</v>
      </c>
      <c r="K54" s="463"/>
      <c r="L54" s="463"/>
      <c r="M54" s="463"/>
      <c r="N54" s="463"/>
      <c r="O54" s="463"/>
      <c r="P54" s="557"/>
      <c r="Q54" s="558"/>
    </row>
    <row r="55" spans="1:17">
      <c r="A55" s="348" t="s">
        <v>865</v>
      </c>
      <c r="B55" s="351" t="s">
        <v>942</v>
      </c>
      <c r="C55" s="533"/>
      <c r="D55" s="171">
        <f>'历史年度（简化）'!C100</f>
        <v>1.4049729526999999</v>
      </c>
      <c r="E55" s="171">
        <f>'历史年度（简化）'!D100</f>
        <v>1.8035099397999999</v>
      </c>
      <c r="F55" s="171">
        <f>'历史年度（简化）'!E100</f>
        <v>2.2835377573</v>
      </c>
      <c r="G55" s="171">
        <f>'历史年度（简化）'!F100</f>
        <v>2.5847545046000002</v>
      </c>
      <c r="H55" s="171" t="e">
        <f>预测现金流量表!H8</f>
        <v>#VALUE!</v>
      </c>
      <c r="I55" s="171" t="e">
        <f>预测现金流量表!I8</f>
        <v>#VALUE!</v>
      </c>
      <c r="J55" s="171" t="e">
        <f>预测现金流量表!J8</f>
        <v>#VALUE!</v>
      </c>
      <c r="K55" s="502"/>
      <c r="L55" s="463"/>
      <c r="M55" s="463"/>
      <c r="N55" s="463"/>
      <c r="O55" s="463"/>
      <c r="P55" s="557"/>
      <c r="Q55" s="558"/>
    </row>
    <row r="56" spans="1:17">
      <c r="A56" s="348"/>
      <c r="B56" s="539" t="s">
        <v>1451</v>
      </c>
      <c r="C56" s="533"/>
      <c r="D56" s="171" t="e">
        <f t="shared" ref="D56:H56" si="46">D54+D55</f>
        <v>#VALUE!</v>
      </c>
      <c r="E56" s="171" t="e">
        <f t="shared" si="46"/>
        <v>#VALUE!</v>
      </c>
      <c r="F56" s="171" t="e">
        <f t="shared" ref="F56:G56" si="47">F54+F55</f>
        <v>#VALUE!</v>
      </c>
      <c r="G56" s="171" t="e">
        <f t="shared" si="47"/>
        <v>#VALUE!</v>
      </c>
      <c r="H56" s="171" t="e">
        <f t="shared" si="46"/>
        <v>#VALUE!</v>
      </c>
      <c r="I56" s="171" t="e">
        <f t="shared" ref="I56:J56" si="48">I54+I55</f>
        <v>#VALUE!</v>
      </c>
      <c r="J56" s="171" t="e">
        <f t="shared" si="48"/>
        <v>#VALUE!</v>
      </c>
      <c r="K56" s="463"/>
      <c r="L56" s="463"/>
      <c r="M56" s="463"/>
      <c r="N56" s="463"/>
      <c r="O56" s="463"/>
      <c r="P56" s="557"/>
      <c r="Q56" s="558"/>
    </row>
    <row r="57" spans="1:17">
      <c r="A57" s="408"/>
      <c r="B57" s="529"/>
      <c r="C57" s="540"/>
      <c r="D57" s="296"/>
      <c r="E57" s="296"/>
      <c r="F57" s="296"/>
      <c r="G57" s="296"/>
      <c r="H57" s="296"/>
      <c r="I57" s="296"/>
      <c r="J57" s="296"/>
      <c r="K57" s="463"/>
      <c r="L57" s="463"/>
      <c r="M57" s="463"/>
      <c r="N57" s="463"/>
      <c r="O57" s="463"/>
      <c r="P57" s="557"/>
      <c r="Q57" s="563"/>
    </row>
    <row r="58" spans="1:17">
      <c r="A58" s="538" t="s">
        <v>1452</v>
      </c>
      <c r="B58" s="407"/>
      <c r="C58" s="540"/>
      <c r="D58" s="109"/>
      <c r="E58" s="109"/>
      <c r="F58" s="426"/>
      <c r="G58" s="426"/>
      <c r="H58" s="109"/>
      <c r="I58" s="426"/>
      <c r="J58" s="426"/>
      <c r="K58" s="463"/>
      <c r="L58" s="463"/>
      <c r="M58" s="463"/>
      <c r="N58" s="463"/>
      <c r="O58" s="463"/>
      <c r="P58" s="557"/>
      <c r="Q58" s="563"/>
    </row>
    <row r="59" spans="1:17">
      <c r="A59" s="541"/>
      <c r="B59" s="542" t="s">
        <v>1321</v>
      </c>
      <c r="C59" s="540"/>
      <c r="D59" s="171">
        <f>'历史年度（简化）'!C18</f>
        <v>-1.7687092800000002E-2</v>
      </c>
      <c r="E59" s="171">
        <f>'历史年度（简化）'!D18</f>
        <v>5.9466944600000002E-2</v>
      </c>
      <c r="F59" s="171">
        <f>'历史年度（简化）'!E18</f>
        <v>-1.0830954299999999E-2</v>
      </c>
      <c r="G59" s="171">
        <f>'历史年度（简化）'!F18</f>
        <v>-3.1188881499999998E-2</v>
      </c>
      <c r="H59" s="171">
        <f t="shared" ref="H59:J60" si="49">H29</f>
        <v>10</v>
      </c>
      <c r="I59" s="171">
        <f t="shared" ref="I59:J59" si="50">I29</f>
        <v>0</v>
      </c>
      <c r="J59" s="171">
        <f t="shared" si="50"/>
        <v>0</v>
      </c>
      <c r="K59" s="463"/>
      <c r="L59" s="463"/>
      <c r="M59" s="463"/>
      <c r="N59" s="463"/>
      <c r="O59" s="463"/>
      <c r="P59" s="557"/>
      <c r="Q59" s="563"/>
    </row>
    <row r="60" spans="1:17">
      <c r="A60" s="348"/>
      <c r="B60" s="542" t="s">
        <v>1322</v>
      </c>
      <c r="C60" s="540"/>
      <c r="D60" s="171">
        <f>'历史年度（简化）'!C19</f>
        <v>8.6289337000000008E-3</v>
      </c>
      <c r="E60" s="171">
        <f>'历史年度（简化）'!D19</f>
        <v>0</v>
      </c>
      <c r="F60" s="171">
        <f>'历史年度（简化）'!E19</f>
        <v>0.75359670169999993</v>
      </c>
      <c r="G60" s="171">
        <f>'历史年度（简化）'!F19</f>
        <v>0.31473099589999998</v>
      </c>
      <c r="H60" s="171">
        <f t="shared" si="49"/>
        <v>5</v>
      </c>
      <c r="I60" s="171">
        <f t="shared" ref="I60:J60" si="51">I30</f>
        <v>0</v>
      </c>
      <c r="J60" s="171">
        <f t="shared" si="51"/>
        <v>0</v>
      </c>
      <c r="K60" s="463"/>
      <c r="L60" s="463"/>
      <c r="M60" s="463"/>
      <c r="N60" s="463"/>
      <c r="O60" s="463"/>
      <c r="P60" s="557"/>
      <c r="Q60" s="563"/>
    </row>
    <row r="61" spans="1:17">
      <c r="A61" s="541"/>
      <c r="B61" s="542" t="s">
        <v>1441</v>
      </c>
      <c r="C61" s="540"/>
      <c r="D61" s="171">
        <f>'历史年度（简化）'!C20</f>
        <v>0</v>
      </c>
      <c r="E61" s="171">
        <f>'历史年度（简化）'!D20</f>
        <v>0</v>
      </c>
      <c r="F61" s="171">
        <f>'历史年度（简化）'!E20</f>
        <v>0</v>
      </c>
      <c r="G61" s="171">
        <f>'历史年度（简化）'!F20</f>
        <v>0</v>
      </c>
      <c r="H61" s="171">
        <f t="shared" ref="H61:J64" si="52">H32</f>
        <v>0</v>
      </c>
      <c r="I61" s="171">
        <f t="shared" ref="I61:J61" si="53">I32</f>
        <v>1</v>
      </c>
      <c r="J61" s="171">
        <f t="shared" si="53"/>
        <v>2</v>
      </c>
      <c r="K61" s="463"/>
      <c r="L61" s="463"/>
      <c r="M61" s="463"/>
      <c r="N61" s="463"/>
      <c r="O61" s="463"/>
      <c r="P61" s="557"/>
      <c r="Q61" s="563"/>
    </row>
    <row r="62" spans="1:17">
      <c r="A62" s="348" t="s">
        <v>865</v>
      </c>
      <c r="B62" s="542" t="s">
        <v>1442</v>
      </c>
      <c r="C62" s="540"/>
      <c r="D62" s="171"/>
      <c r="E62" s="171"/>
      <c r="F62" s="171"/>
      <c r="G62" s="171"/>
      <c r="H62" s="171">
        <f t="shared" si="52"/>
        <v>0</v>
      </c>
      <c r="I62" s="171">
        <f t="shared" ref="I62:J62" si="54">I33</f>
        <v>0</v>
      </c>
      <c r="J62" s="171">
        <f t="shared" si="54"/>
        <v>0</v>
      </c>
      <c r="K62" s="463"/>
      <c r="L62" s="463"/>
      <c r="M62" s="463"/>
      <c r="N62" s="463"/>
      <c r="O62" s="463"/>
      <c r="P62" s="557"/>
      <c r="Q62" s="563"/>
    </row>
    <row r="63" spans="1:17">
      <c r="A63" s="541"/>
      <c r="B63" s="542" t="s">
        <v>875</v>
      </c>
      <c r="C63" s="540"/>
      <c r="D63" s="171">
        <f>'历史年度（简化）'!C21</f>
        <v>-1.47621653E-2</v>
      </c>
      <c r="E63" s="171">
        <f>'历史年度（简化）'!D21</f>
        <v>-9.3132087000000006E-3</v>
      </c>
      <c r="F63" s="171">
        <f>'历史年度（简化）'!E21</f>
        <v>0</v>
      </c>
      <c r="G63" s="171">
        <f>'历史年度（简化）'!F21</f>
        <v>-5.0947778000000003E-3</v>
      </c>
      <c r="H63" s="171">
        <f t="shared" si="52"/>
        <v>-4.8026621666666667E-3</v>
      </c>
      <c r="I63" s="171">
        <f t="shared" ref="I63:J63" si="55">I34</f>
        <v>-3.2991466555555558E-3</v>
      </c>
      <c r="J63" s="171">
        <f t="shared" si="55"/>
        <v>-4.398862207407408E-3</v>
      </c>
      <c r="K63" s="463"/>
      <c r="L63" s="463"/>
      <c r="M63" s="463"/>
      <c r="N63" s="463"/>
      <c r="O63" s="463"/>
      <c r="P63" s="557"/>
      <c r="Q63" s="563"/>
    </row>
    <row r="64" spans="1:17">
      <c r="A64" s="541"/>
      <c r="B64" s="542" t="s">
        <v>1443</v>
      </c>
      <c r="C64" s="540"/>
      <c r="D64" s="171">
        <f>'历史年度（简化）'!C22</f>
        <v>0.23262440339999998</v>
      </c>
      <c r="E64" s="171">
        <f>'历史年度（简化）'!D22</f>
        <v>0.22743353460000001</v>
      </c>
      <c r="F64" s="171">
        <f>'历史年度（简化）'!E22</f>
        <v>0.23194698019999999</v>
      </c>
      <c r="G64" s="171">
        <f>'历史年度（简化）'!F22</f>
        <v>0.91264189849999999</v>
      </c>
      <c r="H64" s="171">
        <f t="shared" si="52"/>
        <v>0.4573408044333333</v>
      </c>
      <c r="I64" s="171">
        <f t="shared" ref="I64:J64" si="56">I35</f>
        <v>0.53397656104444446</v>
      </c>
      <c r="J64" s="171">
        <f t="shared" si="56"/>
        <v>0.63465308799259257</v>
      </c>
      <c r="K64" s="463"/>
      <c r="L64" s="463"/>
      <c r="M64" s="463"/>
      <c r="N64" s="463"/>
      <c r="O64" s="463"/>
      <c r="P64" s="557"/>
      <c r="Q64" s="563"/>
    </row>
    <row r="65" spans="1:17">
      <c r="A65" s="541"/>
      <c r="B65" s="542" t="s">
        <v>1453</v>
      </c>
      <c r="C65" s="540"/>
      <c r="D65" s="171">
        <f t="shared" ref="D65:H65" si="57">D59+D60+D61+D62+D63+D64</f>
        <v>0.20880407899999998</v>
      </c>
      <c r="E65" s="171">
        <f t="shared" si="57"/>
        <v>0.27758727050000004</v>
      </c>
      <c r="F65" s="171">
        <f t="shared" ref="F65:G65" si="58">F59+F60+F61+F62+F63+F64</f>
        <v>0.97471272759999983</v>
      </c>
      <c r="G65" s="171">
        <f t="shared" si="58"/>
        <v>1.1910892351</v>
      </c>
      <c r="H65" s="171">
        <f t="shared" si="57"/>
        <v>15.452538142266667</v>
      </c>
      <c r="I65" s="171">
        <f t="shared" ref="I65:J65" si="59">I59+I60+I61+I62+I63+I64</f>
        <v>1.5306774143888888</v>
      </c>
      <c r="J65" s="171">
        <f t="shared" si="59"/>
        <v>2.6302542257851851</v>
      </c>
      <c r="K65" s="463"/>
      <c r="L65" s="463"/>
      <c r="M65" s="463"/>
      <c r="N65" s="463"/>
      <c r="O65" s="463"/>
      <c r="P65" s="557"/>
      <c r="Q65" s="563"/>
    </row>
    <row r="66" spans="1:17">
      <c r="A66" s="354" t="s">
        <v>858</v>
      </c>
      <c r="B66" s="542" t="s">
        <v>1454</v>
      </c>
      <c r="C66" s="540"/>
      <c r="D66" s="171">
        <f t="shared" ref="D66:H66" si="60">D65*D25</f>
        <v>0</v>
      </c>
      <c r="E66" s="171">
        <f t="shared" si="60"/>
        <v>0</v>
      </c>
      <c r="F66" s="171">
        <f t="shared" ref="F66:G66" si="61">F65*F25</f>
        <v>0</v>
      </c>
      <c r="G66" s="171">
        <f t="shared" si="61"/>
        <v>0</v>
      </c>
      <c r="H66" s="171">
        <f t="shared" si="60"/>
        <v>0</v>
      </c>
      <c r="I66" s="171">
        <f t="shared" ref="I66:J66" si="62">I65*I25</f>
        <v>0</v>
      </c>
      <c r="J66" s="171">
        <f t="shared" si="62"/>
        <v>0</v>
      </c>
      <c r="K66" s="463"/>
      <c r="L66" s="463"/>
      <c r="M66" s="463"/>
      <c r="N66" s="463"/>
      <c r="O66" s="463"/>
      <c r="P66" s="557"/>
      <c r="Q66" s="563"/>
    </row>
    <row r="67" spans="1:17">
      <c r="A67" s="541"/>
      <c r="B67" s="542" t="s">
        <v>1455</v>
      </c>
      <c r="C67" s="540"/>
      <c r="D67" s="545">
        <f t="shared" ref="D67:H67" si="63">D65-D66</f>
        <v>0.20880407899999998</v>
      </c>
      <c r="E67" s="171">
        <f t="shared" si="63"/>
        <v>0.27758727050000004</v>
      </c>
      <c r="F67" s="171">
        <f t="shared" ref="F67:G67" si="64">F65-F66</f>
        <v>0.97471272759999983</v>
      </c>
      <c r="G67" s="171">
        <f t="shared" si="64"/>
        <v>1.1910892351</v>
      </c>
      <c r="H67" s="171">
        <f t="shared" si="63"/>
        <v>15.452538142266667</v>
      </c>
      <c r="I67" s="171">
        <f t="shared" ref="I67:J67" si="65">I65-I66</f>
        <v>1.5306774143888888</v>
      </c>
      <c r="J67" s="171">
        <f t="shared" si="65"/>
        <v>2.6302542257851851</v>
      </c>
      <c r="K67" s="463"/>
      <c r="L67" s="463"/>
      <c r="M67" s="463"/>
      <c r="N67" s="463"/>
      <c r="O67" s="463"/>
      <c r="P67" s="557"/>
      <c r="Q67" s="563"/>
    </row>
    <row r="68" spans="1:17">
      <c r="A68" s="408"/>
      <c r="B68" s="487"/>
      <c r="C68" s="540"/>
      <c r="D68" s="109"/>
      <c r="E68" s="109"/>
      <c r="F68" s="426"/>
      <c r="G68" s="426"/>
      <c r="H68" s="109"/>
      <c r="I68" s="426"/>
      <c r="J68" s="426"/>
      <c r="K68" s="463"/>
      <c r="L68" s="463"/>
      <c r="M68" s="463"/>
      <c r="N68" s="463"/>
      <c r="O68" s="463"/>
      <c r="P68" s="557"/>
      <c r="Q68" s="563"/>
    </row>
    <row r="69" spans="1:17">
      <c r="A69" s="541"/>
      <c r="B69" s="542" t="s">
        <v>1456</v>
      </c>
      <c r="C69" s="540" t="s">
        <v>1433</v>
      </c>
      <c r="D69" s="171" t="e">
        <f t="shared" ref="D69:H69" si="66">D42-D67</f>
        <v>#VALUE!</v>
      </c>
      <c r="E69" s="171" t="e">
        <f t="shared" si="66"/>
        <v>#VALUE!</v>
      </c>
      <c r="F69" s="171" t="e">
        <f t="shared" ref="F69:G69" si="67">F42-F67</f>
        <v>#VALUE!</v>
      </c>
      <c r="G69" s="171" t="e">
        <f t="shared" si="67"/>
        <v>#VALUE!</v>
      </c>
      <c r="H69" s="171">
        <f t="shared" si="66"/>
        <v>5.7840273585348054</v>
      </c>
      <c r="I69" s="171" t="e">
        <f t="shared" ref="I69:J69" si="68">I42-I67</f>
        <v>#VALUE!</v>
      </c>
      <c r="J69" s="171" t="e">
        <f t="shared" si="68"/>
        <v>#VALUE!</v>
      </c>
      <c r="K69" s="463"/>
      <c r="L69" s="463"/>
      <c r="M69" s="463"/>
      <c r="N69" s="463"/>
      <c r="O69" s="463"/>
      <c r="P69" s="557"/>
      <c r="Q69" s="563"/>
    </row>
    <row r="70" spans="1:17">
      <c r="A70" s="408"/>
      <c r="B70" s="407"/>
      <c r="C70" s="540"/>
      <c r="D70" s="109"/>
      <c r="E70" s="109"/>
      <c r="F70" s="426"/>
      <c r="G70" s="426"/>
      <c r="H70" s="109"/>
      <c r="I70" s="426"/>
      <c r="J70" s="426"/>
      <c r="K70" s="463"/>
      <c r="L70" s="463"/>
      <c r="M70" s="463"/>
      <c r="N70" s="463"/>
      <c r="O70" s="463"/>
      <c r="P70" s="557"/>
      <c r="Q70" s="563"/>
    </row>
    <row r="71" spans="1:17">
      <c r="A71" s="564"/>
      <c r="B71" s="407"/>
      <c r="C71" s="540"/>
      <c r="D71" s="109"/>
      <c r="E71" s="109"/>
      <c r="F71" s="426"/>
      <c r="G71" s="426"/>
      <c r="H71" s="109"/>
      <c r="I71" s="426"/>
      <c r="J71" s="426"/>
      <c r="K71" s="463"/>
      <c r="L71" s="463"/>
      <c r="M71" s="463"/>
      <c r="N71" s="463"/>
      <c r="O71" s="463"/>
      <c r="P71" s="557"/>
      <c r="Q71" s="563"/>
    </row>
    <row r="72" spans="1:17">
      <c r="A72" s="565" t="s">
        <v>1457</v>
      </c>
      <c r="B72" s="514"/>
      <c r="C72" s="566"/>
      <c r="D72" s="171"/>
      <c r="E72" s="171"/>
      <c r="F72" s="171"/>
      <c r="G72" s="171"/>
      <c r="H72" s="171"/>
      <c r="I72" s="171"/>
      <c r="J72" s="171"/>
      <c r="K72" s="463"/>
      <c r="L72" s="463"/>
      <c r="M72" s="463"/>
      <c r="N72" s="463"/>
      <c r="O72" s="463"/>
      <c r="P72" s="557"/>
      <c r="Q72" s="563"/>
    </row>
    <row r="73" spans="1:17">
      <c r="A73" s="567"/>
      <c r="B73" s="346" t="s">
        <v>882</v>
      </c>
      <c r="C73" s="568"/>
      <c r="D73" s="171" t="e">
        <f t="shared" ref="D73:H73" si="69">D42</f>
        <v>#VALUE!</v>
      </c>
      <c r="E73" s="171" t="e">
        <f t="shared" si="69"/>
        <v>#VALUE!</v>
      </c>
      <c r="F73" s="171" t="e">
        <f t="shared" ref="F73:G73" si="70">F42</f>
        <v>#VALUE!</v>
      </c>
      <c r="G73" s="171" t="e">
        <f t="shared" si="70"/>
        <v>#VALUE!</v>
      </c>
      <c r="H73" s="171">
        <f t="shared" si="69"/>
        <v>21.236565500801472</v>
      </c>
      <c r="I73" s="171" t="e">
        <f t="shared" ref="I73:J73" si="71">I42</f>
        <v>#VALUE!</v>
      </c>
      <c r="J73" s="171" t="e">
        <f t="shared" si="71"/>
        <v>#VALUE!</v>
      </c>
      <c r="K73" s="463"/>
      <c r="L73" s="463"/>
      <c r="M73" s="463"/>
      <c r="N73" s="463"/>
      <c r="O73" s="463"/>
      <c r="P73" s="557"/>
      <c r="Q73" s="563"/>
    </row>
    <row r="74" spans="1:17">
      <c r="A74" s="567" t="s">
        <v>858</v>
      </c>
      <c r="B74" s="349" t="s">
        <v>1458</v>
      </c>
      <c r="C74" s="568"/>
      <c r="D74" s="171">
        <f t="shared" ref="D74:H74" si="72">D67</f>
        <v>0.20880407899999998</v>
      </c>
      <c r="E74" s="171">
        <f t="shared" si="72"/>
        <v>0.27758727050000004</v>
      </c>
      <c r="F74" s="171">
        <f t="shared" ref="F74:G74" si="73">F67</f>
        <v>0.97471272759999983</v>
      </c>
      <c r="G74" s="171">
        <f t="shared" si="73"/>
        <v>1.1910892351</v>
      </c>
      <c r="H74" s="171">
        <f t="shared" si="72"/>
        <v>15.452538142266667</v>
      </c>
      <c r="I74" s="171">
        <f t="shared" ref="I74:J74" si="74">I67</f>
        <v>1.5306774143888888</v>
      </c>
      <c r="J74" s="171">
        <f t="shared" si="74"/>
        <v>2.6302542257851851</v>
      </c>
      <c r="K74" s="463"/>
      <c r="L74" s="463"/>
      <c r="M74" s="463"/>
      <c r="N74" s="463"/>
      <c r="O74" s="463"/>
      <c r="P74" s="557"/>
      <c r="Q74" s="563"/>
    </row>
    <row r="75" spans="1:17">
      <c r="A75" s="567" t="s">
        <v>865</v>
      </c>
      <c r="B75" s="346" t="s">
        <v>1459</v>
      </c>
      <c r="C75" s="568"/>
      <c r="D75" s="171" t="e">
        <f t="shared" ref="D75:H75" si="75">D17*(1-D25)</f>
        <v>#VALUE!</v>
      </c>
      <c r="E75" s="171" t="e">
        <f t="shared" si="75"/>
        <v>#VALUE!</v>
      </c>
      <c r="F75" s="171" t="e">
        <f t="shared" ref="F75:G75" si="76">F17*(1-F25)</f>
        <v>#VALUE!</v>
      </c>
      <c r="G75" s="171" t="e">
        <f t="shared" si="76"/>
        <v>#VALUE!</v>
      </c>
      <c r="H75" s="171">
        <f t="shared" si="75"/>
        <v>-4.0283720851454992E-2</v>
      </c>
      <c r="I75" s="171" t="e">
        <f t="shared" ref="I75:J75" si="77">I17*(1-I25)</f>
        <v>#VALUE!</v>
      </c>
      <c r="J75" s="171" t="e">
        <f t="shared" si="77"/>
        <v>#VALUE!</v>
      </c>
      <c r="K75" s="463"/>
      <c r="L75" s="463"/>
      <c r="M75" s="463"/>
      <c r="N75" s="463"/>
      <c r="O75" s="463"/>
      <c r="P75" s="557"/>
      <c r="Q75" s="563"/>
    </row>
    <row r="76" spans="1:17" hidden="1">
      <c r="A76" s="567"/>
      <c r="B76" s="346"/>
      <c r="C76" s="568"/>
      <c r="D76" s="171"/>
      <c r="E76" s="171"/>
      <c r="F76" s="171"/>
      <c r="G76" s="171"/>
      <c r="H76" s="171"/>
      <c r="I76" s="171"/>
      <c r="J76" s="171"/>
      <c r="K76" s="463"/>
      <c r="L76" s="463"/>
      <c r="M76" s="463"/>
      <c r="N76" s="463"/>
      <c r="O76" s="463"/>
      <c r="P76" s="557"/>
      <c r="Q76" s="563"/>
    </row>
    <row r="77" spans="1:17">
      <c r="A77" s="541"/>
      <c r="B77" s="453" t="s">
        <v>1457</v>
      </c>
      <c r="C77" s="568"/>
      <c r="D77" s="171" t="e">
        <f t="shared" ref="D77:H77" si="78">D73-D74+D75</f>
        <v>#VALUE!</v>
      </c>
      <c r="E77" s="171" t="e">
        <f t="shared" si="78"/>
        <v>#VALUE!</v>
      </c>
      <c r="F77" s="171" t="e">
        <f t="shared" ref="F77:G77" si="79">F73-F74+F75</f>
        <v>#VALUE!</v>
      </c>
      <c r="G77" s="171" t="e">
        <f t="shared" si="79"/>
        <v>#VALUE!</v>
      </c>
      <c r="H77" s="171">
        <f t="shared" si="78"/>
        <v>5.7437436376833508</v>
      </c>
      <c r="I77" s="171" t="e">
        <f t="shared" ref="I77:J77" si="80">I73-I74+I75</f>
        <v>#VALUE!</v>
      </c>
      <c r="J77" s="171" t="e">
        <f t="shared" si="80"/>
        <v>#VALUE!</v>
      </c>
      <c r="K77" s="463"/>
      <c r="L77" s="463"/>
      <c r="M77" s="463"/>
      <c r="N77" s="463"/>
      <c r="O77" s="463"/>
      <c r="P77" s="557"/>
      <c r="Q77" s="563"/>
    </row>
    <row r="78" spans="1:17">
      <c r="A78" s="569"/>
      <c r="B78" s="407"/>
      <c r="C78" s="540"/>
      <c r="D78" s="109"/>
      <c r="E78" s="109"/>
      <c r="F78" s="426"/>
      <c r="G78" s="426"/>
      <c r="H78" s="109"/>
      <c r="I78" s="426"/>
      <c r="J78" s="426"/>
      <c r="K78" s="463"/>
      <c r="L78" s="463"/>
      <c r="M78" s="463"/>
      <c r="N78" s="463"/>
      <c r="O78" s="463"/>
      <c r="P78" s="557"/>
      <c r="Q78" s="563"/>
    </row>
    <row r="79" spans="1:17">
      <c r="A79" s="570" t="s">
        <v>1460</v>
      </c>
      <c r="B79" s="407"/>
      <c r="C79" s="540"/>
      <c r="D79" s="109"/>
      <c r="E79" s="109">
        <f>预测资产负债表!D94</f>
        <v>25.237155292348998</v>
      </c>
      <c r="F79" s="426">
        <f>预测资产负债表!E94</f>
        <v>31.88689627135</v>
      </c>
      <c r="G79" s="426">
        <f>预测资产负债表!F94</f>
        <v>37.944858803880003</v>
      </c>
      <c r="H79" s="109"/>
      <c r="I79" s="426"/>
      <c r="J79" s="426"/>
      <c r="K79" s="463"/>
      <c r="L79" s="463"/>
      <c r="M79" s="463"/>
      <c r="N79" s="463"/>
      <c r="O79" s="463"/>
      <c r="P79" s="557"/>
      <c r="Q79" s="563"/>
    </row>
    <row r="80" spans="1:17">
      <c r="A80" s="541"/>
      <c r="B80" s="571" t="s">
        <v>1457</v>
      </c>
      <c r="C80" s="540"/>
      <c r="D80" s="171" t="e">
        <f t="shared" ref="D80:H80" si="81">D77</f>
        <v>#VALUE!</v>
      </c>
      <c r="E80" s="171" t="e">
        <f t="shared" si="81"/>
        <v>#VALUE!</v>
      </c>
      <c r="F80" s="171" t="e">
        <f t="shared" ref="F80:G80" si="82">F77</f>
        <v>#VALUE!</v>
      </c>
      <c r="G80" s="171" t="e">
        <f t="shared" si="82"/>
        <v>#VALUE!</v>
      </c>
      <c r="H80" s="171">
        <f t="shared" si="81"/>
        <v>5.7437436376833508</v>
      </c>
      <c r="I80" s="171" t="e">
        <f t="shared" ref="I80:J80" si="83">I77</f>
        <v>#VALUE!</v>
      </c>
      <c r="J80" s="171" t="e">
        <f t="shared" si="83"/>
        <v>#VALUE!</v>
      </c>
      <c r="K80" s="463"/>
      <c r="L80" s="463"/>
      <c r="M80" s="463"/>
      <c r="N80" s="463"/>
      <c r="O80" s="463"/>
      <c r="P80" s="557"/>
      <c r="Q80" s="563"/>
    </row>
    <row r="81" spans="1:17">
      <c r="A81" s="567"/>
      <c r="B81" s="351" t="s">
        <v>1461</v>
      </c>
      <c r="C81" s="540"/>
      <c r="D81" s="171"/>
      <c r="E81" s="545">
        <f>预测资产负债表!D94</f>
        <v>25.237155292348998</v>
      </c>
      <c r="F81" s="545">
        <f>预测资产负债表!E94</f>
        <v>31.88689627135</v>
      </c>
      <c r="G81" s="545">
        <f>预测资产负债表!F94</f>
        <v>37.944858803880003</v>
      </c>
      <c r="H81" s="171">
        <f>预测资产负债表!G94</f>
        <v>41.846559398562</v>
      </c>
      <c r="I81" s="171" t="e">
        <f>预测资产负债表!H94</f>
        <v>#VALUE!</v>
      </c>
      <c r="J81" s="171" t="e">
        <f>预测资产负债表!I94</f>
        <v>#VALUE!</v>
      </c>
      <c r="K81" s="463"/>
      <c r="L81" s="501"/>
      <c r="M81" s="463"/>
      <c r="N81" s="463"/>
      <c r="O81" s="463"/>
      <c r="P81" s="557"/>
      <c r="Q81" s="563"/>
    </row>
    <row r="82" spans="1:17">
      <c r="A82" s="541"/>
      <c r="B82" s="539" t="s">
        <v>1462</v>
      </c>
      <c r="C82" s="540"/>
      <c r="D82" s="270"/>
      <c r="E82" s="270">
        <f>IF(ISERROR(E80/E81),0,E80/E81)</f>
        <v>0</v>
      </c>
      <c r="F82" s="270">
        <f t="shared" ref="F82:G82" si="84">IF(ISERROR(F80/F81),0,F80/F81)</f>
        <v>0</v>
      </c>
      <c r="G82" s="270">
        <f t="shared" si="84"/>
        <v>0</v>
      </c>
      <c r="H82" s="270">
        <f>H80/H81</f>
        <v>0.13725724934702102</v>
      </c>
      <c r="I82" s="270" t="e">
        <f t="shared" ref="I82:J82" si="85">I80/I81</f>
        <v>#VALUE!</v>
      </c>
      <c r="J82" s="270" t="e">
        <f t="shared" si="85"/>
        <v>#VALUE!</v>
      </c>
      <c r="K82" s="501"/>
      <c r="L82" s="463"/>
      <c r="M82" s="501"/>
      <c r="N82" s="501"/>
      <c r="O82" s="501"/>
      <c r="P82" s="562"/>
      <c r="Q82" s="563"/>
    </row>
    <row r="83" spans="1:17">
      <c r="A83" s="569"/>
      <c r="B83" s="407"/>
      <c r="C83" s="540"/>
      <c r="D83" s="109"/>
      <c r="E83" s="109"/>
      <c r="F83" s="426"/>
      <c r="G83" s="426"/>
      <c r="H83" s="109"/>
      <c r="I83" s="426"/>
      <c r="J83" s="426"/>
      <c r="K83" s="463"/>
      <c r="L83" s="463"/>
      <c r="M83" s="463"/>
      <c r="N83" s="463"/>
      <c r="O83" s="463"/>
      <c r="P83" s="557"/>
      <c r="Q83" s="563"/>
    </row>
    <row r="84" spans="1:17">
      <c r="A84" s="572" t="s">
        <v>1463</v>
      </c>
      <c r="B84" s="573"/>
      <c r="C84" s="540"/>
      <c r="D84" s="269"/>
      <c r="E84" s="269"/>
      <c r="F84" s="269"/>
      <c r="G84" s="269"/>
      <c r="H84" s="269"/>
      <c r="I84" s="269"/>
      <c r="J84" s="269"/>
      <c r="K84" s="463"/>
      <c r="L84" s="463"/>
      <c r="M84" s="463"/>
      <c r="N84" s="463"/>
      <c r="O84" s="463"/>
      <c r="P84" s="557"/>
      <c r="Q84" s="563"/>
    </row>
    <row r="85" spans="1:17">
      <c r="A85" s="541"/>
      <c r="B85" s="541" t="s">
        <v>1457</v>
      </c>
      <c r="C85" s="537"/>
      <c r="D85" s="171" t="e">
        <f t="shared" ref="D85:H85" si="86">D77</f>
        <v>#VALUE!</v>
      </c>
      <c r="E85" s="171" t="e">
        <f t="shared" si="86"/>
        <v>#VALUE!</v>
      </c>
      <c r="F85" s="171" t="e">
        <f t="shared" ref="F85:G85" si="87">F77</f>
        <v>#VALUE!</v>
      </c>
      <c r="G85" s="171" t="e">
        <f t="shared" si="87"/>
        <v>#VALUE!</v>
      </c>
      <c r="H85" s="171">
        <f t="shared" si="86"/>
        <v>5.7437436376833508</v>
      </c>
      <c r="I85" s="171" t="e">
        <f t="shared" ref="I85:J85" si="88">I77</f>
        <v>#VALUE!</v>
      </c>
      <c r="J85" s="171" t="e">
        <f t="shared" si="88"/>
        <v>#VALUE!</v>
      </c>
      <c r="K85" s="1030"/>
      <c r="L85" s="1031"/>
      <c r="M85" s="463"/>
      <c r="N85" s="463"/>
      <c r="O85" s="463"/>
      <c r="P85" s="557"/>
      <c r="Q85" s="563"/>
    </row>
    <row r="86" spans="1:17">
      <c r="A86" s="567"/>
      <c r="B86" s="349" t="s">
        <v>1461</v>
      </c>
      <c r="C86" s="537"/>
      <c r="D86" s="171"/>
      <c r="E86" s="171">
        <f t="shared" ref="E86:H86" si="89">E81</f>
        <v>25.237155292348998</v>
      </c>
      <c r="F86" s="171">
        <f t="shared" ref="F86:G86" si="90">F81</f>
        <v>31.88689627135</v>
      </c>
      <c r="G86" s="171">
        <f t="shared" si="90"/>
        <v>37.944858803880003</v>
      </c>
      <c r="H86" s="171">
        <f t="shared" si="89"/>
        <v>41.846559398562</v>
      </c>
      <c r="I86" s="171" t="e">
        <f t="shared" ref="I86:J86" si="91">I81</f>
        <v>#VALUE!</v>
      </c>
      <c r="J86" s="171" t="e">
        <f t="shared" si="91"/>
        <v>#VALUE!</v>
      </c>
      <c r="K86" s="1031"/>
      <c r="L86" s="1031"/>
      <c r="M86" s="463"/>
      <c r="N86" s="463"/>
      <c r="O86" s="463"/>
      <c r="P86" s="557"/>
      <c r="Q86" s="563"/>
    </row>
    <row r="87" spans="1:17">
      <c r="A87" s="567"/>
      <c r="B87" s="541" t="s">
        <v>1464</v>
      </c>
      <c r="C87" s="537"/>
      <c r="D87" s="270">
        <f>绝对估值!$C$17</f>
        <v>0.11134983598256103</v>
      </c>
      <c r="E87" s="574">
        <f>绝对估值!$C$17</f>
        <v>0.11134983598256103</v>
      </c>
      <c r="F87" s="574">
        <f>绝对估值!$C$17</f>
        <v>0.11134983598256103</v>
      </c>
      <c r="G87" s="574">
        <f>绝对估值!$C$17</f>
        <v>0.11134983598256103</v>
      </c>
      <c r="H87" s="270">
        <f>绝对估值!$C$17</f>
        <v>0.11134983598256103</v>
      </c>
      <c r="I87" s="270">
        <f>绝对估值!$C$17</f>
        <v>0.11134983598256103</v>
      </c>
      <c r="J87" s="270">
        <f>绝对估值!$C$17</f>
        <v>0.11134983598256103</v>
      </c>
      <c r="K87" s="1031"/>
      <c r="L87" s="1031"/>
      <c r="M87" s="501"/>
      <c r="N87" s="501"/>
      <c r="O87" s="501"/>
      <c r="P87" s="562"/>
      <c r="Q87" s="563"/>
    </row>
    <row r="88" spans="1:17">
      <c r="A88" s="567"/>
      <c r="B88" s="539" t="s">
        <v>1465</v>
      </c>
      <c r="C88" s="540"/>
      <c r="D88" s="171">
        <f t="shared" ref="D88:H88" si="92">D86*D87</f>
        <v>0</v>
      </c>
      <c r="E88" s="171">
        <f t="shared" si="92"/>
        <v>2.8101531024694828</v>
      </c>
      <c r="F88" s="171">
        <f t="shared" ref="F88:G88" si="93">F86*F87</f>
        <v>3.5506006698077592</v>
      </c>
      <c r="G88" s="171">
        <f t="shared" si="93"/>
        <v>4.2251538041934751</v>
      </c>
      <c r="H88" s="171">
        <f t="shared" si="92"/>
        <v>4.6596075254643763</v>
      </c>
      <c r="I88" s="171" t="e">
        <f t="shared" ref="I88:J88" si="94">I86*I87</f>
        <v>#VALUE!</v>
      </c>
      <c r="J88" s="171" t="e">
        <f t="shared" si="94"/>
        <v>#VALUE!</v>
      </c>
      <c r="K88" s="1031"/>
      <c r="L88" s="1031"/>
      <c r="M88" s="463"/>
      <c r="N88" s="463"/>
      <c r="O88" s="463"/>
      <c r="P88" s="557"/>
      <c r="Q88" s="563"/>
    </row>
    <row r="89" spans="1:17">
      <c r="A89" s="408"/>
      <c r="B89" s="408"/>
      <c r="C89" s="540"/>
      <c r="D89" s="264"/>
      <c r="E89" s="264"/>
      <c r="F89" s="264"/>
      <c r="G89" s="264"/>
      <c r="H89" s="264"/>
      <c r="I89" s="264"/>
      <c r="J89" s="264"/>
      <c r="K89" s="1031"/>
      <c r="L89" s="1031"/>
      <c r="M89" s="463"/>
      <c r="N89" s="463"/>
      <c r="O89" s="463"/>
      <c r="P89" s="557"/>
      <c r="Q89" s="563"/>
    </row>
    <row r="90" spans="1:17">
      <c r="A90" s="541"/>
      <c r="B90" s="453" t="s">
        <v>1466</v>
      </c>
      <c r="C90" s="568"/>
      <c r="D90" s="171" t="e">
        <f t="shared" ref="D90:H90" si="95">D85-D88</f>
        <v>#VALUE!</v>
      </c>
      <c r="E90" s="171" t="e">
        <f t="shared" si="95"/>
        <v>#VALUE!</v>
      </c>
      <c r="F90" s="171" t="e">
        <f t="shared" ref="F90:G90" si="96">F85-F88</f>
        <v>#VALUE!</v>
      </c>
      <c r="G90" s="171" t="e">
        <f t="shared" si="96"/>
        <v>#VALUE!</v>
      </c>
      <c r="H90" s="171">
        <f t="shared" si="95"/>
        <v>1.0841361122189745</v>
      </c>
      <c r="I90" s="171" t="e">
        <f t="shared" ref="I90:J90" si="97">I85-I88</f>
        <v>#VALUE!</v>
      </c>
      <c r="J90" s="171" t="e">
        <f t="shared" si="97"/>
        <v>#VALUE!</v>
      </c>
      <c r="K90" s="1031"/>
      <c r="L90" s="1031"/>
      <c r="M90" s="463"/>
      <c r="N90" s="463"/>
      <c r="O90" s="463"/>
      <c r="P90" s="557"/>
      <c r="Q90" s="563"/>
    </row>
    <row r="91" spans="1:17">
      <c r="A91" s="408"/>
      <c r="B91" s="408"/>
      <c r="C91" s="540"/>
      <c r="D91" s="264"/>
      <c r="E91" s="264"/>
      <c r="F91" s="264"/>
      <c r="G91" s="264"/>
      <c r="H91" s="264"/>
      <c r="I91" s="264"/>
      <c r="J91" s="264"/>
      <c r="K91" s="1031"/>
      <c r="L91" s="1031"/>
      <c r="M91" s="463"/>
      <c r="N91" s="463"/>
      <c r="O91" s="463"/>
      <c r="P91" s="557"/>
      <c r="Q91" s="563"/>
    </row>
    <row r="92" spans="1:17">
      <c r="A92" s="572" t="s">
        <v>1467</v>
      </c>
      <c r="B92" s="353"/>
      <c r="C92" s="533"/>
      <c r="D92" s="269"/>
      <c r="E92" s="269"/>
      <c r="F92" s="269"/>
      <c r="G92" s="269"/>
      <c r="H92" s="269"/>
      <c r="I92" s="269"/>
      <c r="J92" s="269"/>
      <c r="K92" s="1031"/>
      <c r="L92" s="1031"/>
      <c r="M92" s="463"/>
      <c r="N92" s="463"/>
      <c r="O92" s="463"/>
      <c r="P92" s="557"/>
      <c r="Q92" s="558"/>
    </row>
    <row r="93" spans="1:17">
      <c r="A93" s="575"/>
      <c r="B93" s="349" t="s">
        <v>1468</v>
      </c>
      <c r="C93" s="568"/>
      <c r="D93" s="171" t="e">
        <f t="shared" ref="D93:H93" si="98">D42</f>
        <v>#VALUE!</v>
      </c>
      <c r="E93" s="171" t="e">
        <f t="shared" si="98"/>
        <v>#VALUE!</v>
      </c>
      <c r="F93" s="171" t="e">
        <f t="shared" ref="F93:G93" si="99">F42</f>
        <v>#VALUE!</v>
      </c>
      <c r="G93" s="171" t="e">
        <f t="shared" si="99"/>
        <v>#VALUE!</v>
      </c>
      <c r="H93" s="171">
        <f t="shared" si="98"/>
        <v>21.236565500801472</v>
      </c>
      <c r="I93" s="171" t="e">
        <f t="shared" ref="I93:J93" si="100">I42</f>
        <v>#VALUE!</v>
      </c>
      <c r="J93" s="171" t="e">
        <f t="shared" si="100"/>
        <v>#VALUE!</v>
      </c>
      <c r="K93" s="1031"/>
      <c r="L93" s="1031"/>
      <c r="M93" s="463"/>
      <c r="N93" s="463"/>
      <c r="O93" s="463"/>
      <c r="P93" s="557"/>
      <c r="Q93" s="563"/>
    </row>
    <row r="94" spans="1:17">
      <c r="A94" s="575"/>
      <c r="B94" s="541" t="s">
        <v>1469</v>
      </c>
      <c r="C94" s="568"/>
      <c r="D94" s="270">
        <f>绝对估值!$C$16</f>
        <v>0.11451850205659858</v>
      </c>
      <c r="E94" s="270">
        <f>绝对估值!$C$16</f>
        <v>0.11451850205659858</v>
      </c>
      <c r="F94" s="270">
        <f>绝对估值!$C$16</f>
        <v>0.11451850205659858</v>
      </c>
      <c r="G94" s="270">
        <f>绝对估值!$C$16</f>
        <v>0.11451850205659858</v>
      </c>
      <c r="H94" s="270">
        <f>绝对估值!$C$16</f>
        <v>0.11451850205659858</v>
      </c>
      <c r="I94" s="270">
        <f>绝对估值!$C$16</f>
        <v>0.11451850205659858</v>
      </c>
      <c r="J94" s="270">
        <f>绝对估值!$C$16</f>
        <v>0.11451850205659858</v>
      </c>
      <c r="K94" s="1031"/>
      <c r="L94" s="1031"/>
      <c r="M94" s="501"/>
      <c r="N94" s="501"/>
      <c r="O94" s="501"/>
      <c r="P94" s="562"/>
      <c r="Q94" s="563"/>
    </row>
    <row r="95" spans="1:17">
      <c r="A95" s="575"/>
      <c r="B95" s="349" t="s">
        <v>1470</v>
      </c>
      <c r="C95" s="568"/>
      <c r="D95" s="171"/>
      <c r="E95" s="171">
        <f>'历史年度（简化）'!C92</f>
        <v>24.086261986900002</v>
      </c>
      <c r="F95" s="171">
        <f>'历史年度（简化）'!D92</f>
        <v>26.654024672600002</v>
      </c>
      <c r="G95" s="171">
        <f>'历史年度（简化）'!E92</f>
        <v>40.507076470100003</v>
      </c>
      <c r="H95" s="171">
        <f>预测资产负债表!G62</f>
        <v>43.5765576087</v>
      </c>
      <c r="I95" s="171" t="e">
        <f>预测资产负债表!H62</f>
        <v>#VALUE!</v>
      </c>
      <c r="J95" s="171" t="e">
        <f>预测资产负债表!I62</f>
        <v>#VALUE!</v>
      </c>
      <c r="K95" s="1031"/>
      <c r="L95" s="1031"/>
      <c r="M95" s="463"/>
      <c r="N95" s="463"/>
      <c r="O95" s="463"/>
      <c r="P95" s="557"/>
      <c r="Q95" s="563"/>
    </row>
    <row r="96" spans="1:17">
      <c r="A96" s="541"/>
      <c r="B96" s="541" t="s">
        <v>1471</v>
      </c>
      <c r="C96" s="568"/>
      <c r="D96" s="171"/>
      <c r="E96" s="171" t="e">
        <f>E93-E94*E95</f>
        <v>#VALUE!</v>
      </c>
      <c r="F96" s="171" t="e">
        <f>F93-F94*F95</f>
        <v>#VALUE!</v>
      </c>
      <c r="G96" s="171" t="e">
        <f>G93-G94*G95</f>
        <v>#VALUE!</v>
      </c>
      <c r="H96" s="171">
        <f>H93-H94*H95</f>
        <v>16.246243398670074</v>
      </c>
      <c r="I96" s="171" t="e">
        <f t="shared" ref="I96:J96" si="101">I93-I94*I95</f>
        <v>#VALUE!</v>
      </c>
      <c r="J96" s="171" t="e">
        <f t="shared" si="101"/>
        <v>#VALUE!</v>
      </c>
      <c r="K96" s="1031"/>
      <c r="L96" s="1031"/>
      <c r="M96" s="463"/>
      <c r="N96" s="463"/>
      <c r="O96" s="463"/>
      <c r="P96" s="557"/>
      <c r="Q96" s="563"/>
    </row>
    <row r="97" spans="1:61">
      <c r="A97" s="408"/>
      <c r="B97" s="408"/>
      <c r="C97" s="540"/>
      <c r="D97" s="254"/>
      <c r="E97" s="254"/>
      <c r="F97" s="254"/>
      <c r="G97" s="254"/>
      <c r="H97" s="254"/>
      <c r="I97" s="254"/>
      <c r="J97" s="254"/>
      <c r="K97" s="254"/>
      <c r="L97" s="435"/>
      <c r="M97" s="435"/>
      <c r="N97" s="435"/>
      <c r="O97" s="435"/>
      <c r="P97" s="576"/>
      <c r="Q97" s="577"/>
    </row>
    <row r="98" spans="1:61">
      <c r="A98" s="408"/>
      <c r="B98" s="408"/>
      <c r="C98" s="540"/>
      <c r="D98" s="254"/>
      <c r="E98" s="254"/>
      <c r="F98" s="254"/>
      <c r="G98" s="254"/>
      <c r="H98" s="254"/>
      <c r="I98" s="254"/>
      <c r="J98" s="254"/>
      <c r="K98" s="254"/>
      <c r="L98" s="435"/>
      <c r="M98" s="435"/>
      <c r="N98" s="435"/>
      <c r="O98" s="435"/>
      <c r="P98" s="576"/>
      <c r="Q98" s="577"/>
    </row>
    <row r="99" spans="1:61">
      <c r="A99" s="408"/>
      <c r="B99" s="408"/>
      <c r="C99" s="540"/>
      <c r="D99" s="254"/>
      <c r="E99" s="254"/>
      <c r="F99" s="254"/>
      <c r="G99" s="254"/>
      <c r="H99" s="254"/>
      <c r="I99" s="254"/>
      <c r="J99" s="254"/>
      <c r="K99" s="254"/>
      <c r="L99" s="435"/>
      <c r="M99" s="435"/>
      <c r="N99" s="435"/>
      <c r="O99" s="435"/>
      <c r="P99" s="576"/>
      <c r="Q99" s="577"/>
    </row>
    <row r="100" spans="1:61">
      <c r="A100" s="254"/>
      <c r="B100" s="254"/>
      <c r="C100" s="540"/>
      <c r="D100" s="254"/>
      <c r="E100" s="254"/>
      <c r="F100" s="254"/>
      <c r="G100" s="254"/>
      <c r="H100" s="254"/>
      <c r="I100" s="254"/>
      <c r="J100" s="254"/>
      <c r="K100" s="254"/>
      <c r="L100" s="435"/>
      <c r="M100" s="435"/>
      <c r="N100" s="435"/>
      <c r="O100" s="435"/>
      <c r="P100" s="576"/>
      <c r="Q100" s="577"/>
    </row>
    <row r="101" spans="1:61">
      <c r="A101" s="254"/>
      <c r="B101" s="254"/>
      <c r="C101" s="540"/>
      <c r="D101" s="254"/>
      <c r="E101" s="254"/>
      <c r="F101" s="254"/>
      <c r="G101" s="254"/>
      <c r="H101" s="254"/>
      <c r="I101" s="254"/>
      <c r="J101" s="254"/>
      <c r="K101" s="254"/>
      <c r="L101" s="435"/>
      <c r="M101" s="435"/>
      <c r="N101" s="435"/>
      <c r="O101" s="435"/>
      <c r="P101" s="576"/>
    </row>
    <row r="102" spans="1:61">
      <c r="A102" s="254"/>
      <c r="B102" s="254"/>
      <c r="C102" s="540"/>
      <c r="D102" s="254"/>
      <c r="E102" s="254"/>
      <c r="F102" s="254"/>
      <c r="G102" s="254"/>
      <c r="H102" s="254"/>
      <c r="I102" s="254"/>
      <c r="J102" s="254"/>
      <c r="K102" s="254"/>
      <c r="L102" s="435"/>
      <c r="M102" s="435"/>
      <c r="N102" s="435"/>
      <c r="O102" s="435"/>
      <c r="P102" s="576"/>
    </row>
    <row r="103" spans="1:61">
      <c r="A103" s="254"/>
      <c r="B103" s="254"/>
      <c r="C103" s="540"/>
      <c r="D103" s="254"/>
      <c r="E103" s="254"/>
      <c r="F103" s="254"/>
      <c r="G103" s="254"/>
      <c r="H103" s="254"/>
      <c r="I103" s="254"/>
      <c r="J103" s="254"/>
      <c r="K103" s="254"/>
      <c r="L103" s="254"/>
      <c r="M103" s="435"/>
      <c r="N103" s="435"/>
      <c r="O103" s="435"/>
      <c r="P103" s="576"/>
    </row>
    <row r="104" spans="1:61" s="254" customFormat="1" ht="26.4" customHeight="1">
      <c r="P104" s="549"/>
      <c r="Q104" s="549"/>
      <c r="R104" s="549"/>
      <c r="S104" s="549"/>
      <c r="T104" s="549"/>
      <c r="U104" s="549"/>
      <c r="V104" s="549"/>
      <c r="W104" s="549"/>
      <c r="X104" s="549"/>
      <c r="Y104" s="549"/>
      <c r="Z104" s="549"/>
      <c r="AA104" s="549"/>
      <c r="AB104" s="549"/>
      <c r="AC104" s="549"/>
      <c r="AD104" s="549"/>
      <c r="AE104" s="549"/>
      <c r="AF104" s="549"/>
      <c r="AG104" s="549"/>
      <c r="AH104" s="549"/>
      <c r="AI104" s="549"/>
      <c r="AJ104" s="549"/>
      <c r="AK104" s="549"/>
      <c r="AL104" s="549"/>
      <c r="AM104" s="549"/>
      <c r="AN104" s="549"/>
      <c r="AO104" s="549"/>
      <c r="AP104" s="549"/>
      <c r="AQ104" s="549"/>
      <c r="AR104" s="549"/>
      <c r="AS104" s="549"/>
      <c r="AT104" s="549"/>
      <c r="AU104" s="549"/>
      <c r="AV104" s="549"/>
      <c r="AW104" s="549"/>
      <c r="AX104" s="549"/>
      <c r="AY104" s="549"/>
      <c r="AZ104" s="549"/>
      <c r="BA104" s="549"/>
      <c r="BB104" s="549"/>
      <c r="BC104" s="549"/>
      <c r="BD104" s="549"/>
      <c r="BE104" s="549"/>
      <c r="BF104" s="549"/>
      <c r="BG104" s="549"/>
      <c r="BH104" s="549"/>
      <c r="BI104" s="549"/>
    </row>
    <row r="105" spans="1:61" s="254" customFormat="1" ht="9.9">
      <c r="P105" s="549"/>
      <c r="Q105" s="549"/>
      <c r="R105" s="549"/>
      <c r="S105" s="549"/>
      <c r="T105" s="549"/>
      <c r="U105" s="549"/>
      <c r="V105" s="549"/>
      <c r="W105" s="549"/>
      <c r="X105" s="549"/>
      <c r="Y105" s="549"/>
      <c r="Z105" s="549"/>
      <c r="AA105" s="549"/>
      <c r="AB105" s="549"/>
      <c r="AC105" s="549"/>
      <c r="AD105" s="549"/>
      <c r="AE105" s="549"/>
      <c r="AF105" s="549"/>
      <c r="AG105" s="549"/>
      <c r="AH105" s="549"/>
      <c r="AI105" s="549"/>
      <c r="AJ105" s="549"/>
      <c r="AK105" s="549"/>
      <c r="AL105" s="549"/>
      <c r="AM105" s="549"/>
      <c r="AN105" s="549"/>
      <c r="AO105" s="549"/>
      <c r="AP105" s="549"/>
      <c r="AQ105" s="549"/>
      <c r="AR105" s="549"/>
      <c r="AS105" s="549"/>
      <c r="AT105" s="549"/>
      <c r="AU105" s="549"/>
      <c r="AV105" s="549"/>
      <c r="AW105" s="549"/>
      <c r="AX105" s="549"/>
      <c r="AY105" s="549"/>
      <c r="AZ105" s="549"/>
      <c r="BA105" s="549"/>
      <c r="BB105" s="549"/>
      <c r="BC105" s="549"/>
      <c r="BD105" s="549"/>
      <c r="BE105" s="549"/>
      <c r="BF105" s="549"/>
      <c r="BG105" s="549"/>
      <c r="BH105" s="549"/>
      <c r="BI105" s="549"/>
    </row>
    <row r="106" spans="1:61" s="254" customFormat="1" ht="9.9">
      <c r="P106" s="549"/>
      <c r="Q106" s="549"/>
      <c r="R106" s="549"/>
      <c r="S106" s="549"/>
      <c r="T106" s="549"/>
      <c r="U106" s="549"/>
      <c r="V106" s="549"/>
      <c r="W106" s="549"/>
      <c r="X106" s="549"/>
      <c r="Y106" s="549"/>
      <c r="Z106" s="549"/>
      <c r="AA106" s="549"/>
      <c r="AB106" s="549"/>
      <c r="AC106" s="549"/>
      <c r="AD106" s="549"/>
      <c r="AE106" s="549"/>
      <c r="AF106" s="549"/>
      <c r="AG106" s="549"/>
      <c r="AH106" s="549"/>
      <c r="AI106" s="549"/>
      <c r="AJ106" s="549"/>
      <c r="AK106" s="549"/>
      <c r="AL106" s="549"/>
      <c r="AM106" s="549"/>
      <c r="AN106" s="549"/>
      <c r="AO106" s="549"/>
      <c r="AP106" s="549"/>
      <c r="AQ106" s="549"/>
      <c r="AR106" s="549"/>
      <c r="AS106" s="549"/>
      <c r="AT106" s="549"/>
      <c r="AU106" s="549"/>
      <c r="AV106" s="549"/>
      <c r="AW106" s="549"/>
      <c r="AX106" s="549"/>
      <c r="AY106" s="549"/>
      <c r="AZ106" s="549"/>
      <c r="BA106" s="549"/>
      <c r="BB106" s="549"/>
      <c r="BC106" s="549"/>
      <c r="BD106" s="549"/>
      <c r="BE106" s="549"/>
      <c r="BF106" s="549"/>
      <c r="BG106" s="549"/>
      <c r="BH106" s="549"/>
      <c r="BI106" s="549"/>
    </row>
    <row r="107" spans="1:61" s="254" customFormat="1" ht="9.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49"/>
      <c r="AM107" s="549"/>
      <c r="AN107" s="549"/>
      <c r="AO107" s="549"/>
      <c r="AP107" s="549"/>
      <c r="AQ107" s="549"/>
      <c r="AR107" s="549"/>
      <c r="AS107" s="549"/>
      <c r="AT107" s="549"/>
      <c r="AU107" s="549"/>
      <c r="AV107" s="549"/>
      <c r="AW107" s="549"/>
      <c r="AX107" s="549"/>
      <c r="AY107" s="549"/>
      <c r="AZ107" s="549"/>
      <c r="BA107" s="549"/>
      <c r="BB107" s="549"/>
      <c r="BC107" s="549"/>
      <c r="BD107" s="549"/>
      <c r="BE107" s="549"/>
      <c r="BF107" s="549"/>
      <c r="BG107" s="549"/>
      <c r="BH107" s="549"/>
      <c r="BI107" s="549"/>
    </row>
    <row r="108" spans="1:61" s="254" customFormat="1" ht="9.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49"/>
      <c r="AM108" s="549"/>
      <c r="AN108" s="549"/>
      <c r="AO108" s="549"/>
      <c r="AP108" s="549"/>
      <c r="AQ108" s="549"/>
      <c r="AR108" s="549"/>
      <c r="AS108" s="549"/>
      <c r="AT108" s="549"/>
      <c r="AU108" s="549"/>
      <c r="AV108" s="549"/>
      <c r="AW108" s="549"/>
      <c r="AX108" s="549"/>
      <c r="AY108" s="549"/>
      <c r="AZ108" s="549"/>
      <c r="BA108" s="549"/>
      <c r="BB108" s="549"/>
      <c r="BC108" s="549"/>
      <c r="BD108" s="549"/>
      <c r="BE108" s="549"/>
      <c r="BF108" s="549"/>
      <c r="BG108" s="549"/>
      <c r="BH108" s="549"/>
      <c r="BI108" s="549"/>
    </row>
    <row r="109" spans="1:61" s="254" customFormat="1" ht="9.9">
      <c r="P109" s="549"/>
      <c r="Q109" s="549"/>
      <c r="R109" s="549"/>
      <c r="S109" s="549"/>
      <c r="T109" s="549"/>
      <c r="U109" s="549"/>
      <c r="V109" s="549"/>
      <c r="W109" s="549"/>
      <c r="X109" s="549"/>
      <c r="Y109" s="549"/>
      <c r="Z109" s="549"/>
      <c r="AA109" s="549"/>
      <c r="AB109" s="549"/>
      <c r="AC109" s="549"/>
      <c r="AD109" s="549"/>
      <c r="AE109" s="549"/>
      <c r="AF109" s="549"/>
      <c r="AG109" s="549"/>
      <c r="AH109" s="549"/>
      <c r="AI109" s="549"/>
      <c r="AJ109" s="549"/>
      <c r="AK109" s="549"/>
      <c r="AL109" s="549"/>
      <c r="AM109" s="549"/>
      <c r="AN109" s="549"/>
      <c r="AO109" s="549"/>
      <c r="AP109" s="549"/>
      <c r="AQ109" s="549"/>
      <c r="AR109" s="549"/>
      <c r="AS109" s="549"/>
      <c r="AT109" s="549"/>
      <c r="AU109" s="549"/>
      <c r="AV109" s="549"/>
      <c r="AW109" s="549"/>
      <c r="AX109" s="549"/>
      <c r="AY109" s="549"/>
      <c r="AZ109" s="549"/>
      <c r="BA109" s="549"/>
      <c r="BB109" s="549"/>
      <c r="BC109" s="549"/>
      <c r="BD109" s="549"/>
      <c r="BE109" s="549"/>
      <c r="BF109" s="549"/>
      <c r="BG109" s="549"/>
      <c r="BH109" s="549"/>
      <c r="BI109" s="549"/>
    </row>
    <row r="110" spans="1:61" s="254" customFormat="1" ht="9.9">
      <c r="P110" s="549"/>
      <c r="Q110" s="549"/>
      <c r="R110" s="549"/>
      <c r="S110" s="549"/>
      <c r="T110" s="549"/>
      <c r="U110" s="549"/>
      <c r="V110" s="549"/>
      <c r="W110" s="549"/>
      <c r="X110" s="549"/>
      <c r="Y110" s="549"/>
      <c r="Z110" s="549"/>
      <c r="AA110" s="549"/>
      <c r="AB110" s="549"/>
      <c r="AC110" s="549"/>
      <c r="AD110" s="549"/>
      <c r="AE110" s="549"/>
      <c r="AF110" s="549"/>
      <c r="AG110" s="549"/>
      <c r="AH110" s="549"/>
      <c r="AI110" s="549"/>
      <c r="AJ110" s="549"/>
      <c r="AK110" s="549"/>
      <c r="AL110" s="549"/>
      <c r="AM110" s="549"/>
      <c r="AN110" s="549"/>
      <c r="AO110" s="549"/>
      <c r="AP110" s="549"/>
      <c r="AQ110" s="549"/>
      <c r="AR110" s="549"/>
      <c r="AS110" s="549"/>
      <c r="AT110" s="549"/>
      <c r="AU110" s="549"/>
      <c r="AV110" s="549"/>
      <c r="AW110" s="549"/>
      <c r="AX110" s="549"/>
      <c r="AY110" s="549"/>
      <c r="AZ110" s="549"/>
      <c r="BA110" s="549"/>
      <c r="BB110" s="549"/>
      <c r="BC110" s="549"/>
      <c r="BD110" s="549"/>
      <c r="BE110" s="549"/>
      <c r="BF110" s="549"/>
      <c r="BG110" s="549"/>
      <c r="BH110" s="549"/>
      <c r="BI110" s="549"/>
    </row>
    <row r="111" spans="1:61" s="254" customFormat="1" ht="9.9">
      <c r="P111" s="549"/>
      <c r="Q111" s="549"/>
      <c r="R111" s="549"/>
      <c r="S111" s="549"/>
      <c r="T111" s="549"/>
      <c r="U111" s="549"/>
      <c r="V111" s="549"/>
      <c r="W111" s="549"/>
      <c r="X111" s="549"/>
      <c r="Y111" s="549"/>
      <c r="Z111" s="549"/>
      <c r="AA111" s="549"/>
      <c r="AB111" s="549"/>
      <c r="AC111" s="549"/>
      <c r="AD111" s="549"/>
      <c r="AE111" s="549"/>
      <c r="AF111" s="549"/>
      <c r="AG111" s="549"/>
      <c r="AH111" s="549"/>
      <c r="AI111" s="549"/>
      <c r="AJ111" s="549"/>
      <c r="AK111" s="549"/>
      <c r="AL111" s="549"/>
      <c r="AM111" s="549"/>
      <c r="AN111" s="549"/>
      <c r="AO111" s="549"/>
      <c r="AP111" s="549"/>
      <c r="AQ111" s="549"/>
      <c r="AR111" s="549"/>
      <c r="AS111" s="549"/>
      <c r="AT111" s="549"/>
      <c r="AU111" s="549"/>
      <c r="AV111" s="549"/>
      <c r="AW111" s="549"/>
      <c r="AX111" s="549"/>
      <c r="AY111" s="549"/>
      <c r="AZ111" s="549"/>
      <c r="BA111" s="549"/>
      <c r="BB111" s="549"/>
      <c r="BC111" s="549"/>
      <c r="BD111" s="549"/>
      <c r="BE111" s="549"/>
      <c r="BF111" s="549"/>
      <c r="BG111" s="549"/>
      <c r="BH111" s="549"/>
      <c r="BI111" s="549"/>
    </row>
    <row r="112" spans="1:61" s="254" customFormat="1" ht="9.9">
      <c r="P112" s="549"/>
      <c r="Q112" s="549"/>
      <c r="R112" s="549"/>
      <c r="S112" s="549"/>
      <c r="T112" s="549"/>
      <c r="U112" s="549"/>
      <c r="V112" s="549"/>
      <c r="W112" s="549"/>
      <c r="X112" s="549"/>
      <c r="Y112" s="549"/>
      <c r="Z112" s="549"/>
      <c r="AA112" s="549"/>
      <c r="AB112" s="549"/>
      <c r="AC112" s="549"/>
      <c r="AD112" s="549"/>
      <c r="AE112" s="549"/>
      <c r="AF112" s="549"/>
      <c r="AG112" s="549"/>
      <c r="AH112" s="549"/>
      <c r="AI112" s="549"/>
      <c r="AJ112" s="549"/>
      <c r="AK112" s="549"/>
      <c r="AL112" s="549"/>
      <c r="AM112" s="549"/>
      <c r="AN112" s="549"/>
      <c r="AO112" s="549"/>
      <c r="AP112" s="549"/>
      <c r="AQ112" s="549"/>
      <c r="AR112" s="549"/>
      <c r="AS112" s="549"/>
      <c r="AT112" s="549"/>
      <c r="AU112" s="549"/>
      <c r="AV112" s="549"/>
      <c r="AW112" s="549"/>
      <c r="AX112" s="549"/>
      <c r="AY112" s="549"/>
      <c r="AZ112" s="549"/>
      <c r="BA112" s="549"/>
      <c r="BB112" s="549"/>
      <c r="BC112" s="549"/>
      <c r="BD112" s="549"/>
      <c r="BE112" s="549"/>
      <c r="BF112" s="549"/>
      <c r="BG112" s="549"/>
      <c r="BH112" s="549"/>
      <c r="BI112" s="549"/>
    </row>
    <row r="113" spans="16:61" s="254" customFormat="1" ht="9.9">
      <c r="P113" s="549"/>
      <c r="Q113" s="549"/>
      <c r="R113" s="549"/>
      <c r="S113" s="549"/>
      <c r="T113" s="549"/>
      <c r="U113" s="549"/>
      <c r="V113" s="549"/>
      <c r="W113" s="549"/>
      <c r="X113" s="549"/>
      <c r="Y113" s="549"/>
      <c r="Z113" s="549"/>
      <c r="AA113" s="549"/>
      <c r="AB113" s="549"/>
      <c r="AC113" s="549"/>
      <c r="AD113" s="549"/>
      <c r="AE113" s="549"/>
      <c r="AF113" s="549"/>
      <c r="AG113" s="549"/>
      <c r="AH113" s="549"/>
      <c r="AI113" s="549"/>
      <c r="AJ113" s="549"/>
      <c r="AK113" s="549"/>
      <c r="AL113" s="549"/>
      <c r="AM113" s="549"/>
      <c r="AN113" s="549"/>
      <c r="AO113" s="549"/>
      <c r="AP113" s="549"/>
      <c r="AQ113" s="549"/>
      <c r="AR113" s="549"/>
      <c r="AS113" s="549"/>
      <c r="AT113" s="549"/>
      <c r="AU113" s="549"/>
      <c r="AV113" s="549"/>
      <c r="AW113" s="549"/>
      <c r="AX113" s="549"/>
      <c r="AY113" s="549"/>
      <c r="AZ113" s="549"/>
      <c r="BA113" s="549"/>
      <c r="BB113" s="549"/>
      <c r="BC113" s="549"/>
      <c r="BD113" s="549"/>
      <c r="BE113" s="549"/>
      <c r="BF113" s="549"/>
      <c r="BG113" s="549"/>
      <c r="BH113" s="549"/>
      <c r="BI113" s="549"/>
    </row>
    <row r="114" spans="16:61" s="254" customFormat="1" ht="9.9">
      <c r="P114" s="549"/>
      <c r="Q114" s="549"/>
      <c r="R114" s="549"/>
      <c r="S114" s="549"/>
      <c r="T114" s="549"/>
      <c r="U114" s="549"/>
      <c r="V114" s="549"/>
      <c r="W114" s="549"/>
      <c r="X114" s="549"/>
      <c r="Y114" s="549"/>
      <c r="Z114" s="549"/>
      <c r="AA114" s="549"/>
      <c r="AB114" s="549"/>
      <c r="AC114" s="549"/>
      <c r="AD114" s="549"/>
      <c r="AE114" s="549"/>
      <c r="AF114" s="549"/>
      <c r="AG114" s="549"/>
      <c r="AH114" s="549"/>
      <c r="AI114" s="549"/>
      <c r="AJ114" s="549"/>
      <c r="AK114" s="549"/>
      <c r="AL114" s="549"/>
      <c r="AM114" s="549"/>
      <c r="AN114" s="549"/>
      <c r="AO114" s="549"/>
      <c r="AP114" s="549"/>
      <c r="AQ114" s="549"/>
      <c r="AR114" s="549"/>
      <c r="AS114" s="549"/>
      <c r="AT114" s="549"/>
      <c r="AU114" s="549"/>
      <c r="AV114" s="549"/>
      <c r="AW114" s="549"/>
      <c r="AX114" s="549"/>
      <c r="AY114" s="549"/>
      <c r="AZ114" s="549"/>
      <c r="BA114" s="549"/>
      <c r="BB114" s="549"/>
      <c r="BC114" s="549"/>
      <c r="BD114" s="549"/>
      <c r="BE114" s="549"/>
      <c r="BF114" s="549"/>
      <c r="BG114" s="549"/>
      <c r="BH114" s="549"/>
      <c r="BI114" s="549"/>
    </row>
    <row r="115" spans="16:61" s="254" customFormat="1" ht="9.9">
      <c r="P115" s="549"/>
      <c r="Q115" s="549"/>
      <c r="R115" s="549"/>
      <c r="S115" s="549"/>
      <c r="T115" s="549"/>
      <c r="U115" s="549"/>
      <c r="V115" s="549"/>
      <c r="W115" s="549"/>
      <c r="X115" s="549"/>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49"/>
      <c r="AZ115" s="549"/>
      <c r="BA115" s="549"/>
      <c r="BB115" s="549"/>
      <c r="BC115" s="549"/>
      <c r="BD115" s="549"/>
      <c r="BE115" s="549"/>
      <c r="BF115" s="549"/>
      <c r="BG115" s="549"/>
      <c r="BH115" s="549"/>
      <c r="BI115" s="549"/>
    </row>
    <row r="116" spans="16:61" s="254" customFormat="1" ht="9.9">
      <c r="P116" s="549"/>
      <c r="Q116" s="549"/>
      <c r="R116" s="549"/>
      <c r="S116" s="549"/>
      <c r="T116" s="549"/>
      <c r="U116" s="549"/>
      <c r="V116" s="549"/>
      <c r="W116" s="549"/>
      <c r="X116" s="549"/>
      <c r="Y116" s="549"/>
      <c r="Z116" s="549"/>
      <c r="AA116" s="549"/>
      <c r="AB116" s="549"/>
      <c r="AC116" s="549"/>
      <c r="AD116" s="549"/>
      <c r="AE116" s="549"/>
      <c r="AF116" s="549"/>
      <c r="AG116" s="549"/>
      <c r="AH116" s="549"/>
      <c r="AI116" s="549"/>
      <c r="AJ116" s="549"/>
      <c r="AK116" s="549"/>
      <c r="AL116" s="549"/>
      <c r="AM116" s="549"/>
      <c r="AN116" s="549"/>
      <c r="AO116" s="549"/>
      <c r="AP116" s="549"/>
      <c r="AQ116" s="549"/>
      <c r="AR116" s="549"/>
      <c r="AS116" s="549"/>
      <c r="AT116" s="549"/>
      <c r="AU116" s="549"/>
      <c r="AV116" s="549"/>
      <c r="AW116" s="549"/>
      <c r="AX116" s="549"/>
      <c r="AY116" s="549"/>
      <c r="AZ116" s="549"/>
      <c r="BA116" s="549"/>
      <c r="BB116" s="549"/>
      <c r="BC116" s="549"/>
      <c r="BD116" s="549"/>
      <c r="BE116" s="549"/>
      <c r="BF116" s="549"/>
      <c r="BG116" s="549"/>
      <c r="BH116" s="549"/>
      <c r="BI116" s="549"/>
    </row>
    <row r="117" spans="16:61" s="254" customFormat="1" ht="9.9">
      <c r="P117" s="549"/>
      <c r="Q117" s="549"/>
      <c r="R117" s="549"/>
      <c r="S117" s="549"/>
      <c r="T117" s="549"/>
      <c r="U117" s="549"/>
      <c r="V117" s="549"/>
      <c r="W117" s="549"/>
      <c r="X117" s="549"/>
      <c r="Y117" s="549"/>
      <c r="Z117" s="549"/>
      <c r="AA117" s="549"/>
      <c r="AB117" s="549"/>
      <c r="AC117" s="549"/>
      <c r="AD117" s="549"/>
      <c r="AE117" s="549"/>
      <c r="AF117" s="549"/>
      <c r="AG117" s="549"/>
      <c r="AH117" s="549"/>
      <c r="AI117" s="549"/>
      <c r="AJ117" s="549"/>
      <c r="AK117" s="549"/>
      <c r="AL117" s="549"/>
      <c r="AM117" s="549"/>
      <c r="AN117" s="549"/>
      <c r="AO117" s="549"/>
      <c r="AP117" s="549"/>
      <c r="AQ117" s="549"/>
      <c r="AR117" s="549"/>
      <c r="AS117" s="549"/>
      <c r="AT117" s="549"/>
      <c r="AU117" s="549"/>
      <c r="AV117" s="549"/>
      <c r="AW117" s="549"/>
      <c r="AX117" s="549"/>
      <c r="AY117" s="549"/>
      <c r="AZ117" s="549"/>
      <c r="BA117" s="549"/>
      <c r="BB117" s="549"/>
      <c r="BC117" s="549"/>
      <c r="BD117" s="549"/>
      <c r="BE117" s="549"/>
      <c r="BF117" s="549"/>
      <c r="BG117" s="549"/>
      <c r="BH117" s="549"/>
      <c r="BI117" s="549"/>
    </row>
    <row r="118" spans="16:61" s="254" customFormat="1" ht="9.9">
      <c r="P118" s="549"/>
      <c r="Q118" s="549"/>
      <c r="R118" s="549"/>
      <c r="S118" s="549"/>
      <c r="T118" s="549"/>
      <c r="U118" s="549"/>
      <c r="V118" s="549"/>
      <c r="W118" s="549"/>
      <c r="X118" s="549"/>
      <c r="Y118" s="549"/>
      <c r="Z118" s="549"/>
      <c r="AA118" s="549"/>
      <c r="AB118" s="549"/>
      <c r="AC118" s="549"/>
      <c r="AD118" s="549"/>
      <c r="AE118" s="549"/>
      <c r="AF118" s="549"/>
      <c r="AG118" s="549"/>
      <c r="AH118" s="549"/>
      <c r="AI118" s="549"/>
      <c r="AJ118" s="549"/>
      <c r="AK118" s="549"/>
      <c r="AL118" s="549"/>
      <c r="AM118" s="549"/>
      <c r="AN118" s="549"/>
      <c r="AO118" s="549"/>
      <c r="AP118" s="549"/>
      <c r="AQ118" s="549"/>
      <c r="AR118" s="549"/>
      <c r="AS118" s="549"/>
      <c r="AT118" s="549"/>
      <c r="AU118" s="549"/>
      <c r="AV118" s="549"/>
      <c r="AW118" s="549"/>
      <c r="AX118" s="549"/>
      <c r="AY118" s="549"/>
      <c r="AZ118" s="549"/>
      <c r="BA118" s="549"/>
      <c r="BB118" s="549"/>
      <c r="BC118" s="549"/>
      <c r="BD118" s="549"/>
      <c r="BE118" s="549"/>
      <c r="BF118" s="549"/>
      <c r="BG118" s="549"/>
      <c r="BH118" s="549"/>
      <c r="BI118" s="549"/>
    </row>
    <row r="119" spans="16:61" s="254" customFormat="1" ht="9.9">
      <c r="P119" s="549"/>
      <c r="Q119" s="549"/>
      <c r="R119" s="549"/>
      <c r="S119" s="549"/>
      <c r="T119" s="549"/>
      <c r="U119" s="549"/>
      <c r="V119" s="549"/>
      <c r="W119" s="549"/>
      <c r="X119" s="549"/>
      <c r="Y119" s="549"/>
      <c r="Z119" s="549"/>
      <c r="AA119" s="549"/>
      <c r="AB119" s="549"/>
      <c r="AC119" s="549"/>
      <c r="AD119" s="549"/>
      <c r="AE119" s="549"/>
      <c r="AF119" s="549"/>
      <c r="AG119" s="549"/>
      <c r="AH119" s="549"/>
      <c r="AI119" s="549"/>
      <c r="AJ119" s="549"/>
      <c r="AK119" s="549"/>
      <c r="AL119" s="549"/>
      <c r="AM119" s="549"/>
      <c r="AN119" s="549"/>
      <c r="AO119" s="549"/>
      <c r="AP119" s="549"/>
      <c r="AQ119" s="549"/>
      <c r="AR119" s="549"/>
      <c r="AS119" s="549"/>
      <c r="AT119" s="549"/>
      <c r="AU119" s="549"/>
      <c r="AV119" s="549"/>
      <c r="AW119" s="549"/>
      <c r="AX119" s="549"/>
      <c r="AY119" s="549"/>
      <c r="AZ119" s="549"/>
      <c r="BA119" s="549"/>
      <c r="BB119" s="549"/>
      <c r="BC119" s="549"/>
      <c r="BD119" s="549"/>
      <c r="BE119" s="549"/>
      <c r="BF119" s="549"/>
      <c r="BG119" s="549"/>
      <c r="BH119" s="549"/>
      <c r="BI119" s="549"/>
    </row>
    <row r="120" spans="16:61" s="254" customFormat="1" ht="9.9">
      <c r="P120" s="549"/>
      <c r="Q120" s="549"/>
      <c r="R120" s="549"/>
      <c r="S120" s="549"/>
      <c r="T120" s="549"/>
      <c r="U120" s="549"/>
      <c r="V120" s="549"/>
      <c r="W120" s="549"/>
      <c r="X120" s="549"/>
      <c r="Y120" s="549"/>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49"/>
      <c r="AZ120" s="549"/>
      <c r="BA120" s="549"/>
      <c r="BB120" s="549"/>
      <c r="BC120" s="549"/>
      <c r="BD120" s="549"/>
      <c r="BE120" s="549"/>
      <c r="BF120" s="549"/>
      <c r="BG120" s="549"/>
      <c r="BH120" s="549"/>
      <c r="BI120" s="549"/>
    </row>
    <row r="121" spans="16:61" s="254" customFormat="1" ht="9.9">
      <c r="P121" s="549"/>
      <c r="Q121" s="549"/>
      <c r="R121" s="549"/>
      <c r="S121" s="549"/>
      <c r="T121" s="549"/>
      <c r="U121" s="549"/>
      <c r="V121" s="549"/>
      <c r="W121" s="549"/>
      <c r="X121" s="549"/>
      <c r="Y121" s="549"/>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49"/>
      <c r="AZ121" s="549"/>
      <c r="BA121" s="549"/>
      <c r="BB121" s="549"/>
      <c r="BC121" s="549"/>
      <c r="BD121" s="549"/>
      <c r="BE121" s="549"/>
      <c r="BF121" s="549"/>
      <c r="BG121" s="549"/>
      <c r="BH121" s="549"/>
      <c r="BI121" s="549"/>
    </row>
    <row r="122" spans="16:61" s="254" customFormat="1" ht="9.9">
      <c r="P122" s="549"/>
      <c r="Q122" s="549"/>
      <c r="R122" s="549"/>
      <c r="S122" s="549"/>
      <c r="T122" s="549"/>
      <c r="U122" s="549"/>
      <c r="V122" s="549"/>
      <c r="W122" s="549"/>
      <c r="X122" s="549"/>
      <c r="Y122" s="549"/>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49"/>
      <c r="AZ122" s="549"/>
      <c r="BA122" s="549"/>
      <c r="BB122" s="549"/>
      <c r="BC122" s="549"/>
      <c r="BD122" s="549"/>
      <c r="BE122" s="549"/>
      <c r="BF122" s="549"/>
      <c r="BG122" s="549"/>
      <c r="BH122" s="549"/>
      <c r="BI122" s="549"/>
    </row>
    <row r="123" spans="16:61" s="254" customFormat="1" ht="9.9">
      <c r="P123" s="549"/>
      <c r="Q123" s="549"/>
      <c r="R123" s="549"/>
      <c r="S123" s="549"/>
      <c r="T123" s="549"/>
      <c r="U123" s="549"/>
      <c r="V123" s="549"/>
      <c r="W123" s="549"/>
      <c r="X123" s="549"/>
      <c r="Y123" s="549"/>
      <c r="Z123" s="549"/>
      <c r="AA123" s="549"/>
      <c r="AB123" s="549"/>
      <c r="AC123" s="549"/>
      <c r="AD123" s="549"/>
      <c r="AE123" s="549"/>
      <c r="AF123" s="549"/>
      <c r="AG123" s="549"/>
      <c r="AH123" s="549"/>
      <c r="AI123" s="549"/>
      <c r="AJ123" s="549"/>
      <c r="AK123" s="549"/>
      <c r="AL123" s="549"/>
      <c r="AM123" s="549"/>
      <c r="AN123" s="549"/>
      <c r="AO123" s="549"/>
      <c r="AP123" s="549"/>
      <c r="AQ123" s="549"/>
      <c r="AR123" s="549"/>
      <c r="AS123" s="549"/>
      <c r="AT123" s="549"/>
      <c r="AU123" s="549"/>
      <c r="AV123" s="549"/>
      <c r="AW123" s="549"/>
      <c r="AX123" s="549"/>
      <c r="AY123" s="549"/>
      <c r="AZ123" s="549"/>
      <c r="BA123" s="549"/>
      <c r="BB123" s="549"/>
      <c r="BC123" s="549"/>
      <c r="BD123" s="549"/>
      <c r="BE123" s="549"/>
      <c r="BF123" s="549"/>
      <c r="BG123" s="549"/>
      <c r="BH123" s="549"/>
      <c r="BI123" s="549"/>
    </row>
    <row r="124" spans="16:61" s="254" customFormat="1" ht="9.9">
      <c r="P124" s="549"/>
      <c r="Q124" s="549"/>
      <c r="R124" s="549"/>
      <c r="S124" s="549"/>
      <c r="T124" s="549"/>
      <c r="U124" s="549"/>
      <c r="V124" s="549"/>
      <c r="W124" s="549"/>
      <c r="X124" s="549"/>
      <c r="Y124" s="549"/>
      <c r="Z124" s="549"/>
      <c r="AA124" s="549"/>
      <c r="AB124" s="549"/>
      <c r="AC124" s="549"/>
      <c r="AD124" s="549"/>
      <c r="AE124" s="549"/>
      <c r="AF124" s="549"/>
      <c r="AG124" s="549"/>
      <c r="AH124" s="549"/>
      <c r="AI124" s="549"/>
      <c r="AJ124" s="549"/>
      <c r="AK124" s="549"/>
      <c r="AL124" s="549"/>
      <c r="AM124" s="549"/>
      <c r="AN124" s="549"/>
      <c r="AO124" s="549"/>
      <c r="AP124" s="549"/>
      <c r="AQ124" s="549"/>
      <c r="AR124" s="549"/>
      <c r="AS124" s="549"/>
      <c r="AT124" s="549"/>
      <c r="AU124" s="549"/>
      <c r="AV124" s="549"/>
      <c r="AW124" s="549"/>
      <c r="AX124" s="549"/>
      <c r="AY124" s="549"/>
      <c r="AZ124" s="549"/>
      <c r="BA124" s="549"/>
      <c r="BB124" s="549"/>
      <c r="BC124" s="549"/>
      <c r="BD124" s="549"/>
      <c r="BE124" s="549"/>
      <c r="BF124" s="549"/>
      <c r="BG124" s="549"/>
      <c r="BH124" s="549"/>
      <c r="BI124" s="549"/>
    </row>
    <row r="125" spans="16:61" s="254" customFormat="1" ht="9.9">
      <c r="P125" s="549"/>
      <c r="Q125" s="549"/>
      <c r="R125" s="549"/>
      <c r="S125" s="549"/>
      <c r="T125" s="549"/>
      <c r="U125" s="549"/>
      <c r="V125" s="549"/>
      <c r="W125" s="549"/>
      <c r="X125" s="549"/>
      <c r="Y125" s="549"/>
      <c r="Z125" s="549"/>
      <c r="AA125" s="549"/>
      <c r="AB125" s="549"/>
      <c r="AC125" s="549"/>
      <c r="AD125" s="549"/>
      <c r="AE125" s="549"/>
      <c r="AF125" s="549"/>
      <c r="AG125" s="549"/>
      <c r="AH125" s="549"/>
      <c r="AI125" s="549"/>
      <c r="AJ125" s="549"/>
      <c r="AK125" s="549"/>
      <c r="AL125" s="549"/>
      <c r="AM125" s="549"/>
      <c r="AN125" s="549"/>
      <c r="AO125" s="549"/>
      <c r="AP125" s="549"/>
      <c r="AQ125" s="549"/>
      <c r="AR125" s="549"/>
      <c r="AS125" s="549"/>
      <c r="AT125" s="549"/>
      <c r="AU125" s="549"/>
      <c r="AV125" s="549"/>
      <c r="AW125" s="549"/>
      <c r="AX125" s="549"/>
      <c r="AY125" s="549"/>
      <c r="AZ125" s="549"/>
      <c r="BA125" s="549"/>
      <c r="BB125" s="549"/>
      <c r="BC125" s="549"/>
      <c r="BD125" s="549"/>
      <c r="BE125" s="549"/>
      <c r="BF125" s="549"/>
      <c r="BG125" s="549"/>
      <c r="BH125" s="549"/>
      <c r="BI125" s="549"/>
    </row>
    <row r="126" spans="16:61" s="254" customFormat="1" ht="9.9">
      <c r="P126" s="549"/>
      <c r="Q126" s="549"/>
      <c r="R126" s="549"/>
      <c r="S126" s="549"/>
      <c r="T126" s="549"/>
      <c r="U126" s="549"/>
      <c r="V126" s="549"/>
      <c r="W126" s="549"/>
      <c r="X126" s="549"/>
      <c r="Y126" s="549"/>
      <c r="Z126" s="549"/>
      <c r="AA126" s="549"/>
      <c r="AB126" s="549"/>
      <c r="AC126" s="549"/>
      <c r="AD126" s="549"/>
      <c r="AE126" s="549"/>
      <c r="AF126" s="549"/>
      <c r="AG126" s="549"/>
      <c r="AH126" s="549"/>
      <c r="AI126" s="549"/>
      <c r="AJ126" s="549"/>
      <c r="AK126" s="549"/>
      <c r="AL126" s="549"/>
      <c r="AM126" s="549"/>
      <c r="AN126" s="549"/>
      <c r="AO126" s="549"/>
      <c r="AP126" s="549"/>
      <c r="AQ126" s="549"/>
      <c r="AR126" s="549"/>
      <c r="AS126" s="549"/>
      <c r="AT126" s="549"/>
      <c r="AU126" s="549"/>
      <c r="AV126" s="549"/>
      <c r="AW126" s="549"/>
      <c r="AX126" s="549"/>
      <c r="AY126" s="549"/>
      <c r="AZ126" s="549"/>
      <c r="BA126" s="549"/>
      <c r="BB126" s="549"/>
      <c r="BC126" s="549"/>
      <c r="BD126" s="549"/>
      <c r="BE126" s="549"/>
      <c r="BF126" s="549"/>
      <c r="BG126" s="549"/>
      <c r="BH126" s="549"/>
      <c r="BI126" s="549"/>
    </row>
    <row r="127" spans="16:61" s="254" customFormat="1" ht="9.9">
      <c r="P127" s="549"/>
      <c r="Q127" s="549"/>
      <c r="R127" s="549"/>
      <c r="S127" s="549"/>
      <c r="T127" s="549"/>
      <c r="U127" s="549"/>
      <c r="V127" s="549"/>
      <c r="W127" s="549"/>
      <c r="X127" s="549"/>
      <c r="Y127" s="549"/>
      <c r="Z127" s="549"/>
      <c r="AA127" s="549"/>
      <c r="AB127" s="549"/>
      <c r="AC127" s="549"/>
      <c r="AD127" s="549"/>
      <c r="AE127" s="549"/>
      <c r="AF127" s="549"/>
      <c r="AG127" s="549"/>
      <c r="AH127" s="549"/>
      <c r="AI127" s="549"/>
      <c r="AJ127" s="549"/>
      <c r="AK127" s="549"/>
      <c r="AL127" s="549"/>
      <c r="AM127" s="549"/>
      <c r="AN127" s="549"/>
      <c r="AO127" s="549"/>
      <c r="AP127" s="549"/>
      <c r="AQ127" s="549"/>
      <c r="AR127" s="549"/>
      <c r="AS127" s="549"/>
      <c r="AT127" s="549"/>
      <c r="AU127" s="549"/>
      <c r="AV127" s="549"/>
      <c r="AW127" s="549"/>
      <c r="AX127" s="549"/>
      <c r="AY127" s="549"/>
      <c r="AZ127" s="549"/>
      <c r="BA127" s="549"/>
      <c r="BB127" s="549"/>
      <c r="BC127" s="549"/>
      <c r="BD127" s="549"/>
      <c r="BE127" s="549"/>
      <c r="BF127" s="549"/>
      <c r="BG127" s="549"/>
      <c r="BH127" s="549"/>
      <c r="BI127" s="549"/>
    </row>
    <row r="128" spans="16:61" s="254" customFormat="1" ht="9.9">
      <c r="P128" s="549"/>
      <c r="Q128" s="549"/>
      <c r="R128" s="549"/>
      <c r="S128" s="549"/>
      <c r="T128" s="549"/>
      <c r="U128" s="549"/>
      <c r="V128" s="549"/>
      <c r="W128" s="549"/>
      <c r="X128" s="549"/>
      <c r="Y128" s="549"/>
      <c r="Z128" s="549"/>
      <c r="AA128" s="549"/>
      <c r="AB128" s="549"/>
      <c r="AC128" s="549"/>
      <c r="AD128" s="549"/>
      <c r="AE128" s="549"/>
      <c r="AF128" s="549"/>
      <c r="AG128" s="549"/>
      <c r="AH128" s="549"/>
      <c r="AI128" s="549"/>
      <c r="AJ128" s="549"/>
      <c r="AK128" s="549"/>
      <c r="AL128" s="549"/>
      <c r="AM128" s="549"/>
      <c r="AN128" s="549"/>
      <c r="AO128" s="549"/>
      <c r="AP128" s="549"/>
      <c r="AQ128" s="549"/>
      <c r="AR128" s="549"/>
      <c r="AS128" s="549"/>
      <c r="AT128" s="549"/>
      <c r="AU128" s="549"/>
      <c r="AV128" s="549"/>
      <c r="AW128" s="549"/>
      <c r="AX128" s="549"/>
      <c r="AY128" s="549"/>
      <c r="AZ128" s="549"/>
      <c r="BA128" s="549"/>
      <c r="BB128" s="549"/>
      <c r="BC128" s="549"/>
      <c r="BD128" s="549"/>
      <c r="BE128" s="549"/>
      <c r="BF128" s="549"/>
      <c r="BG128" s="549"/>
      <c r="BH128" s="549"/>
      <c r="BI128" s="549"/>
    </row>
    <row r="129" spans="16:61" s="254" customFormat="1" ht="9.9">
      <c r="P129" s="549"/>
      <c r="Q129" s="549"/>
      <c r="R129" s="549"/>
      <c r="S129" s="549"/>
      <c r="T129" s="549"/>
      <c r="U129" s="549"/>
      <c r="V129" s="549"/>
      <c r="W129" s="549"/>
      <c r="X129" s="549"/>
      <c r="Y129" s="549"/>
      <c r="Z129" s="549"/>
      <c r="AA129" s="549"/>
      <c r="AB129" s="549"/>
      <c r="AC129" s="549"/>
      <c r="AD129" s="549"/>
      <c r="AE129" s="549"/>
      <c r="AF129" s="549"/>
      <c r="AG129" s="549"/>
      <c r="AH129" s="549"/>
      <c r="AI129" s="549"/>
      <c r="AJ129" s="549"/>
      <c r="AK129" s="549"/>
      <c r="AL129" s="549"/>
      <c r="AM129" s="549"/>
      <c r="AN129" s="549"/>
      <c r="AO129" s="549"/>
      <c r="AP129" s="549"/>
      <c r="AQ129" s="549"/>
      <c r="AR129" s="549"/>
      <c r="AS129" s="549"/>
      <c r="AT129" s="549"/>
      <c r="AU129" s="549"/>
      <c r="AV129" s="549"/>
      <c r="AW129" s="549"/>
      <c r="AX129" s="549"/>
      <c r="AY129" s="549"/>
      <c r="AZ129" s="549"/>
      <c r="BA129" s="549"/>
      <c r="BB129" s="549"/>
      <c r="BC129" s="549"/>
      <c r="BD129" s="549"/>
      <c r="BE129" s="549"/>
      <c r="BF129" s="549"/>
      <c r="BG129" s="549"/>
      <c r="BH129" s="549"/>
      <c r="BI129" s="549"/>
    </row>
    <row r="130" spans="16:61" s="254" customFormat="1" ht="9.9">
      <c r="P130" s="549"/>
      <c r="Q130" s="549"/>
      <c r="R130" s="549"/>
      <c r="S130" s="549"/>
      <c r="T130" s="549"/>
      <c r="U130" s="549"/>
      <c r="V130" s="549"/>
      <c r="W130" s="549"/>
      <c r="X130" s="549"/>
      <c r="Y130" s="549"/>
      <c r="Z130" s="549"/>
      <c r="AA130" s="549"/>
      <c r="AB130" s="549"/>
      <c r="AC130" s="549"/>
      <c r="AD130" s="549"/>
      <c r="AE130" s="549"/>
      <c r="AF130" s="549"/>
      <c r="AG130" s="549"/>
      <c r="AH130" s="549"/>
      <c r="AI130" s="549"/>
      <c r="AJ130" s="549"/>
      <c r="AK130" s="549"/>
      <c r="AL130" s="549"/>
      <c r="AM130" s="549"/>
      <c r="AN130" s="549"/>
      <c r="AO130" s="549"/>
      <c r="AP130" s="549"/>
      <c r="AQ130" s="549"/>
      <c r="AR130" s="549"/>
      <c r="AS130" s="549"/>
      <c r="AT130" s="549"/>
      <c r="AU130" s="549"/>
      <c r="AV130" s="549"/>
      <c r="AW130" s="549"/>
      <c r="AX130" s="549"/>
      <c r="AY130" s="549"/>
      <c r="AZ130" s="549"/>
      <c r="BA130" s="549"/>
      <c r="BB130" s="549"/>
      <c r="BC130" s="549"/>
      <c r="BD130" s="549"/>
      <c r="BE130" s="549"/>
      <c r="BF130" s="549"/>
      <c r="BG130" s="549"/>
      <c r="BH130" s="549"/>
      <c r="BI130" s="549"/>
    </row>
    <row r="131" spans="16:61" s="254" customFormat="1" ht="9.9">
      <c r="P131" s="549"/>
      <c r="Q131" s="549"/>
      <c r="R131" s="549"/>
      <c r="S131" s="549"/>
      <c r="T131" s="549"/>
      <c r="U131" s="549"/>
      <c r="V131" s="549"/>
      <c r="W131" s="549"/>
      <c r="X131" s="549"/>
      <c r="Y131" s="549"/>
      <c r="Z131" s="549"/>
      <c r="AA131" s="549"/>
      <c r="AB131" s="549"/>
      <c r="AC131" s="549"/>
      <c r="AD131" s="549"/>
      <c r="AE131" s="549"/>
      <c r="AF131" s="549"/>
      <c r="AG131" s="549"/>
      <c r="AH131" s="549"/>
      <c r="AI131" s="549"/>
      <c r="AJ131" s="549"/>
      <c r="AK131" s="549"/>
      <c r="AL131" s="549"/>
      <c r="AM131" s="549"/>
      <c r="AN131" s="549"/>
      <c r="AO131" s="549"/>
      <c r="AP131" s="549"/>
      <c r="AQ131" s="549"/>
      <c r="AR131" s="549"/>
      <c r="AS131" s="549"/>
      <c r="AT131" s="549"/>
      <c r="AU131" s="549"/>
      <c r="AV131" s="549"/>
      <c r="AW131" s="549"/>
      <c r="AX131" s="549"/>
      <c r="AY131" s="549"/>
      <c r="AZ131" s="549"/>
      <c r="BA131" s="549"/>
      <c r="BB131" s="549"/>
      <c r="BC131" s="549"/>
      <c r="BD131" s="549"/>
      <c r="BE131" s="549"/>
      <c r="BF131" s="549"/>
      <c r="BG131" s="549"/>
      <c r="BH131" s="549"/>
      <c r="BI131" s="549"/>
    </row>
    <row r="132" spans="16:61" s="254" customFormat="1" ht="9.9">
      <c r="P132" s="549"/>
      <c r="Q132" s="549"/>
      <c r="R132" s="549"/>
      <c r="S132" s="549"/>
      <c r="T132" s="549"/>
      <c r="U132" s="549"/>
      <c r="V132" s="549"/>
      <c r="W132" s="549"/>
      <c r="X132" s="549"/>
      <c r="Y132" s="549"/>
      <c r="Z132" s="549"/>
      <c r="AA132" s="549"/>
      <c r="AB132" s="549"/>
      <c r="AC132" s="549"/>
      <c r="AD132" s="549"/>
      <c r="AE132" s="549"/>
      <c r="AF132" s="549"/>
      <c r="AG132" s="549"/>
      <c r="AH132" s="549"/>
      <c r="AI132" s="549"/>
      <c r="AJ132" s="549"/>
      <c r="AK132" s="549"/>
      <c r="AL132" s="549"/>
      <c r="AM132" s="549"/>
      <c r="AN132" s="549"/>
      <c r="AO132" s="549"/>
      <c r="AP132" s="549"/>
      <c r="AQ132" s="549"/>
      <c r="AR132" s="549"/>
      <c r="AS132" s="549"/>
      <c r="AT132" s="549"/>
      <c r="AU132" s="549"/>
      <c r="AV132" s="549"/>
      <c r="AW132" s="549"/>
      <c r="AX132" s="549"/>
      <c r="AY132" s="549"/>
      <c r="AZ132" s="549"/>
      <c r="BA132" s="549"/>
      <c r="BB132" s="549"/>
      <c r="BC132" s="549"/>
      <c r="BD132" s="549"/>
      <c r="BE132" s="549"/>
      <c r="BF132" s="549"/>
      <c r="BG132" s="549"/>
      <c r="BH132" s="549"/>
      <c r="BI132" s="549"/>
    </row>
    <row r="133" spans="16:61" s="254" customFormat="1" ht="9.9">
      <c r="P133" s="549"/>
      <c r="Q133" s="549"/>
      <c r="R133" s="549"/>
      <c r="S133" s="549"/>
      <c r="T133" s="549"/>
      <c r="U133" s="549"/>
      <c r="V133" s="549"/>
      <c r="W133" s="549"/>
      <c r="X133" s="549"/>
      <c r="Y133" s="549"/>
      <c r="Z133" s="549"/>
      <c r="AA133" s="549"/>
      <c r="AB133" s="549"/>
      <c r="AC133" s="549"/>
      <c r="AD133" s="549"/>
      <c r="AE133" s="549"/>
      <c r="AF133" s="549"/>
      <c r="AG133" s="549"/>
      <c r="AH133" s="549"/>
      <c r="AI133" s="549"/>
      <c r="AJ133" s="549"/>
      <c r="AK133" s="549"/>
      <c r="AL133" s="549"/>
      <c r="AM133" s="549"/>
      <c r="AN133" s="549"/>
      <c r="AO133" s="549"/>
      <c r="AP133" s="549"/>
      <c r="AQ133" s="549"/>
      <c r="AR133" s="549"/>
      <c r="AS133" s="549"/>
      <c r="AT133" s="549"/>
      <c r="AU133" s="549"/>
      <c r="AV133" s="549"/>
      <c r="AW133" s="549"/>
      <c r="AX133" s="549"/>
      <c r="AY133" s="549"/>
      <c r="AZ133" s="549"/>
      <c r="BA133" s="549"/>
      <c r="BB133" s="549"/>
      <c r="BC133" s="549"/>
      <c r="BD133" s="549"/>
      <c r="BE133" s="549"/>
      <c r="BF133" s="549"/>
      <c r="BG133" s="549"/>
      <c r="BH133" s="549"/>
      <c r="BI133" s="549"/>
    </row>
    <row r="134" spans="16:61" s="254" customFormat="1" ht="9.9">
      <c r="P134" s="549"/>
      <c r="Q134" s="549"/>
      <c r="R134" s="549"/>
      <c r="S134" s="549"/>
      <c r="T134" s="549"/>
      <c r="U134" s="549"/>
      <c r="V134" s="549"/>
      <c r="W134" s="549"/>
      <c r="X134" s="549"/>
      <c r="Y134" s="549"/>
      <c r="Z134" s="549"/>
      <c r="AA134" s="549"/>
      <c r="AB134" s="549"/>
      <c r="AC134" s="549"/>
      <c r="AD134" s="549"/>
      <c r="AE134" s="549"/>
      <c r="AF134" s="549"/>
      <c r="AG134" s="549"/>
      <c r="AH134" s="549"/>
      <c r="AI134" s="549"/>
      <c r="AJ134" s="549"/>
      <c r="AK134" s="549"/>
      <c r="AL134" s="549"/>
      <c r="AM134" s="549"/>
      <c r="AN134" s="549"/>
      <c r="AO134" s="549"/>
      <c r="AP134" s="549"/>
      <c r="AQ134" s="549"/>
      <c r="AR134" s="549"/>
      <c r="AS134" s="549"/>
      <c r="AT134" s="549"/>
      <c r="AU134" s="549"/>
      <c r="AV134" s="549"/>
      <c r="AW134" s="549"/>
      <c r="AX134" s="549"/>
      <c r="AY134" s="549"/>
      <c r="AZ134" s="549"/>
      <c r="BA134" s="549"/>
      <c r="BB134" s="549"/>
      <c r="BC134" s="549"/>
      <c r="BD134" s="549"/>
      <c r="BE134" s="549"/>
      <c r="BF134" s="549"/>
      <c r="BG134" s="549"/>
      <c r="BH134" s="549"/>
      <c r="BI134" s="549"/>
    </row>
    <row r="135" spans="16:61" s="254" customFormat="1" ht="9.9">
      <c r="P135" s="549"/>
      <c r="Q135" s="549"/>
      <c r="R135" s="549"/>
      <c r="S135" s="549"/>
      <c r="T135" s="549"/>
      <c r="U135" s="549"/>
      <c r="V135" s="549"/>
      <c r="W135" s="549"/>
      <c r="X135" s="549"/>
      <c r="Y135" s="549"/>
      <c r="Z135" s="549"/>
      <c r="AA135" s="549"/>
      <c r="AB135" s="549"/>
      <c r="AC135" s="549"/>
      <c r="AD135" s="549"/>
      <c r="AE135" s="549"/>
      <c r="AF135" s="549"/>
      <c r="AG135" s="549"/>
      <c r="AH135" s="549"/>
      <c r="AI135" s="549"/>
      <c r="AJ135" s="549"/>
      <c r="AK135" s="549"/>
      <c r="AL135" s="549"/>
      <c r="AM135" s="549"/>
      <c r="AN135" s="549"/>
      <c r="AO135" s="549"/>
      <c r="AP135" s="549"/>
      <c r="AQ135" s="549"/>
      <c r="AR135" s="549"/>
      <c r="AS135" s="549"/>
      <c r="AT135" s="549"/>
      <c r="AU135" s="549"/>
      <c r="AV135" s="549"/>
      <c r="AW135" s="549"/>
      <c r="AX135" s="549"/>
      <c r="AY135" s="549"/>
      <c r="AZ135" s="549"/>
      <c r="BA135" s="549"/>
      <c r="BB135" s="549"/>
      <c r="BC135" s="549"/>
      <c r="BD135" s="549"/>
      <c r="BE135" s="549"/>
      <c r="BF135" s="549"/>
      <c r="BG135" s="549"/>
      <c r="BH135" s="549"/>
      <c r="BI135" s="549"/>
    </row>
    <row r="136" spans="16:61" s="254" customFormat="1" ht="9.9">
      <c r="P136" s="549"/>
      <c r="Q136" s="549"/>
      <c r="R136" s="549"/>
      <c r="S136" s="549"/>
      <c r="T136" s="549"/>
      <c r="U136" s="549"/>
      <c r="V136" s="549"/>
      <c r="W136" s="549"/>
      <c r="X136" s="549"/>
      <c r="Y136" s="549"/>
      <c r="Z136" s="549"/>
      <c r="AA136" s="549"/>
      <c r="AB136" s="549"/>
      <c r="AC136" s="549"/>
      <c r="AD136" s="549"/>
      <c r="AE136" s="549"/>
      <c r="AF136" s="549"/>
      <c r="AG136" s="549"/>
      <c r="AH136" s="549"/>
      <c r="AI136" s="549"/>
      <c r="AJ136" s="549"/>
      <c r="AK136" s="549"/>
      <c r="AL136" s="549"/>
      <c r="AM136" s="549"/>
      <c r="AN136" s="549"/>
      <c r="AO136" s="549"/>
      <c r="AP136" s="549"/>
      <c r="AQ136" s="549"/>
      <c r="AR136" s="549"/>
      <c r="AS136" s="549"/>
      <c r="AT136" s="549"/>
      <c r="AU136" s="549"/>
      <c r="AV136" s="549"/>
      <c r="AW136" s="549"/>
      <c r="AX136" s="549"/>
      <c r="AY136" s="549"/>
      <c r="AZ136" s="549"/>
      <c r="BA136" s="549"/>
      <c r="BB136" s="549"/>
      <c r="BC136" s="549"/>
      <c r="BD136" s="549"/>
      <c r="BE136" s="549"/>
      <c r="BF136" s="549"/>
      <c r="BG136" s="549"/>
      <c r="BH136" s="549"/>
      <c r="BI136" s="549"/>
    </row>
    <row r="137" spans="16:61" s="254" customFormat="1" ht="9.9">
      <c r="P137" s="549"/>
      <c r="Q137" s="549"/>
      <c r="R137" s="549"/>
      <c r="S137" s="549"/>
      <c r="T137" s="549"/>
      <c r="U137" s="549"/>
      <c r="V137" s="549"/>
      <c r="W137" s="549"/>
      <c r="X137" s="549"/>
      <c r="Y137" s="549"/>
      <c r="Z137" s="549"/>
      <c r="AA137" s="549"/>
      <c r="AB137" s="549"/>
      <c r="AC137" s="549"/>
      <c r="AD137" s="549"/>
      <c r="AE137" s="549"/>
      <c r="AF137" s="549"/>
      <c r="AG137" s="549"/>
      <c r="AH137" s="549"/>
      <c r="AI137" s="549"/>
      <c r="AJ137" s="549"/>
      <c r="AK137" s="549"/>
      <c r="AL137" s="549"/>
      <c r="AM137" s="549"/>
      <c r="AN137" s="549"/>
      <c r="AO137" s="549"/>
      <c r="AP137" s="549"/>
      <c r="AQ137" s="549"/>
      <c r="AR137" s="549"/>
      <c r="AS137" s="549"/>
      <c r="AT137" s="549"/>
      <c r="AU137" s="549"/>
      <c r="AV137" s="549"/>
      <c r="AW137" s="549"/>
      <c r="AX137" s="549"/>
      <c r="AY137" s="549"/>
      <c r="AZ137" s="549"/>
      <c r="BA137" s="549"/>
      <c r="BB137" s="549"/>
      <c r="BC137" s="549"/>
      <c r="BD137" s="549"/>
      <c r="BE137" s="549"/>
      <c r="BF137" s="549"/>
      <c r="BG137" s="549"/>
      <c r="BH137" s="549"/>
      <c r="BI137" s="549"/>
    </row>
    <row r="138" spans="16:61" s="254" customFormat="1" ht="9.9">
      <c r="P138" s="549"/>
      <c r="Q138" s="549"/>
      <c r="R138" s="549"/>
      <c r="S138" s="549"/>
      <c r="T138" s="549"/>
      <c r="U138" s="549"/>
      <c r="V138" s="549"/>
      <c r="W138" s="549"/>
      <c r="X138" s="549"/>
      <c r="Y138" s="549"/>
      <c r="Z138" s="549"/>
      <c r="AA138" s="549"/>
      <c r="AB138" s="549"/>
      <c r="AC138" s="549"/>
      <c r="AD138" s="549"/>
      <c r="AE138" s="549"/>
      <c r="AF138" s="549"/>
      <c r="AG138" s="549"/>
      <c r="AH138" s="549"/>
      <c r="AI138" s="549"/>
      <c r="AJ138" s="549"/>
      <c r="AK138" s="549"/>
      <c r="AL138" s="549"/>
      <c r="AM138" s="549"/>
      <c r="AN138" s="549"/>
      <c r="AO138" s="549"/>
      <c r="AP138" s="549"/>
      <c r="AQ138" s="549"/>
      <c r="AR138" s="549"/>
      <c r="AS138" s="549"/>
      <c r="AT138" s="549"/>
      <c r="AU138" s="549"/>
      <c r="AV138" s="549"/>
      <c r="AW138" s="549"/>
      <c r="AX138" s="549"/>
      <c r="AY138" s="549"/>
      <c r="AZ138" s="549"/>
      <c r="BA138" s="549"/>
      <c r="BB138" s="549"/>
      <c r="BC138" s="549"/>
      <c r="BD138" s="549"/>
      <c r="BE138" s="549"/>
      <c r="BF138" s="549"/>
      <c r="BG138" s="549"/>
      <c r="BH138" s="549"/>
      <c r="BI138" s="549"/>
    </row>
    <row r="139" spans="16:61" s="254" customFormat="1" ht="9.9">
      <c r="P139" s="549"/>
      <c r="Q139" s="549"/>
      <c r="R139" s="549"/>
      <c r="S139" s="549"/>
      <c r="T139" s="549"/>
      <c r="U139" s="549"/>
      <c r="V139" s="549"/>
      <c r="W139" s="549"/>
      <c r="X139" s="549"/>
      <c r="Y139" s="549"/>
      <c r="Z139" s="549"/>
      <c r="AA139" s="549"/>
      <c r="AB139" s="549"/>
      <c r="AC139" s="549"/>
      <c r="AD139" s="549"/>
      <c r="AE139" s="549"/>
      <c r="AF139" s="549"/>
      <c r="AG139" s="549"/>
      <c r="AH139" s="549"/>
      <c r="AI139" s="549"/>
      <c r="AJ139" s="549"/>
      <c r="AK139" s="549"/>
      <c r="AL139" s="549"/>
      <c r="AM139" s="549"/>
      <c r="AN139" s="549"/>
      <c r="AO139" s="549"/>
      <c r="AP139" s="549"/>
      <c r="AQ139" s="549"/>
      <c r="AR139" s="549"/>
      <c r="AS139" s="549"/>
      <c r="AT139" s="549"/>
      <c r="AU139" s="549"/>
      <c r="AV139" s="549"/>
      <c r="AW139" s="549"/>
      <c r="AX139" s="549"/>
      <c r="AY139" s="549"/>
      <c r="AZ139" s="549"/>
      <c r="BA139" s="549"/>
      <c r="BB139" s="549"/>
      <c r="BC139" s="549"/>
      <c r="BD139" s="549"/>
      <c r="BE139" s="549"/>
      <c r="BF139" s="549"/>
      <c r="BG139" s="549"/>
      <c r="BH139" s="549"/>
      <c r="BI139" s="549"/>
    </row>
    <row r="140" spans="16:61" s="254" customFormat="1" ht="9.9">
      <c r="P140" s="549"/>
      <c r="Q140" s="549"/>
      <c r="R140" s="549"/>
      <c r="S140" s="549"/>
      <c r="T140" s="549"/>
      <c r="U140" s="549"/>
      <c r="V140" s="549"/>
      <c r="W140" s="549"/>
      <c r="X140" s="549"/>
      <c r="Y140" s="549"/>
      <c r="Z140" s="549"/>
      <c r="AA140" s="549"/>
      <c r="AB140" s="549"/>
      <c r="AC140" s="549"/>
      <c r="AD140" s="549"/>
      <c r="AE140" s="549"/>
      <c r="AF140" s="549"/>
      <c r="AG140" s="549"/>
      <c r="AH140" s="549"/>
      <c r="AI140" s="549"/>
      <c r="AJ140" s="549"/>
      <c r="AK140" s="549"/>
      <c r="AL140" s="549"/>
      <c r="AM140" s="549"/>
      <c r="AN140" s="549"/>
      <c r="AO140" s="549"/>
      <c r="AP140" s="549"/>
      <c r="AQ140" s="549"/>
      <c r="AR140" s="549"/>
      <c r="AS140" s="549"/>
      <c r="AT140" s="549"/>
      <c r="AU140" s="549"/>
      <c r="AV140" s="549"/>
      <c r="AW140" s="549"/>
      <c r="AX140" s="549"/>
      <c r="AY140" s="549"/>
      <c r="AZ140" s="549"/>
      <c r="BA140" s="549"/>
      <c r="BB140" s="549"/>
      <c r="BC140" s="549"/>
      <c r="BD140" s="549"/>
      <c r="BE140" s="549"/>
      <c r="BF140" s="549"/>
      <c r="BG140" s="549"/>
      <c r="BH140" s="549"/>
      <c r="BI140" s="549"/>
    </row>
    <row r="141" spans="16:61" s="254" customFormat="1" ht="9.9">
      <c r="P141" s="549"/>
      <c r="Q141" s="549"/>
      <c r="R141" s="549"/>
      <c r="S141" s="549"/>
      <c r="T141" s="549"/>
      <c r="U141" s="549"/>
      <c r="V141" s="549"/>
      <c r="W141" s="549"/>
      <c r="X141" s="549"/>
      <c r="Y141" s="549"/>
      <c r="Z141" s="549"/>
      <c r="AA141" s="549"/>
      <c r="AB141" s="549"/>
      <c r="AC141" s="549"/>
      <c r="AD141" s="549"/>
      <c r="AE141" s="549"/>
      <c r="AF141" s="549"/>
      <c r="AG141" s="549"/>
      <c r="AH141" s="549"/>
      <c r="AI141" s="549"/>
      <c r="AJ141" s="549"/>
      <c r="AK141" s="549"/>
      <c r="AL141" s="549"/>
      <c r="AM141" s="549"/>
      <c r="AN141" s="549"/>
      <c r="AO141" s="549"/>
      <c r="AP141" s="549"/>
      <c r="AQ141" s="549"/>
      <c r="AR141" s="549"/>
      <c r="AS141" s="549"/>
      <c r="AT141" s="549"/>
      <c r="AU141" s="549"/>
      <c r="AV141" s="549"/>
      <c r="AW141" s="549"/>
      <c r="AX141" s="549"/>
      <c r="AY141" s="549"/>
      <c r="AZ141" s="549"/>
      <c r="BA141" s="549"/>
      <c r="BB141" s="549"/>
      <c r="BC141" s="549"/>
      <c r="BD141" s="549"/>
      <c r="BE141" s="549"/>
      <c r="BF141" s="549"/>
      <c r="BG141" s="549"/>
      <c r="BH141" s="549"/>
      <c r="BI141" s="549"/>
    </row>
    <row r="142" spans="16:61" s="254" customFormat="1" ht="9.9">
      <c r="P142" s="549"/>
      <c r="Q142" s="549"/>
      <c r="R142" s="549"/>
      <c r="S142" s="549"/>
      <c r="T142" s="549"/>
      <c r="U142" s="549"/>
      <c r="V142" s="549"/>
      <c r="W142" s="549"/>
      <c r="X142" s="549"/>
      <c r="Y142" s="549"/>
      <c r="Z142" s="549"/>
      <c r="AA142" s="549"/>
      <c r="AB142" s="549"/>
      <c r="AC142" s="549"/>
      <c r="AD142" s="549"/>
      <c r="AE142" s="549"/>
      <c r="AF142" s="549"/>
      <c r="AG142" s="549"/>
      <c r="AH142" s="549"/>
      <c r="AI142" s="549"/>
      <c r="AJ142" s="549"/>
      <c r="AK142" s="549"/>
      <c r="AL142" s="549"/>
      <c r="AM142" s="549"/>
      <c r="AN142" s="549"/>
      <c r="AO142" s="549"/>
      <c r="AP142" s="549"/>
      <c r="AQ142" s="549"/>
      <c r="AR142" s="549"/>
      <c r="AS142" s="549"/>
      <c r="AT142" s="549"/>
      <c r="AU142" s="549"/>
      <c r="AV142" s="549"/>
      <c r="AW142" s="549"/>
      <c r="AX142" s="549"/>
      <c r="AY142" s="549"/>
      <c r="AZ142" s="549"/>
      <c r="BA142" s="549"/>
      <c r="BB142" s="549"/>
      <c r="BC142" s="549"/>
      <c r="BD142" s="549"/>
      <c r="BE142" s="549"/>
      <c r="BF142" s="549"/>
      <c r="BG142" s="549"/>
      <c r="BH142" s="549"/>
      <c r="BI142" s="549"/>
    </row>
    <row r="143" spans="16:61" s="254" customFormat="1" ht="9.9">
      <c r="P143" s="549"/>
      <c r="Q143" s="549"/>
      <c r="R143" s="549"/>
      <c r="S143" s="549"/>
      <c r="T143" s="549"/>
      <c r="U143" s="549"/>
      <c r="V143" s="549"/>
      <c r="W143" s="549"/>
      <c r="X143" s="549"/>
      <c r="Y143" s="549"/>
      <c r="Z143" s="549"/>
      <c r="AA143" s="549"/>
      <c r="AB143" s="549"/>
      <c r="AC143" s="549"/>
      <c r="AD143" s="549"/>
      <c r="AE143" s="549"/>
      <c r="AF143" s="549"/>
      <c r="AG143" s="549"/>
      <c r="AH143" s="549"/>
      <c r="AI143" s="549"/>
      <c r="AJ143" s="549"/>
      <c r="AK143" s="549"/>
      <c r="AL143" s="549"/>
      <c r="AM143" s="549"/>
      <c r="AN143" s="549"/>
      <c r="AO143" s="549"/>
      <c r="AP143" s="549"/>
      <c r="AQ143" s="549"/>
      <c r="AR143" s="549"/>
      <c r="AS143" s="549"/>
      <c r="AT143" s="549"/>
      <c r="AU143" s="549"/>
      <c r="AV143" s="549"/>
      <c r="AW143" s="549"/>
      <c r="AX143" s="549"/>
      <c r="AY143" s="549"/>
      <c r="AZ143" s="549"/>
      <c r="BA143" s="549"/>
      <c r="BB143" s="549"/>
      <c r="BC143" s="549"/>
      <c r="BD143" s="549"/>
      <c r="BE143" s="549"/>
      <c r="BF143" s="549"/>
      <c r="BG143" s="549"/>
      <c r="BH143" s="549"/>
      <c r="BI143" s="549"/>
    </row>
    <row r="144" spans="16:61" s="254" customFormat="1" ht="9.9">
      <c r="P144" s="549"/>
      <c r="Q144" s="549"/>
      <c r="R144" s="549"/>
      <c r="S144" s="549"/>
      <c r="T144" s="549"/>
      <c r="U144" s="549"/>
      <c r="V144" s="549"/>
      <c r="W144" s="549"/>
      <c r="X144" s="549"/>
      <c r="Y144" s="549"/>
      <c r="Z144" s="549"/>
      <c r="AA144" s="549"/>
      <c r="AB144" s="549"/>
      <c r="AC144" s="549"/>
      <c r="AD144" s="549"/>
      <c r="AE144" s="549"/>
      <c r="AF144" s="549"/>
      <c r="AG144" s="549"/>
      <c r="AH144" s="549"/>
      <c r="AI144" s="549"/>
      <c r="AJ144" s="549"/>
      <c r="AK144" s="549"/>
      <c r="AL144" s="549"/>
      <c r="AM144" s="549"/>
      <c r="AN144" s="549"/>
      <c r="AO144" s="549"/>
      <c r="AP144" s="549"/>
      <c r="AQ144" s="549"/>
      <c r="AR144" s="549"/>
      <c r="AS144" s="549"/>
      <c r="AT144" s="549"/>
      <c r="AU144" s="549"/>
      <c r="AV144" s="549"/>
      <c r="AW144" s="549"/>
      <c r="AX144" s="549"/>
      <c r="AY144" s="549"/>
      <c r="AZ144" s="549"/>
      <c r="BA144" s="549"/>
      <c r="BB144" s="549"/>
      <c r="BC144" s="549"/>
      <c r="BD144" s="549"/>
      <c r="BE144" s="549"/>
      <c r="BF144" s="549"/>
      <c r="BG144" s="549"/>
      <c r="BH144" s="549"/>
      <c r="BI144" s="549"/>
    </row>
    <row r="145" spans="16:61" s="254" customFormat="1" ht="9.9">
      <c r="P145" s="549"/>
      <c r="Q145" s="549"/>
      <c r="R145" s="549"/>
      <c r="S145" s="549"/>
      <c r="T145" s="549"/>
      <c r="U145" s="549"/>
      <c r="V145" s="549"/>
      <c r="W145" s="549"/>
      <c r="X145" s="549"/>
      <c r="Y145" s="549"/>
      <c r="Z145" s="549"/>
      <c r="AA145" s="549"/>
      <c r="AB145" s="549"/>
      <c r="AC145" s="549"/>
      <c r="AD145" s="549"/>
      <c r="AE145" s="549"/>
      <c r="AF145" s="549"/>
      <c r="AG145" s="549"/>
      <c r="AH145" s="549"/>
      <c r="AI145" s="549"/>
      <c r="AJ145" s="549"/>
      <c r="AK145" s="549"/>
      <c r="AL145" s="549"/>
      <c r="AM145" s="549"/>
      <c r="AN145" s="549"/>
      <c r="AO145" s="549"/>
      <c r="AP145" s="549"/>
      <c r="AQ145" s="549"/>
      <c r="AR145" s="549"/>
      <c r="AS145" s="549"/>
      <c r="AT145" s="549"/>
      <c r="AU145" s="549"/>
      <c r="AV145" s="549"/>
      <c r="AW145" s="549"/>
      <c r="AX145" s="549"/>
      <c r="AY145" s="549"/>
      <c r="AZ145" s="549"/>
      <c r="BA145" s="549"/>
      <c r="BB145" s="549"/>
      <c r="BC145" s="549"/>
      <c r="BD145" s="549"/>
      <c r="BE145" s="549"/>
      <c r="BF145" s="549"/>
      <c r="BG145" s="549"/>
      <c r="BH145" s="549"/>
      <c r="BI145" s="549"/>
    </row>
    <row r="146" spans="16:61" s="254" customFormat="1" ht="9.9">
      <c r="P146" s="549"/>
      <c r="Q146" s="549"/>
      <c r="R146" s="549"/>
      <c r="S146" s="549"/>
      <c r="T146" s="549"/>
      <c r="U146" s="549"/>
      <c r="V146" s="549"/>
      <c r="W146" s="549"/>
      <c r="X146" s="549"/>
      <c r="Y146" s="549"/>
      <c r="Z146" s="549"/>
      <c r="AA146" s="549"/>
      <c r="AB146" s="549"/>
      <c r="AC146" s="549"/>
      <c r="AD146" s="549"/>
      <c r="AE146" s="549"/>
      <c r="AF146" s="549"/>
      <c r="AG146" s="549"/>
      <c r="AH146" s="549"/>
      <c r="AI146" s="549"/>
      <c r="AJ146" s="549"/>
      <c r="AK146" s="549"/>
      <c r="AL146" s="549"/>
      <c r="AM146" s="549"/>
      <c r="AN146" s="549"/>
      <c r="AO146" s="549"/>
      <c r="AP146" s="549"/>
      <c r="AQ146" s="549"/>
      <c r="AR146" s="549"/>
      <c r="AS146" s="549"/>
      <c r="AT146" s="549"/>
      <c r="AU146" s="549"/>
      <c r="AV146" s="549"/>
      <c r="AW146" s="549"/>
      <c r="AX146" s="549"/>
      <c r="AY146" s="549"/>
      <c r="AZ146" s="549"/>
      <c r="BA146" s="549"/>
      <c r="BB146" s="549"/>
      <c r="BC146" s="549"/>
      <c r="BD146" s="549"/>
      <c r="BE146" s="549"/>
      <c r="BF146" s="549"/>
      <c r="BG146" s="549"/>
      <c r="BH146" s="549"/>
      <c r="BI146" s="549"/>
    </row>
    <row r="147" spans="16:61" s="254" customFormat="1" ht="9.9">
      <c r="P147" s="549"/>
      <c r="Q147" s="549"/>
      <c r="R147" s="549"/>
      <c r="S147" s="549"/>
      <c r="T147" s="549"/>
      <c r="U147" s="549"/>
      <c r="V147" s="549"/>
      <c r="W147" s="549"/>
      <c r="X147" s="549"/>
      <c r="Y147" s="549"/>
      <c r="Z147" s="549"/>
      <c r="AA147" s="549"/>
      <c r="AB147" s="549"/>
      <c r="AC147" s="549"/>
      <c r="AD147" s="549"/>
      <c r="AE147" s="549"/>
      <c r="AF147" s="549"/>
      <c r="AG147" s="549"/>
      <c r="AH147" s="549"/>
      <c r="AI147" s="549"/>
      <c r="AJ147" s="549"/>
      <c r="AK147" s="549"/>
      <c r="AL147" s="549"/>
      <c r="AM147" s="549"/>
      <c r="AN147" s="549"/>
      <c r="AO147" s="549"/>
      <c r="AP147" s="549"/>
      <c r="AQ147" s="549"/>
      <c r="AR147" s="549"/>
      <c r="AS147" s="549"/>
      <c r="AT147" s="549"/>
      <c r="AU147" s="549"/>
      <c r="AV147" s="549"/>
      <c r="AW147" s="549"/>
      <c r="AX147" s="549"/>
      <c r="AY147" s="549"/>
      <c r="AZ147" s="549"/>
      <c r="BA147" s="549"/>
      <c r="BB147" s="549"/>
      <c r="BC147" s="549"/>
      <c r="BD147" s="549"/>
      <c r="BE147" s="549"/>
      <c r="BF147" s="549"/>
      <c r="BG147" s="549"/>
      <c r="BH147" s="549"/>
      <c r="BI147" s="549"/>
    </row>
    <row r="148" spans="16:61" s="254" customFormat="1" ht="9.9">
      <c r="P148" s="549"/>
      <c r="Q148" s="549"/>
      <c r="R148" s="549"/>
      <c r="S148" s="549"/>
      <c r="T148" s="549"/>
      <c r="U148" s="549"/>
      <c r="V148" s="549"/>
      <c r="W148" s="549"/>
      <c r="X148" s="549"/>
      <c r="Y148" s="549"/>
      <c r="Z148" s="549"/>
      <c r="AA148" s="549"/>
      <c r="AB148" s="549"/>
      <c r="AC148" s="549"/>
      <c r="AD148" s="549"/>
      <c r="AE148" s="549"/>
      <c r="AF148" s="549"/>
      <c r="AG148" s="549"/>
      <c r="AH148" s="549"/>
      <c r="AI148" s="549"/>
      <c r="AJ148" s="549"/>
      <c r="AK148" s="549"/>
      <c r="AL148" s="549"/>
      <c r="AM148" s="549"/>
      <c r="AN148" s="549"/>
      <c r="AO148" s="549"/>
      <c r="AP148" s="549"/>
      <c r="AQ148" s="549"/>
      <c r="AR148" s="549"/>
      <c r="AS148" s="549"/>
      <c r="AT148" s="549"/>
      <c r="AU148" s="549"/>
      <c r="AV148" s="549"/>
      <c r="AW148" s="549"/>
      <c r="AX148" s="549"/>
      <c r="AY148" s="549"/>
      <c r="AZ148" s="549"/>
      <c r="BA148" s="549"/>
      <c r="BB148" s="549"/>
      <c r="BC148" s="549"/>
      <c r="BD148" s="549"/>
      <c r="BE148" s="549"/>
      <c r="BF148" s="549"/>
      <c r="BG148" s="549"/>
      <c r="BH148" s="549"/>
      <c r="BI148" s="549"/>
    </row>
    <row r="149" spans="16:61" s="254" customFormat="1" ht="9.9">
      <c r="P149" s="549"/>
      <c r="Q149" s="549"/>
      <c r="R149" s="549"/>
      <c r="S149" s="549"/>
      <c r="T149" s="549"/>
      <c r="U149" s="549"/>
      <c r="V149" s="549"/>
      <c r="W149" s="549"/>
      <c r="X149" s="549"/>
      <c r="Y149" s="549"/>
      <c r="Z149" s="549"/>
      <c r="AA149" s="549"/>
      <c r="AB149" s="549"/>
      <c r="AC149" s="549"/>
      <c r="AD149" s="549"/>
      <c r="AE149" s="549"/>
      <c r="AF149" s="549"/>
      <c r="AG149" s="549"/>
      <c r="AH149" s="549"/>
      <c r="AI149" s="549"/>
      <c r="AJ149" s="549"/>
      <c r="AK149" s="549"/>
      <c r="AL149" s="549"/>
      <c r="AM149" s="549"/>
      <c r="AN149" s="549"/>
      <c r="AO149" s="549"/>
      <c r="AP149" s="549"/>
      <c r="AQ149" s="549"/>
      <c r="AR149" s="549"/>
      <c r="AS149" s="549"/>
      <c r="AT149" s="549"/>
      <c r="AU149" s="549"/>
      <c r="AV149" s="549"/>
      <c r="AW149" s="549"/>
      <c r="AX149" s="549"/>
      <c r="AY149" s="549"/>
      <c r="AZ149" s="549"/>
      <c r="BA149" s="549"/>
      <c r="BB149" s="549"/>
      <c r="BC149" s="549"/>
      <c r="BD149" s="549"/>
      <c r="BE149" s="549"/>
      <c r="BF149" s="549"/>
      <c r="BG149" s="549"/>
      <c r="BH149" s="549"/>
      <c r="BI149" s="549"/>
    </row>
    <row r="150" spans="16:61" s="254" customFormat="1" ht="9.9">
      <c r="P150" s="549"/>
      <c r="Q150" s="549"/>
      <c r="R150" s="549"/>
      <c r="S150" s="549"/>
      <c r="T150" s="549"/>
      <c r="U150" s="549"/>
      <c r="V150" s="549"/>
      <c r="W150" s="549"/>
      <c r="X150" s="549"/>
      <c r="Y150" s="549"/>
      <c r="Z150" s="549"/>
      <c r="AA150" s="549"/>
      <c r="AB150" s="549"/>
      <c r="AC150" s="549"/>
      <c r="AD150" s="549"/>
      <c r="AE150" s="549"/>
      <c r="AF150" s="549"/>
      <c r="AG150" s="549"/>
      <c r="AH150" s="549"/>
      <c r="AI150" s="549"/>
      <c r="AJ150" s="549"/>
      <c r="AK150" s="549"/>
      <c r="AL150" s="549"/>
      <c r="AM150" s="549"/>
      <c r="AN150" s="549"/>
      <c r="AO150" s="549"/>
      <c r="AP150" s="549"/>
      <c r="AQ150" s="549"/>
      <c r="AR150" s="549"/>
      <c r="AS150" s="549"/>
      <c r="AT150" s="549"/>
      <c r="AU150" s="549"/>
      <c r="AV150" s="549"/>
      <c r="AW150" s="549"/>
      <c r="AX150" s="549"/>
      <c r="AY150" s="549"/>
      <c r="AZ150" s="549"/>
      <c r="BA150" s="549"/>
      <c r="BB150" s="549"/>
      <c r="BC150" s="549"/>
      <c r="BD150" s="549"/>
      <c r="BE150" s="549"/>
      <c r="BF150" s="549"/>
      <c r="BG150" s="549"/>
      <c r="BH150" s="549"/>
      <c r="BI150" s="549"/>
    </row>
    <row r="151" spans="16:61" s="254" customFormat="1" ht="9.9">
      <c r="P151" s="549"/>
      <c r="Q151" s="549"/>
      <c r="R151" s="549"/>
      <c r="S151" s="549"/>
      <c r="T151" s="549"/>
      <c r="U151" s="549"/>
      <c r="V151" s="549"/>
      <c r="W151" s="549"/>
      <c r="X151" s="549"/>
      <c r="Y151" s="549"/>
      <c r="Z151" s="549"/>
      <c r="AA151" s="549"/>
      <c r="AB151" s="549"/>
      <c r="AC151" s="549"/>
      <c r="AD151" s="549"/>
      <c r="AE151" s="549"/>
      <c r="AF151" s="549"/>
      <c r="AG151" s="549"/>
      <c r="AH151" s="549"/>
      <c r="AI151" s="549"/>
      <c r="AJ151" s="549"/>
      <c r="AK151" s="549"/>
      <c r="AL151" s="549"/>
      <c r="AM151" s="549"/>
      <c r="AN151" s="549"/>
      <c r="AO151" s="549"/>
      <c r="AP151" s="549"/>
      <c r="AQ151" s="549"/>
      <c r="AR151" s="549"/>
      <c r="AS151" s="549"/>
      <c r="AT151" s="549"/>
      <c r="AU151" s="549"/>
      <c r="AV151" s="549"/>
      <c r="AW151" s="549"/>
      <c r="AX151" s="549"/>
      <c r="AY151" s="549"/>
      <c r="AZ151" s="549"/>
      <c r="BA151" s="549"/>
      <c r="BB151" s="549"/>
      <c r="BC151" s="549"/>
      <c r="BD151" s="549"/>
      <c r="BE151" s="549"/>
      <c r="BF151" s="549"/>
      <c r="BG151" s="549"/>
      <c r="BH151" s="549"/>
      <c r="BI151" s="549"/>
    </row>
    <row r="152" spans="16:61" s="254" customFormat="1" ht="9.9">
      <c r="P152" s="549"/>
      <c r="Q152" s="549"/>
      <c r="R152" s="549"/>
      <c r="S152" s="549"/>
      <c r="T152" s="549"/>
      <c r="U152" s="549"/>
      <c r="V152" s="549"/>
      <c r="W152" s="549"/>
      <c r="X152" s="549"/>
      <c r="Y152" s="549"/>
      <c r="Z152" s="549"/>
      <c r="AA152" s="549"/>
      <c r="AB152" s="549"/>
      <c r="AC152" s="549"/>
      <c r="AD152" s="549"/>
      <c r="AE152" s="549"/>
      <c r="AF152" s="549"/>
      <c r="AG152" s="549"/>
      <c r="AH152" s="549"/>
      <c r="AI152" s="549"/>
      <c r="AJ152" s="549"/>
      <c r="AK152" s="549"/>
      <c r="AL152" s="549"/>
      <c r="AM152" s="549"/>
      <c r="AN152" s="549"/>
      <c r="AO152" s="549"/>
      <c r="AP152" s="549"/>
      <c r="AQ152" s="549"/>
      <c r="AR152" s="549"/>
      <c r="AS152" s="549"/>
      <c r="AT152" s="549"/>
      <c r="AU152" s="549"/>
      <c r="AV152" s="549"/>
      <c r="AW152" s="549"/>
      <c r="AX152" s="549"/>
      <c r="AY152" s="549"/>
      <c r="AZ152" s="549"/>
      <c r="BA152" s="549"/>
      <c r="BB152" s="549"/>
      <c r="BC152" s="549"/>
      <c r="BD152" s="549"/>
      <c r="BE152" s="549"/>
      <c r="BF152" s="549"/>
      <c r="BG152" s="549"/>
      <c r="BH152" s="549"/>
      <c r="BI152" s="549"/>
    </row>
    <row r="153" spans="16:61" s="254" customFormat="1" ht="9.9">
      <c r="P153" s="549"/>
      <c r="Q153" s="549"/>
      <c r="R153" s="549"/>
      <c r="S153" s="549"/>
      <c r="T153" s="549"/>
      <c r="U153" s="549"/>
      <c r="V153" s="549"/>
      <c r="W153" s="549"/>
      <c r="X153" s="549"/>
      <c r="Y153" s="549"/>
      <c r="Z153" s="549"/>
      <c r="AA153" s="549"/>
      <c r="AB153" s="549"/>
      <c r="AC153" s="549"/>
      <c r="AD153" s="549"/>
      <c r="AE153" s="549"/>
      <c r="AF153" s="549"/>
      <c r="AG153" s="549"/>
      <c r="AH153" s="549"/>
      <c r="AI153" s="549"/>
      <c r="AJ153" s="549"/>
      <c r="AK153" s="549"/>
      <c r="AL153" s="549"/>
      <c r="AM153" s="549"/>
      <c r="AN153" s="549"/>
      <c r="AO153" s="549"/>
      <c r="AP153" s="549"/>
      <c r="AQ153" s="549"/>
      <c r="AR153" s="549"/>
      <c r="AS153" s="549"/>
      <c r="AT153" s="549"/>
      <c r="AU153" s="549"/>
      <c r="AV153" s="549"/>
      <c r="AW153" s="549"/>
      <c r="AX153" s="549"/>
      <c r="AY153" s="549"/>
      <c r="AZ153" s="549"/>
      <c r="BA153" s="549"/>
      <c r="BB153" s="549"/>
      <c r="BC153" s="549"/>
      <c r="BD153" s="549"/>
      <c r="BE153" s="549"/>
      <c r="BF153" s="549"/>
      <c r="BG153" s="549"/>
      <c r="BH153" s="549"/>
      <c r="BI153" s="549"/>
    </row>
    <row r="154" spans="16:61" s="254" customFormat="1" ht="9.9">
      <c r="P154" s="549"/>
      <c r="Q154" s="549"/>
      <c r="R154" s="549"/>
      <c r="S154" s="549"/>
      <c r="T154" s="549"/>
      <c r="U154" s="549"/>
      <c r="V154" s="549"/>
      <c r="W154" s="549"/>
      <c r="X154" s="549"/>
      <c r="Y154" s="549"/>
      <c r="Z154" s="549"/>
      <c r="AA154" s="549"/>
      <c r="AB154" s="549"/>
      <c r="AC154" s="549"/>
      <c r="AD154" s="549"/>
      <c r="AE154" s="549"/>
      <c r="AF154" s="549"/>
      <c r="AG154" s="549"/>
      <c r="AH154" s="549"/>
      <c r="AI154" s="549"/>
      <c r="AJ154" s="549"/>
      <c r="AK154" s="549"/>
      <c r="AL154" s="549"/>
      <c r="AM154" s="549"/>
      <c r="AN154" s="549"/>
      <c r="AO154" s="549"/>
      <c r="AP154" s="549"/>
      <c r="AQ154" s="549"/>
      <c r="AR154" s="549"/>
      <c r="AS154" s="549"/>
      <c r="AT154" s="549"/>
      <c r="AU154" s="549"/>
      <c r="AV154" s="549"/>
      <c r="AW154" s="549"/>
      <c r="AX154" s="549"/>
      <c r="AY154" s="549"/>
      <c r="AZ154" s="549"/>
      <c r="BA154" s="549"/>
      <c r="BB154" s="549"/>
      <c r="BC154" s="549"/>
      <c r="BD154" s="549"/>
      <c r="BE154" s="549"/>
      <c r="BF154" s="549"/>
      <c r="BG154" s="549"/>
      <c r="BH154" s="549"/>
      <c r="BI154" s="549"/>
    </row>
    <row r="155" spans="16:61" s="254" customFormat="1" ht="9.9">
      <c r="P155" s="549"/>
      <c r="Q155" s="549"/>
      <c r="R155" s="549"/>
      <c r="S155" s="549"/>
      <c r="T155" s="549"/>
      <c r="U155" s="549"/>
      <c r="V155" s="549"/>
      <c r="W155" s="549"/>
      <c r="X155" s="549"/>
      <c r="Y155" s="549"/>
      <c r="Z155" s="549"/>
      <c r="AA155" s="549"/>
      <c r="AB155" s="549"/>
      <c r="AC155" s="549"/>
      <c r="AD155" s="549"/>
      <c r="AE155" s="549"/>
      <c r="AF155" s="549"/>
      <c r="AG155" s="549"/>
      <c r="AH155" s="549"/>
      <c r="AI155" s="549"/>
      <c r="AJ155" s="549"/>
      <c r="AK155" s="549"/>
      <c r="AL155" s="549"/>
      <c r="AM155" s="549"/>
      <c r="AN155" s="549"/>
      <c r="AO155" s="549"/>
      <c r="AP155" s="549"/>
      <c r="AQ155" s="549"/>
      <c r="AR155" s="549"/>
      <c r="AS155" s="549"/>
      <c r="AT155" s="549"/>
      <c r="AU155" s="549"/>
      <c r="AV155" s="549"/>
      <c r="AW155" s="549"/>
      <c r="AX155" s="549"/>
      <c r="AY155" s="549"/>
      <c r="AZ155" s="549"/>
      <c r="BA155" s="549"/>
      <c r="BB155" s="549"/>
      <c r="BC155" s="549"/>
      <c r="BD155" s="549"/>
      <c r="BE155" s="549"/>
      <c r="BF155" s="549"/>
      <c r="BG155" s="549"/>
      <c r="BH155" s="549"/>
      <c r="BI155" s="549"/>
    </row>
    <row r="156" spans="16:61" s="254" customFormat="1" ht="9.9">
      <c r="P156" s="549"/>
      <c r="Q156" s="549"/>
      <c r="R156" s="549"/>
      <c r="S156" s="549"/>
      <c r="T156" s="549"/>
      <c r="U156" s="549"/>
      <c r="V156" s="549"/>
      <c r="W156" s="549"/>
      <c r="X156" s="549"/>
      <c r="Y156" s="549"/>
      <c r="Z156" s="549"/>
      <c r="AA156" s="549"/>
      <c r="AB156" s="549"/>
      <c r="AC156" s="549"/>
      <c r="AD156" s="549"/>
      <c r="AE156" s="549"/>
      <c r="AF156" s="549"/>
      <c r="AG156" s="549"/>
      <c r="AH156" s="549"/>
      <c r="AI156" s="549"/>
      <c r="AJ156" s="549"/>
      <c r="AK156" s="549"/>
      <c r="AL156" s="549"/>
      <c r="AM156" s="549"/>
      <c r="AN156" s="549"/>
      <c r="AO156" s="549"/>
      <c r="AP156" s="549"/>
      <c r="AQ156" s="549"/>
      <c r="AR156" s="549"/>
      <c r="AS156" s="549"/>
      <c r="AT156" s="549"/>
      <c r="AU156" s="549"/>
      <c r="AV156" s="549"/>
      <c r="AW156" s="549"/>
      <c r="AX156" s="549"/>
      <c r="AY156" s="549"/>
      <c r="AZ156" s="549"/>
      <c r="BA156" s="549"/>
      <c r="BB156" s="549"/>
      <c r="BC156" s="549"/>
      <c r="BD156" s="549"/>
      <c r="BE156" s="549"/>
      <c r="BF156" s="549"/>
      <c r="BG156" s="549"/>
      <c r="BH156" s="549"/>
      <c r="BI156" s="549"/>
    </row>
    <row r="157" spans="16:61" s="254" customFormat="1" ht="9.9">
      <c r="P157" s="549"/>
      <c r="Q157" s="549"/>
      <c r="R157" s="549"/>
      <c r="S157" s="549"/>
      <c r="T157" s="549"/>
      <c r="U157" s="549"/>
      <c r="V157" s="549"/>
      <c r="W157" s="549"/>
      <c r="X157" s="549"/>
      <c r="Y157" s="549"/>
      <c r="Z157" s="549"/>
      <c r="AA157" s="549"/>
      <c r="AB157" s="549"/>
      <c r="AC157" s="549"/>
      <c r="AD157" s="549"/>
      <c r="AE157" s="549"/>
      <c r="AF157" s="549"/>
      <c r="AG157" s="549"/>
      <c r="AH157" s="549"/>
      <c r="AI157" s="549"/>
      <c r="AJ157" s="549"/>
      <c r="AK157" s="549"/>
      <c r="AL157" s="549"/>
      <c r="AM157" s="549"/>
      <c r="AN157" s="549"/>
      <c r="AO157" s="549"/>
      <c r="AP157" s="549"/>
      <c r="AQ157" s="549"/>
      <c r="AR157" s="549"/>
      <c r="AS157" s="549"/>
      <c r="AT157" s="549"/>
      <c r="AU157" s="549"/>
      <c r="AV157" s="549"/>
      <c r="AW157" s="549"/>
      <c r="AX157" s="549"/>
      <c r="AY157" s="549"/>
      <c r="AZ157" s="549"/>
      <c r="BA157" s="549"/>
      <c r="BB157" s="549"/>
      <c r="BC157" s="549"/>
      <c r="BD157" s="549"/>
      <c r="BE157" s="549"/>
      <c r="BF157" s="549"/>
      <c r="BG157" s="549"/>
      <c r="BH157" s="549"/>
      <c r="BI157" s="549"/>
    </row>
    <row r="158" spans="16:61" s="254" customFormat="1" ht="9.9">
      <c r="P158" s="549"/>
      <c r="Q158" s="549"/>
      <c r="R158" s="549"/>
      <c r="S158" s="549"/>
      <c r="T158" s="549"/>
      <c r="U158" s="549"/>
      <c r="V158" s="549"/>
      <c r="W158" s="549"/>
      <c r="X158" s="549"/>
      <c r="Y158" s="549"/>
      <c r="Z158" s="549"/>
      <c r="AA158" s="549"/>
      <c r="AB158" s="549"/>
      <c r="AC158" s="549"/>
      <c r="AD158" s="549"/>
      <c r="AE158" s="549"/>
      <c r="AF158" s="549"/>
      <c r="AG158" s="549"/>
      <c r="AH158" s="549"/>
      <c r="AI158" s="549"/>
      <c r="AJ158" s="549"/>
      <c r="AK158" s="549"/>
      <c r="AL158" s="549"/>
      <c r="AM158" s="549"/>
      <c r="AN158" s="549"/>
      <c r="AO158" s="549"/>
      <c r="AP158" s="549"/>
      <c r="AQ158" s="549"/>
      <c r="AR158" s="549"/>
      <c r="AS158" s="549"/>
      <c r="AT158" s="549"/>
      <c r="AU158" s="549"/>
      <c r="AV158" s="549"/>
      <c r="AW158" s="549"/>
      <c r="AX158" s="549"/>
      <c r="AY158" s="549"/>
      <c r="AZ158" s="549"/>
      <c r="BA158" s="549"/>
      <c r="BB158" s="549"/>
      <c r="BC158" s="549"/>
      <c r="BD158" s="549"/>
      <c r="BE158" s="549"/>
      <c r="BF158" s="549"/>
      <c r="BG158" s="549"/>
      <c r="BH158" s="549"/>
      <c r="BI158" s="549"/>
    </row>
    <row r="159" spans="16:61" s="254" customFormat="1" ht="9.9">
      <c r="P159" s="549"/>
      <c r="Q159" s="549"/>
      <c r="R159" s="549"/>
      <c r="S159" s="549"/>
      <c r="T159" s="549"/>
      <c r="U159" s="549"/>
      <c r="V159" s="549"/>
      <c r="W159" s="549"/>
      <c r="X159" s="549"/>
      <c r="Y159" s="549"/>
      <c r="Z159" s="549"/>
      <c r="AA159" s="549"/>
      <c r="AB159" s="549"/>
      <c r="AC159" s="549"/>
      <c r="AD159" s="549"/>
      <c r="AE159" s="549"/>
      <c r="AF159" s="549"/>
      <c r="AG159" s="549"/>
      <c r="AH159" s="549"/>
      <c r="AI159" s="549"/>
      <c r="AJ159" s="549"/>
      <c r="AK159" s="549"/>
      <c r="AL159" s="549"/>
      <c r="AM159" s="549"/>
      <c r="AN159" s="549"/>
      <c r="AO159" s="549"/>
      <c r="AP159" s="549"/>
      <c r="AQ159" s="549"/>
      <c r="AR159" s="549"/>
      <c r="AS159" s="549"/>
      <c r="AT159" s="549"/>
      <c r="AU159" s="549"/>
      <c r="AV159" s="549"/>
      <c r="AW159" s="549"/>
      <c r="AX159" s="549"/>
      <c r="AY159" s="549"/>
      <c r="AZ159" s="549"/>
      <c r="BA159" s="549"/>
      <c r="BB159" s="549"/>
      <c r="BC159" s="549"/>
      <c r="BD159" s="549"/>
      <c r="BE159" s="549"/>
      <c r="BF159" s="549"/>
      <c r="BG159" s="549"/>
      <c r="BH159" s="549"/>
      <c r="BI159" s="549"/>
    </row>
    <row r="160" spans="16:61" s="254" customFormat="1" ht="9.9">
      <c r="P160" s="549"/>
      <c r="Q160" s="549"/>
      <c r="R160" s="549"/>
      <c r="S160" s="549"/>
      <c r="T160" s="549"/>
      <c r="U160" s="549"/>
      <c r="V160" s="549"/>
      <c r="W160" s="549"/>
      <c r="X160" s="549"/>
      <c r="Y160" s="549"/>
      <c r="Z160" s="549"/>
      <c r="AA160" s="549"/>
      <c r="AB160" s="549"/>
      <c r="AC160" s="549"/>
      <c r="AD160" s="549"/>
      <c r="AE160" s="549"/>
      <c r="AF160" s="549"/>
      <c r="AG160" s="549"/>
      <c r="AH160" s="549"/>
      <c r="AI160" s="549"/>
      <c r="AJ160" s="549"/>
      <c r="AK160" s="549"/>
      <c r="AL160" s="549"/>
      <c r="AM160" s="549"/>
      <c r="AN160" s="549"/>
      <c r="AO160" s="549"/>
      <c r="AP160" s="549"/>
      <c r="AQ160" s="549"/>
      <c r="AR160" s="549"/>
      <c r="AS160" s="549"/>
      <c r="AT160" s="549"/>
      <c r="AU160" s="549"/>
      <c r="AV160" s="549"/>
      <c r="AW160" s="549"/>
      <c r="AX160" s="549"/>
      <c r="AY160" s="549"/>
      <c r="AZ160" s="549"/>
      <c r="BA160" s="549"/>
      <c r="BB160" s="549"/>
      <c r="BC160" s="549"/>
      <c r="BD160" s="549"/>
      <c r="BE160" s="549"/>
      <c r="BF160" s="549"/>
      <c r="BG160" s="549"/>
      <c r="BH160" s="549"/>
      <c r="BI160" s="549"/>
    </row>
    <row r="161" spans="16:61" s="254" customFormat="1" ht="9.9">
      <c r="P161" s="549"/>
      <c r="Q161" s="549"/>
      <c r="R161" s="549"/>
      <c r="S161" s="549"/>
      <c r="T161" s="549"/>
      <c r="U161" s="549"/>
      <c r="V161" s="549"/>
      <c r="W161" s="549"/>
      <c r="X161" s="549"/>
      <c r="Y161" s="549"/>
      <c r="Z161" s="549"/>
      <c r="AA161" s="549"/>
      <c r="AB161" s="549"/>
      <c r="AC161" s="549"/>
      <c r="AD161" s="549"/>
      <c r="AE161" s="549"/>
      <c r="AF161" s="549"/>
      <c r="AG161" s="549"/>
      <c r="AH161" s="549"/>
      <c r="AI161" s="549"/>
      <c r="AJ161" s="549"/>
      <c r="AK161" s="549"/>
      <c r="AL161" s="549"/>
      <c r="AM161" s="549"/>
      <c r="AN161" s="549"/>
      <c r="AO161" s="549"/>
      <c r="AP161" s="549"/>
      <c r="AQ161" s="549"/>
      <c r="AR161" s="549"/>
      <c r="AS161" s="549"/>
      <c r="AT161" s="549"/>
      <c r="AU161" s="549"/>
      <c r="AV161" s="549"/>
      <c r="AW161" s="549"/>
      <c r="AX161" s="549"/>
      <c r="AY161" s="549"/>
      <c r="AZ161" s="549"/>
      <c r="BA161" s="549"/>
      <c r="BB161" s="549"/>
      <c r="BC161" s="549"/>
      <c r="BD161" s="549"/>
      <c r="BE161" s="549"/>
      <c r="BF161" s="549"/>
      <c r="BG161" s="549"/>
      <c r="BH161" s="549"/>
      <c r="BI161" s="549"/>
    </row>
    <row r="162" spans="16:61" s="254" customFormat="1" ht="9.9">
      <c r="P162" s="549"/>
      <c r="Q162" s="549"/>
      <c r="R162" s="549"/>
      <c r="S162" s="549"/>
      <c r="T162" s="549"/>
      <c r="U162" s="549"/>
      <c r="V162" s="549"/>
      <c r="W162" s="549"/>
      <c r="X162" s="549"/>
      <c r="Y162" s="549"/>
      <c r="Z162" s="549"/>
      <c r="AA162" s="549"/>
      <c r="AB162" s="549"/>
      <c r="AC162" s="549"/>
      <c r="AD162" s="549"/>
      <c r="AE162" s="549"/>
      <c r="AF162" s="549"/>
      <c r="AG162" s="549"/>
      <c r="AH162" s="549"/>
      <c r="AI162" s="549"/>
      <c r="AJ162" s="549"/>
      <c r="AK162" s="549"/>
      <c r="AL162" s="549"/>
      <c r="AM162" s="549"/>
      <c r="AN162" s="549"/>
      <c r="AO162" s="549"/>
      <c r="AP162" s="549"/>
      <c r="AQ162" s="549"/>
      <c r="AR162" s="549"/>
      <c r="AS162" s="549"/>
      <c r="AT162" s="549"/>
      <c r="AU162" s="549"/>
      <c r="AV162" s="549"/>
      <c r="AW162" s="549"/>
      <c r="AX162" s="549"/>
      <c r="AY162" s="549"/>
      <c r="AZ162" s="549"/>
      <c r="BA162" s="549"/>
      <c r="BB162" s="549"/>
      <c r="BC162" s="549"/>
      <c r="BD162" s="549"/>
      <c r="BE162" s="549"/>
      <c r="BF162" s="549"/>
      <c r="BG162" s="549"/>
      <c r="BH162" s="549"/>
      <c r="BI162" s="549"/>
    </row>
    <row r="163" spans="16:61" s="254" customFormat="1" ht="9.9">
      <c r="P163" s="549"/>
      <c r="Q163" s="549"/>
      <c r="R163" s="549"/>
      <c r="S163" s="549"/>
      <c r="T163" s="549"/>
      <c r="U163" s="549"/>
      <c r="V163" s="549"/>
      <c r="W163" s="549"/>
      <c r="X163" s="549"/>
      <c r="Y163" s="549"/>
      <c r="Z163" s="549"/>
      <c r="AA163" s="549"/>
      <c r="AB163" s="549"/>
      <c r="AC163" s="549"/>
      <c r="AD163" s="549"/>
      <c r="AE163" s="549"/>
      <c r="AF163" s="549"/>
      <c r="AG163" s="549"/>
      <c r="AH163" s="549"/>
      <c r="AI163" s="549"/>
      <c r="AJ163" s="549"/>
      <c r="AK163" s="549"/>
      <c r="AL163" s="549"/>
      <c r="AM163" s="549"/>
      <c r="AN163" s="549"/>
      <c r="AO163" s="549"/>
      <c r="AP163" s="549"/>
      <c r="AQ163" s="549"/>
      <c r="AR163" s="549"/>
      <c r="AS163" s="549"/>
      <c r="AT163" s="549"/>
      <c r="AU163" s="549"/>
      <c r="AV163" s="549"/>
      <c r="AW163" s="549"/>
      <c r="AX163" s="549"/>
      <c r="AY163" s="549"/>
      <c r="AZ163" s="549"/>
      <c r="BA163" s="549"/>
      <c r="BB163" s="549"/>
      <c r="BC163" s="549"/>
      <c r="BD163" s="549"/>
      <c r="BE163" s="549"/>
      <c r="BF163" s="549"/>
      <c r="BG163" s="549"/>
      <c r="BH163" s="549"/>
      <c r="BI163" s="549"/>
    </row>
    <row r="164" spans="16:61" s="254" customFormat="1" ht="9.9">
      <c r="P164" s="549"/>
      <c r="Q164" s="549"/>
      <c r="R164" s="549"/>
      <c r="S164" s="549"/>
      <c r="T164" s="549"/>
      <c r="U164" s="549"/>
      <c r="V164" s="549"/>
      <c r="W164" s="549"/>
      <c r="X164" s="549"/>
      <c r="Y164" s="549"/>
      <c r="Z164" s="549"/>
      <c r="AA164" s="549"/>
      <c r="AB164" s="549"/>
      <c r="AC164" s="549"/>
      <c r="AD164" s="549"/>
      <c r="AE164" s="549"/>
      <c r="AF164" s="549"/>
      <c r="AG164" s="549"/>
      <c r="AH164" s="549"/>
      <c r="AI164" s="549"/>
      <c r="AJ164" s="549"/>
      <c r="AK164" s="549"/>
      <c r="AL164" s="549"/>
      <c r="AM164" s="549"/>
      <c r="AN164" s="549"/>
      <c r="AO164" s="549"/>
      <c r="AP164" s="549"/>
      <c r="AQ164" s="549"/>
      <c r="AR164" s="549"/>
      <c r="AS164" s="549"/>
      <c r="AT164" s="549"/>
      <c r="AU164" s="549"/>
      <c r="AV164" s="549"/>
      <c r="AW164" s="549"/>
      <c r="AX164" s="549"/>
      <c r="AY164" s="549"/>
      <c r="AZ164" s="549"/>
      <c r="BA164" s="549"/>
      <c r="BB164" s="549"/>
      <c r="BC164" s="549"/>
      <c r="BD164" s="549"/>
      <c r="BE164" s="549"/>
      <c r="BF164" s="549"/>
      <c r="BG164" s="549"/>
      <c r="BH164" s="549"/>
      <c r="BI164" s="549"/>
    </row>
    <row r="165" spans="16:61" s="254" customFormat="1" ht="9.9">
      <c r="P165" s="549"/>
      <c r="Q165" s="549"/>
      <c r="R165" s="549"/>
      <c r="S165" s="549"/>
      <c r="T165" s="549"/>
      <c r="U165" s="549"/>
      <c r="V165" s="549"/>
      <c r="W165" s="549"/>
      <c r="X165" s="549"/>
      <c r="Y165" s="549"/>
      <c r="Z165" s="549"/>
      <c r="AA165" s="549"/>
      <c r="AB165" s="549"/>
      <c r="AC165" s="549"/>
      <c r="AD165" s="549"/>
      <c r="AE165" s="549"/>
      <c r="AF165" s="549"/>
      <c r="AG165" s="549"/>
      <c r="AH165" s="549"/>
      <c r="AI165" s="549"/>
      <c r="AJ165" s="549"/>
      <c r="AK165" s="549"/>
      <c r="AL165" s="549"/>
      <c r="AM165" s="549"/>
      <c r="AN165" s="549"/>
      <c r="AO165" s="549"/>
      <c r="AP165" s="549"/>
      <c r="AQ165" s="549"/>
      <c r="AR165" s="549"/>
      <c r="AS165" s="549"/>
      <c r="AT165" s="549"/>
      <c r="AU165" s="549"/>
      <c r="AV165" s="549"/>
      <c r="AW165" s="549"/>
      <c r="AX165" s="549"/>
      <c r="AY165" s="549"/>
      <c r="AZ165" s="549"/>
      <c r="BA165" s="549"/>
      <c r="BB165" s="549"/>
      <c r="BC165" s="549"/>
      <c r="BD165" s="549"/>
      <c r="BE165" s="549"/>
      <c r="BF165" s="549"/>
      <c r="BG165" s="549"/>
      <c r="BH165" s="549"/>
      <c r="BI165" s="549"/>
    </row>
    <row r="166" spans="16:61" s="254" customFormat="1" ht="9.9">
      <c r="P166" s="549"/>
      <c r="Q166" s="549"/>
      <c r="R166" s="549"/>
      <c r="S166" s="549"/>
      <c r="T166" s="549"/>
      <c r="U166" s="549"/>
      <c r="V166" s="549"/>
      <c r="W166" s="549"/>
      <c r="X166" s="549"/>
      <c r="Y166" s="549"/>
      <c r="Z166" s="549"/>
      <c r="AA166" s="549"/>
      <c r="AB166" s="549"/>
      <c r="AC166" s="549"/>
      <c r="AD166" s="549"/>
      <c r="AE166" s="549"/>
      <c r="AF166" s="549"/>
      <c r="AG166" s="549"/>
      <c r="AH166" s="549"/>
      <c r="AI166" s="549"/>
      <c r="AJ166" s="549"/>
      <c r="AK166" s="549"/>
      <c r="AL166" s="549"/>
      <c r="AM166" s="549"/>
      <c r="AN166" s="549"/>
      <c r="AO166" s="549"/>
      <c r="AP166" s="549"/>
      <c r="AQ166" s="549"/>
      <c r="AR166" s="549"/>
      <c r="AS166" s="549"/>
      <c r="AT166" s="549"/>
      <c r="AU166" s="549"/>
      <c r="AV166" s="549"/>
      <c r="AW166" s="549"/>
      <c r="AX166" s="549"/>
      <c r="AY166" s="549"/>
      <c r="AZ166" s="549"/>
      <c r="BA166" s="549"/>
      <c r="BB166" s="549"/>
      <c r="BC166" s="549"/>
      <c r="BD166" s="549"/>
      <c r="BE166" s="549"/>
      <c r="BF166" s="549"/>
      <c r="BG166" s="549"/>
      <c r="BH166" s="549"/>
      <c r="BI166" s="549"/>
    </row>
    <row r="167" spans="16:61" s="254" customFormat="1" ht="9.9">
      <c r="P167" s="549"/>
      <c r="Q167" s="549"/>
      <c r="R167" s="549"/>
      <c r="S167" s="549"/>
      <c r="T167" s="549"/>
      <c r="U167" s="549"/>
      <c r="V167" s="549"/>
      <c r="W167" s="549"/>
      <c r="X167" s="549"/>
      <c r="Y167" s="549"/>
      <c r="Z167" s="549"/>
      <c r="AA167" s="549"/>
      <c r="AB167" s="549"/>
      <c r="AC167" s="549"/>
      <c r="AD167" s="549"/>
      <c r="AE167" s="549"/>
      <c r="AF167" s="549"/>
      <c r="AG167" s="549"/>
      <c r="AH167" s="549"/>
      <c r="AI167" s="549"/>
      <c r="AJ167" s="549"/>
      <c r="AK167" s="549"/>
      <c r="AL167" s="549"/>
      <c r="AM167" s="549"/>
      <c r="AN167" s="549"/>
      <c r="AO167" s="549"/>
      <c r="AP167" s="549"/>
      <c r="AQ167" s="549"/>
      <c r="AR167" s="549"/>
      <c r="AS167" s="549"/>
      <c r="AT167" s="549"/>
      <c r="AU167" s="549"/>
      <c r="AV167" s="549"/>
      <c r="AW167" s="549"/>
      <c r="AX167" s="549"/>
      <c r="AY167" s="549"/>
      <c r="AZ167" s="549"/>
      <c r="BA167" s="549"/>
      <c r="BB167" s="549"/>
      <c r="BC167" s="549"/>
      <c r="BD167" s="549"/>
      <c r="BE167" s="549"/>
      <c r="BF167" s="549"/>
      <c r="BG167" s="549"/>
      <c r="BH167" s="549"/>
      <c r="BI167" s="549"/>
    </row>
    <row r="168" spans="16:61" s="254" customFormat="1" ht="9.9">
      <c r="P168" s="549"/>
      <c r="Q168" s="549"/>
      <c r="R168" s="549"/>
      <c r="S168" s="549"/>
      <c r="T168" s="549"/>
      <c r="U168" s="549"/>
      <c r="V168" s="549"/>
      <c r="W168" s="549"/>
      <c r="X168" s="549"/>
      <c r="Y168" s="549"/>
      <c r="Z168" s="549"/>
      <c r="AA168" s="549"/>
      <c r="AB168" s="549"/>
      <c r="AC168" s="549"/>
      <c r="AD168" s="549"/>
      <c r="AE168" s="549"/>
      <c r="AF168" s="549"/>
      <c r="AG168" s="549"/>
      <c r="AH168" s="549"/>
      <c r="AI168" s="549"/>
      <c r="AJ168" s="549"/>
      <c r="AK168" s="549"/>
      <c r="AL168" s="549"/>
      <c r="AM168" s="549"/>
      <c r="AN168" s="549"/>
      <c r="AO168" s="549"/>
      <c r="AP168" s="549"/>
      <c r="AQ168" s="549"/>
      <c r="AR168" s="549"/>
      <c r="AS168" s="549"/>
      <c r="AT168" s="549"/>
      <c r="AU168" s="549"/>
      <c r="AV168" s="549"/>
      <c r="AW168" s="549"/>
      <c r="AX168" s="549"/>
      <c r="AY168" s="549"/>
      <c r="AZ168" s="549"/>
      <c r="BA168" s="549"/>
      <c r="BB168" s="549"/>
      <c r="BC168" s="549"/>
      <c r="BD168" s="549"/>
      <c r="BE168" s="549"/>
      <c r="BF168" s="549"/>
      <c r="BG168" s="549"/>
      <c r="BH168" s="549"/>
      <c r="BI168" s="549"/>
    </row>
    <row r="169" spans="16:61" s="254" customFormat="1" ht="9.9">
      <c r="P169" s="549"/>
      <c r="Q169" s="549"/>
      <c r="R169" s="549"/>
      <c r="S169" s="549"/>
      <c r="T169" s="549"/>
      <c r="U169" s="549"/>
      <c r="V169" s="549"/>
      <c r="W169" s="549"/>
      <c r="X169" s="549"/>
      <c r="Y169" s="549"/>
      <c r="Z169" s="549"/>
      <c r="AA169" s="549"/>
      <c r="AB169" s="549"/>
      <c r="AC169" s="549"/>
      <c r="AD169" s="549"/>
      <c r="AE169" s="549"/>
      <c r="AF169" s="549"/>
      <c r="AG169" s="549"/>
      <c r="AH169" s="549"/>
      <c r="AI169" s="549"/>
      <c r="AJ169" s="549"/>
      <c r="AK169" s="549"/>
      <c r="AL169" s="549"/>
      <c r="AM169" s="549"/>
      <c r="AN169" s="549"/>
      <c r="AO169" s="549"/>
      <c r="AP169" s="549"/>
      <c r="AQ169" s="549"/>
      <c r="AR169" s="549"/>
      <c r="AS169" s="549"/>
      <c r="AT169" s="549"/>
      <c r="AU169" s="549"/>
      <c r="AV169" s="549"/>
      <c r="AW169" s="549"/>
      <c r="AX169" s="549"/>
      <c r="AY169" s="549"/>
      <c r="AZ169" s="549"/>
      <c r="BA169" s="549"/>
      <c r="BB169" s="549"/>
      <c r="BC169" s="549"/>
      <c r="BD169" s="549"/>
      <c r="BE169" s="549"/>
      <c r="BF169" s="549"/>
      <c r="BG169" s="549"/>
      <c r="BH169" s="549"/>
      <c r="BI169" s="549"/>
    </row>
    <row r="170" spans="16:61" s="254" customFormat="1" ht="9.9">
      <c r="P170" s="549"/>
      <c r="Q170" s="549"/>
      <c r="R170" s="549"/>
      <c r="S170" s="549"/>
      <c r="T170" s="549"/>
      <c r="U170" s="549"/>
      <c r="V170" s="549"/>
      <c r="W170" s="549"/>
      <c r="X170" s="549"/>
      <c r="Y170" s="549"/>
      <c r="Z170" s="549"/>
      <c r="AA170" s="549"/>
      <c r="AB170" s="549"/>
      <c r="AC170" s="549"/>
      <c r="AD170" s="549"/>
      <c r="AE170" s="549"/>
      <c r="AF170" s="549"/>
      <c r="AG170" s="549"/>
      <c r="AH170" s="549"/>
      <c r="AI170" s="549"/>
      <c r="AJ170" s="549"/>
      <c r="AK170" s="549"/>
      <c r="AL170" s="549"/>
      <c r="AM170" s="549"/>
      <c r="AN170" s="549"/>
      <c r="AO170" s="549"/>
      <c r="AP170" s="549"/>
      <c r="AQ170" s="549"/>
      <c r="AR170" s="549"/>
      <c r="AS170" s="549"/>
      <c r="AT170" s="549"/>
      <c r="AU170" s="549"/>
      <c r="AV170" s="549"/>
      <c r="AW170" s="549"/>
      <c r="AX170" s="549"/>
      <c r="AY170" s="549"/>
      <c r="AZ170" s="549"/>
      <c r="BA170" s="549"/>
      <c r="BB170" s="549"/>
      <c r="BC170" s="549"/>
      <c r="BD170" s="549"/>
      <c r="BE170" s="549"/>
      <c r="BF170" s="549"/>
      <c r="BG170" s="549"/>
      <c r="BH170" s="549"/>
      <c r="BI170" s="549"/>
    </row>
    <row r="171" spans="16:61" s="254" customFormat="1" ht="9.9">
      <c r="P171" s="549"/>
      <c r="Q171" s="549"/>
      <c r="R171" s="549"/>
      <c r="S171" s="549"/>
      <c r="T171" s="549"/>
      <c r="U171" s="549"/>
      <c r="V171" s="549"/>
      <c r="W171" s="549"/>
      <c r="X171" s="549"/>
      <c r="Y171" s="549"/>
      <c r="Z171" s="549"/>
      <c r="AA171" s="549"/>
      <c r="AB171" s="549"/>
      <c r="AC171" s="549"/>
      <c r="AD171" s="549"/>
      <c r="AE171" s="549"/>
      <c r="AF171" s="549"/>
      <c r="AG171" s="549"/>
      <c r="AH171" s="549"/>
      <c r="AI171" s="549"/>
      <c r="AJ171" s="549"/>
      <c r="AK171" s="549"/>
      <c r="AL171" s="549"/>
      <c r="AM171" s="549"/>
      <c r="AN171" s="549"/>
      <c r="AO171" s="549"/>
      <c r="AP171" s="549"/>
      <c r="AQ171" s="549"/>
      <c r="AR171" s="549"/>
      <c r="AS171" s="549"/>
      <c r="AT171" s="549"/>
      <c r="AU171" s="549"/>
      <c r="AV171" s="549"/>
      <c r="AW171" s="549"/>
      <c r="AX171" s="549"/>
      <c r="AY171" s="549"/>
      <c r="AZ171" s="549"/>
      <c r="BA171" s="549"/>
      <c r="BB171" s="549"/>
      <c r="BC171" s="549"/>
      <c r="BD171" s="549"/>
      <c r="BE171" s="549"/>
      <c r="BF171" s="549"/>
      <c r="BG171" s="549"/>
      <c r="BH171" s="549"/>
      <c r="BI171" s="549"/>
    </row>
    <row r="172" spans="16:61" s="254" customFormat="1" ht="9.9">
      <c r="P172" s="549"/>
      <c r="Q172" s="549"/>
      <c r="R172" s="549"/>
      <c r="S172" s="549"/>
      <c r="T172" s="549"/>
      <c r="U172" s="549"/>
      <c r="V172" s="549"/>
      <c r="W172" s="549"/>
      <c r="X172" s="549"/>
      <c r="Y172" s="549"/>
      <c r="Z172" s="549"/>
      <c r="AA172" s="549"/>
      <c r="AB172" s="549"/>
      <c r="AC172" s="549"/>
      <c r="AD172" s="549"/>
      <c r="AE172" s="549"/>
      <c r="AF172" s="549"/>
      <c r="AG172" s="549"/>
      <c r="AH172" s="549"/>
      <c r="AI172" s="549"/>
      <c r="AJ172" s="549"/>
      <c r="AK172" s="549"/>
      <c r="AL172" s="549"/>
      <c r="AM172" s="549"/>
      <c r="AN172" s="549"/>
      <c r="AO172" s="549"/>
      <c r="AP172" s="549"/>
      <c r="AQ172" s="549"/>
      <c r="AR172" s="549"/>
      <c r="AS172" s="549"/>
      <c r="AT172" s="549"/>
      <c r="AU172" s="549"/>
      <c r="AV172" s="549"/>
      <c r="AW172" s="549"/>
      <c r="AX172" s="549"/>
      <c r="AY172" s="549"/>
      <c r="AZ172" s="549"/>
      <c r="BA172" s="549"/>
      <c r="BB172" s="549"/>
      <c r="BC172" s="549"/>
      <c r="BD172" s="549"/>
      <c r="BE172" s="549"/>
      <c r="BF172" s="549"/>
      <c r="BG172" s="549"/>
      <c r="BH172" s="549"/>
      <c r="BI172" s="549"/>
    </row>
    <row r="173" spans="16:61" s="254" customFormat="1" ht="9.9">
      <c r="P173" s="549"/>
      <c r="Q173" s="549"/>
      <c r="R173" s="549"/>
      <c r="S173" s="549"/>
      <c r="T173" s="549"/>
      <c r="U173" s="549"/>
      <c r="V173" s="549"/>
      <c r="W173" s="549"/>
      <c r="X173" s="549"/>
      <c r="Y173" s="549"/>
      <c r="Z173" s="549"/>
      <c r="AA173" s="549"/>
      <c r="AB173" s="549"/>
      <c r="AC173" s="549"/>
      <c r="AD173" s="549"/>
      <c r="AE173" s="549"/>
      <c r="AF173" s="549"/>
      <c r="AG173" s="549"/>
      <c r="AH173" s="549"/>
      <c r="AI173" s="549"/>
      <c r="AJ173" s="549"/>
      <c r="AK173" s="549"/>
      <c r="AL173" s="549"/>
      <c r="AM173" s="549"/>
      <c r="AN173" s="549"/>
      <c r="AO173" s="549"/>
      <c r="AP173" s="549"/>
      <c r="AQ173" s="549"/>
      <c r="AR173" s="549"/>
      <c r="AS173" s="549"/>
      <c r="AT173" s="549"/>
      <c r="AU173" s="549"/>
      <c r="AV173" s="549"/>
      <c r="AW173" s="549"/>
      <c r="AX173" s="549"/>
      <c r="AY173" s="549"/>
      <c r="AZ173" s="549"/>
      <c r="BA173" s="549"/>
      <c r="BB173" s="549"/>
      <c r="BC173" s="549"/>
      <c r="BD173" s="549"/>
      <c r="BE173" s="549"/>
      <c r="BF173" s="549"/>
      <c r="BG173" s="549"/>
      <c r="BH173" s="549"/>
      <c r="BI173" s="549"/>
    </row>
    <row r="174" spans="16:61" s="254" customFormat="1" ht="9.9">
      <c r="P174" s="549"/>
      <c r="Q174" s="549"/>
      <c r="R174" s="549"/>
      <c r="S174" s="549"/>
      <c r="T174" s="549"/>
      <c r="U174" s="549"/>
      <c r="V174" s="549"/>
      <c r="W174" s="549"/>
      <c r="X174" s="549"/>
      <c r="Y174" s="549"/>
      <c r="Z174" s="549"/>
      <c r="AA174" s="549"/>
      <c r="AB174" s="549"/>
      <c r="AC174" s="549"/>
      <c r="AD174" s="549"/>
      <c r="AE174" s="549"/>
      <c r="AF174" s="549"/>
      <c r="AG174" s="549"/>
      <c r="AH174" s="549"/>
      <c r="AI174" s="549"/>
      <c r="AJ174" s="549"/>
      <c r="AK174" s="549"/>
      <c r="AL174" s="549"/>
      <c r="AM174" s="549"/>
      <c r="AN174" s="549"/>
      <c r="AO174" s="549"/>
      <c r="AP174" s="549"/>
      <c r="AQ174" s="549"/>
      <c r="AR174" s="549"/>
      <c r="AS174" s="549"/>
      <c r="AT174" s="549"/>
      <c r="AU174" s="549"/>
      <c r="AV174" s="549"/>
      <c r="AW174" s="549"/>
      <c r="AX174" s="549"/>
      <c r="AY174" s="549"/>
      <c r="AZ174" s="549"/>
      <c r="BA174" s="549"/>
      <c r="BB174" s="549"/>
      <c r="BC174" s="549"/>
      <c r="BD174" s="549"/>
      <c r="BE174" s="549"/>
      <c r="BF174" s="549"/>
      <c r="BG174" s="549"/>
      <c r="BH174" s="549"/>
      <c r="BI174" s="549"/>
    </row>
    <row r="175" spans="16:61" s="254" customFormat="1" ht="9.9">
      <c r="P175" s="549"/>
      <c r="Q175" s="549"/>
      <c r="R175" s="549"/>
      <c r="S175" s="549"/>
      <c r="T175" s="549"/>
      <c r="U175" s="549"/>
      <c r="V175" s="549"/>
      <c r="W175" s="549"/>
      <c r="X175" s="549"/>
      <c r="Y175" s="549"/>
      <c r="Z175" s="549"/>
      <c r="AA175" s="549"/>
      <c r="AB175" s="549"/>
      <c r="AC175" s="549"/>
      <c r="AD175" s="549"/>
      <c r="AE175" s="549"/>
      <c r="AF175" s="549"/>
      <c r="AG175" s="549"/>
      <c r="AH175" s="549"/>
      <c r="AI175" s="549"/>
      <c r="AJ175" s="549"/>
      <c r="AK175" s="549"/>
      <c r="AL175" s="549"/>
      <c r="AM175" s="549"/>
      <c r="AN175" s="549"/>
      <c r="AO175" s="549"/>
      <c r="AP175" s="549"/>
      <c r="AQ175" s="549"/>
      <c r="AR175" s="549"/>
      <c r="AS175" s="549"/>
      <c r="AT175" s="549"/>
      <c r="AU175" s="549"/>
      <c r="AV175" s="549"/>
      <c r="AW175" s="549"/>
      <c r="AX175" s="549"/>
      <c r="AY175" s="549"/>
      <c r="AZ175" s="549"/>
      <c r="BA175" s="549"/>
      <c r="BB175" s="549"/>
      <c r="BC175" s="549"/>
      <c r="BD175" s="549"/>
      <c r="BE175" s="549"/>
      <c r="BF175" s="549"/>
      <c r="BG175" s="549"/>
      <c r="BH175" s="549"/>
      <c r="BI175" s="549"/>
    </row>
    <row r="176" spans="16:61" s="254" customFormat="1" ht="9.9">
      <c r="P176" s="549"/>
      <c r="Q176" s="549"/>
      <c r="R176" s="549"/>
      <c r="S176" s="549"/>
      <c r="T176" s="549"/>
      <c r="U176" s="549"/>
      <c r="V176" s="549"/>
      <c r="W176" s="549"/>
      <c r="X176" s="549"/>
      <c r="Y176" s="549"/>
      <c r="Z176" s="549"/>
      <c r="AA176" s="549"/>
      <c r="AB176" s="549"/>
      <c r="AC176" s="549"/>
      <c r="AD176" s="549"/>
      <c r="AE176" s="549"/>
      <c r="AF176" s="549"/>
      <c r="AG176" s="549"/>
      <c r="AH176" s="549"/>
      <c r="AI176" s="549"/>
      <c r="AJ176" s="549"/>
      <c r="AK176" s="549"/>
      <c r="AL176" s="549"/>
      <c r="AM176" s="549"/>
      <c r="AN176" s="549"/>
      <c r="AO176" s="549"/>
      <c r="AP176" s="549"/>
      <c r="AQ176" s="549"/>
      <c r="AR176" s="549"/>
      <c r="AS176" s="549"/>
      <c r="AT176" s="549"/>
      <c r="AU176" s="549"/>
      <c r="AV176" s="549"/>
      <c r="AW176" s="549"/>
      <c r="AX176" s="549"/>
      <c r="AY176" s="549"/>
      <c r="AZ176" s="549"/>
      <c r="BA176" s="549"/>
      <c r="BB176" s="549"/>
      <c r="BC176" s="549"/>
      <c r="BD176" s="549"/>
      <c r="BE176" s="549"/>
      <c r="BF176" s="549"/>
      <c r="BG176" s="549"/>
      <c r="BH176" s="549"/>
      <c r="BI176" s="549"/>
    </row>
    <row r="177" spans="16:61" s="254" customFormat="1" ht="9.9">
      <c r="P177" s="549"/>
      <c r="Q177" s="549"/>
      <c r="R177" s="549"/>
      <c r="S177" s="549"/>
      <c r="T177" s="549"/>
      <c r="U177" s="549"/>
      <c r="V177" s="549"/>
      <c r="W177" s="549"/>
      <c r="X177" s="549"/>
      <c r="Y177" s="549"/>
      <c r="Z177" s="549"/>
      <c r="AA177" s="549"/>
      <c r="AB177" s="549"/>
      <c r="AC177" s="549"/>
      <c r="AD177" s="549"/>
      <c r="AE177" s="549"/>
      <c r="AF177" s="549"/>
      <c r="AG177" s="549"/>
      <c r="AH177" s="549"/>
      <c r="AI177" s="549"/>
      <c r="AJ177" s="549"/>
      <c r="AK177" s="549"/>
      <c r="AL177" s="549"/>
      <c r="AM177" s="549"/>
      <c r="AN177" s="549"/>
      <c r="AO177" s="549"/>
      <c r="AP177" s="549"/>
      <c r="AQ177" s="549"/>
      <c r="AR177" s="549"/>
      <c r="AS177" s="549"/>
      <c r="AT177" s="549"/>
      <c r="AU177" s="549"/>
      <c r="AV177" s="549"/>
      <c r="AW177" s="549"/>
      <c r="AX177" s="549"/>
      <c r="AY177" s="549"/>
      <c r="AZ177" s="549"/>
      <c r="BA177" s="549"/>
      <c r="BB177" s="549"/>
      <c r="BC177" s="549"/>
      <c r="BD177" s="549"/>
      <c r="BE177" s="549"/>
      <c r="BF177" s="549"/>
      <c r="BG177" s="549"/>
      <c r="BH177" s="549"/>
      <c r="BI177" s="549"/>
    </row>
    <row r="178" spans="16:61" s="254" customFormat="1" ht="9.9">
      <c r="P178" s="549"/>
      <c r="Q178" s="549"/>
      <c r="R178" s="549"/>
      <c r="S178" s="549"/>
      <c r="T178" s="549"/>
      <c r="U178" s="549"/>
      <c r="V178" s="549"/>
      <c r="W178" s="549"/>
      <c r="X178" s="549"/>
      <c r="Y178" s="549"/>
      <c r="Z178" s="549"/>
      <c r="AA178" s="549"/>
      <c r="AB178" s="549"/>
      <c r="AC178" s="549"/>
      <c r="AD178" s="549"/>
      <c r="AE178" s="549"/>
      <c r="AF178" s="549"/>
      <c r="AG178" s="549"/>
      <c r="AH178" s="549"/>
      <c r="AI178" s="549"/>
      <c r="AJ178" s="549"/>
      <c r="AK178" s="549"/>
      <c r="AL178" s="549"/>
      <c r="AM178" s="549"/>
      <c r="AN178" s="549"/>
      <c r="AO178" s="549"/>
      <c r="AP178" s="549"/>
      <c r="AQ178" s="549"/>
      <c r="AR178" s="549"/>
      <c r="AS178" s="549"/>
      <c r="AT178" s="549"/>
      <c r="AU178" s="549"/>
      <c r="AV178" s="549"/>
      <c r="AW178" s="549"/>
      <c r="AX178" s="549"/>
      <c r="AY178" s="549"/>
      <c r="AZ178" s="549"/>
      <c r="BA178" s="549"/>
      <c r="BB178" s="549"/>
      <c r="BC178" s="549"/>
      <c r="BD178" s="549"/>
      <c r="BE178" s="549"/>
      <c r="BF178" s="549"/>
      <c r="BG178" s="549"/>
      <c r="BH178" s="549"/>
      <c r="BI178" s="549"/>
    </row>
    <row r="179" spans="16:61" s="254" customFormat="1" ht="9.9">
      <c r="P179" s="549"/>
      <c r="Q179" s="549"/>
      <c r="R179" s="549"/>
      <c r="S179" s="549"/>
      <c r="T179" s="549"/>
      <c r="U179" s="549"/>
      <c r="V179" s="549"/>
      <c r="W179" s="549"/>
      <c r="X179" s="549"/>
      <c r="Y179" s="549"/>
      <c r="Z179" s="549"/>
      <c r="AA179" s="549"/>
      <c r="AB179" s="549"/>
      <c r="AC179" s="549"/>
      <c r="AD179" s="549"/>
      <c r="AE179" s="549"/>
      <c r="AF179" s="549"/>
      <c r="AG179" s="549"/>
      <c r="AH179" s="549"/>
      <c r="AI179" s="549"/>
      <c r="AJ179" s="549"/>
      <c r="AK179" s="549"/>
      <c r="AL179" s="549"/>
      <c r="AM179" s="549"/>
      <c r="AN179" s="549"/>
      <c r="AO179" s="549"/>
      <c r="AP179" s="549"/>
      <c r="AQ179" s="549"/>
      <c r="AR179" s="549"/>
      <c r="AS179" s="549"/>
      <c r="AT179" s="549"/>
      <c r="AU179" s="549"/>
      <c r="AV179" s="549"/>
      <c r="AW179" s="549"/>
      <c r="AX179" s="549"/>
      <c r="AY179" s="549"/>
      <c r="AZ179" s="549"/>
      <c r="BA179" s="549"/>
      <c r="BB179" s="549"/>
      <c r="BC179" s="549"/>
      <c r="BD179" s="549"/>
      <c r="BE179" s="549"/>
      <c r="BF179" s="549"/>
      <c r="BG179" s="549"/>
      <c r="BH179" s="549"/>
      <c r="BI179" s="549"/>
    </row>
    <row r="180" spans="16:61" s="254" customFormat="1" ht="9.9">
      <c r="P180" s="549"/>
      <c r="Q180" s="549"/>
      <c r="R180" s="549"/>
      <c r="S180" s="549"/>
      <c r="T180" s="549"/>
      <c r="U180" s="549"/>
      <c r="V180" s="549"/>
      <c r="W180" s="549"/>
      <c r="X180" s="549"/>
      <c r="Y180" s="549"/>
      <c r="Z180" s="549"/>
      <c r="AA180" s="549"/>
      <c r="AB180" s="549"/>
      <c r="AC180" s="549"/>
      <c r="AD180" s="549"/>
      <c r="AE180" s="549"/>
      <c r="AF180" s="549"/>
      <c r="AG180" s="549"/>
      <c r="AH180" s="549"/>
      <c r="AI180" s="549"/>
      <c r="AJ180" s="549"/>
      <c r="AK180" s="549"/>
      <c r="AL180" s="549"/>
      <c r="AM180" s="549"/>
      <c r="AN180" s="549"/>
      <c r="AO180" s="549"/>
      <c r="AP180" s="549"/>
      <c r="AQ180" s="549"/>
      <c r="AR180" s="549"/>
      <c r="AS180" s="549"/>
      <c r="AT180" s="549"/>
      <c r="AU180" s="549"/>
      <c r="AV180" s="549"/>
      <c r="AW180" s="549"/>
      <c r="AX180" s="549"/>
      <c r="AY180" s="549"/>
      <c r="AZ180" s="549"/>
      <c r="BA180" s="549"/>
      <c r="BB180" s="549"/>
      <c r="BC180" s="549"/>
      <c r="BD180" s="549"/>
      <c r="BE180" s="549"/>
      <c r="BF180" s="549"/>
      <c r="BG180" s="549"/>
      <c r="BH180" s="549"/>
      <c r="BI180" s="549"/>
    </row>
    <row r="181" spans="16:61" s="254" customFormat="1" ht="9.9">
      <c r="P181" s="549"/>
      <c r="Q181" s="549"/>
      <c r="R181" s="549"/>
      <c r="S181" s="549"/>
      <c r="T181" s="549"/>
      <c r="U181" s="549"/>
      <c r="V181" s="549"/>
      <c r="W181" s="549"/>
      <c r="X181" s="549"/>
      <c r="Y181" s="549"/>
      <c r="Z181" s="549"/>
      <c r="AA181" s="549"/>
      <c r="AB181" s="549"/>
      <c r="AC181" s="549"/>
      <c r="AD181" s="549"/>
      <c r="AE181" s="549"/>
      <c r="AF181" s="549"/>
      <c r="AG181" s="549"/>
      <c r="AH181" s="549"/>
      <c r="AI181" s="549"/>
      <c r="AJ181" s="549"/>
      <c r="AK181" s="549"/>
      <c r="AL181" s="549"/>
      <c r="AM181" s="549"/>
      <c r="AN181" s="549"/>
      <c r="AO181" s="549"/>
      <c r="AP181" s="549"/>
      <c r="AQ181" s="549"/>
      <c r="AR181" s="549"/>
      <c r="AS181" s="549"/>
      <c r="AT181" s="549"/>
      <c r="AU181" s="549"/>
      <c r="AV181" s="549"/>
      <c r="AW181" s="549"/>
      <c r="AX181" s="549"/>
      <c r="AY181" s="549"/>
      <c r="AZ181" s="549"/>
      <c r="BA181" s="549"/>
      <c r="BB181" s="549"/>
      <c r="BC181" s="549"/>
      <c r="BD181" s="549"/>
      <c r="BE181" s="549"/>
      <c r="BF181" s="549"/>
      <c r="BG181" s="549"/>
      <c r="BH181" s="549"/>
      <c r="BI181" s="549"/>
    </row>
    <row r="182" spans="16:61" s="254" customFormat="1" ht="9.9">
      <c r="P182" s="549"/>
      <c r="Q182" s="549"/>
      <c r="R182" s="549"/>
      <c r="S182" s="549"/>
      <c r="T182" s="549"/>
      <c r="U182" s="549"/>
      <c r="V182" s="549"/>
      <c r="W182" s="549"/>
      <c r="X182" s="549"/>
      <c r="Y182" s="549"/>
      <c r="Z182" s="549"/>
      <c r="AA182" s="549"/>
      <c r="AB182" s="549"/>
      <c r="AC182" s="549"/>
      <c r="AD182" s="549"/>
      <c r="AE182" s="549"/>
      <c r="AF182" s="549"/>
      <c r="AG182" s="549"/>
      <c r="AH182" s="549"/>
      <c r="AI182" s="549"/>
      <c r="AJ182" s="549"/>
      <c r="AK182" s="549"/>
      <c r="AL182" s="549"/>
      <c r="AM182" s="549"/>
      <c r="AN182" s="549"/>
      <c r="AO182" s="549"/>
      <c r="AP182" s="549"/>
      <c r="AQ182" s="549"/>
      <c r="AR182" s="549"/>
      <c r="AS182" s="549"/>
      <c r="AT182" s="549"/>
      <c r="AU182" s="549"/>
      <c r="AV182" s="549"/>
      <c r="AW182" s="549"/>
      <c r="AX182" s="549"/>
      <c r="AY182" s="549"/>
      <c r="AZ182" s="549"/>
      <c r="BA182" s="549"/>
      <c r="BB182" s="549"/>
      <c r="BC182" s="549"/>
      <c r="BD182" s="549"/>
      <c r="BE182" s="549"/>
      <c r="BF182" s="549"/>
      <c r="BG182" s="549"/>
      <c r="BH182" s="549"/>
      <c r="BI182" s="549"/>
    </row>
    <row r="183" spans="16:61" s="254" customFormat="1" ht="9.9">
      <c r="P183" s="549"/>
      <c r="Q183" s="549"/>
      <c r="R183" s="549"/>
      <c r="S183" s="549"/>
      <c r="T183" s="549"/>
      <c r="U183" s="549"/>
      <c r="V183" s="549"/>
      <c r="W183" s="549"/>
      <c r="X183" s="549"/>
      <c r="Y183" s="549"/>
      <c r="Z183" s="549"/>
      <c r="AA183" s="549"/>
      <c r="AB183" s="549"/>
      <c r="AC183" s="549"/>
      <c r="AD183" s="549"/>
      <c r="AE183" s="549"/>
      <c r="AF183" s="549"/>
      <c r="AG183" s="549"/>
      <c r="AH183" s="549"/>
      <c r="AI183" s="549"/>
      <c r="AJ183" s="549"/>
      <c r="AK183" s="549"/>
      <c r="AL183" s="549"/>
      <c r="AM183" s="549"/>
      <c r="AN183" s="549"/>
      <c r="AO183" s="549"/>
      <c r="AP183" s="549"/>
      <c r="AQ183" s="549"/>
      <c r="AR183" s="549"/>
      <c r="AS183" s="549"/>
      <c r="AT183" s="549"/>
      <c r="AU183" s="549"/>
      <c r="AV183" s="549"/>
      <c r="AW183" s="549"/>
      <c r="AX183" s="549"/>
      <c r="AY183" s="549"/>
      <c r="AZ183" s="549"/>
      <c r="BA183" s="549"/>
      <c r="BB183" s="549"/>
      <c r="BC183" s="549"/>
      <c r="BD183" s="549"/>
      <c r="BE183" s="549"/>
      <c r="BF183" s="549"/>
      <c r="BG183" s="549"/>
      <c r="BH183" s="549"/>
      <c r="BI183" s="549"/>
    </row>
    <row r="184" spans="16:61" s="254" customFormat="1" ht="9.9">
      <c r="P184" s="549"/>
      <c r="Q184" s="549"/>
      <c r="R184" s="549"/>
      <c r="S184" s="549"/>
      <c r="T184" s="549"/>
      <c r="U184" s="549"/>
      <c r="V184" s="549"/>
      <c r="W184" s="549"/>
      <c r="X184" s="549"/>
      <c r="Y184" s="549"/>
      <c r="Z184" s="549"/>
      <c r="AA184" s="549"/>
      <c r="AB184" s="549"/>
      <c r="AC184" s="549"/>
      <c r="AD184" s="549"/>
      <c r="AE184" s="549"/>
      <c r="AF184" s="549"/>
      <c r="AG184" s="549"/>
      <c r="AH184" s="549"/>
      <c r="AI184" s="549"/>
      <c r="AJ184" s="549"/>
      <c r="AK184" s="549"/>
      <c r="AL184" s="549"/>
      <c r="AM184" s="549"/>
      <c r="AN184" s="549"/>
      <c r="AO184" s="549"/>
      <c r="AP184" s="549"/>
      <c r="AQ184" s="549"/>
      <c r="AR184" s="549"/>
      <c r="AS184" s="549"/>
      <c r="AT184" s="549"/>
      <c r="AU184" s="549"/>
      <c r="AV184" s="549"/>
      <c r="AW184" s="549"/>
      <c r="AX184" s="549"/>
      <c r="AY184" s="549"/>
      <c r="AZ184" s="549"/>
      <c r="BA184" s="549"/>
      <c r="BB184" s="549"/>
      <c r="BC184" s="549"/>
      <c r="BD184" s="549"/>
      <c r="BE184" s="549"/>
      <c r="BF184" s="549"/>
      <c r="BG184" s="549"/>
      <c r="BH184" s="549"/>
      <c r="BI184" s="549"/>
    </row>
    <row r="185" spans="16:61" s="254" customFormat="1" ht="9.9">
      <c r="P185" s="549"/>
      <c r="Q185" s="549"/>
      <c r="R185" s="549"/>
      <c r="S185" s="549"/>
      <c r="T185" s="549"/>
      <c r="U185" s="549"/>
      <c r="V185" s="549"/>
      <c r="W185" s="549"/>
      <c r="X185" s="549"/>
      <c r="Y185" s="549"/>
      <c r="Z185" s="549"/>
      <c r="AA185" s="549"/>
      <c r="AB185" s="549"/>
      <c r="AC185" s="549"/>
      <c r="AD185" s="549"/>
      <c r="AE185" s="549"/>
      <c r="AF185" s="549"/>
      <c r="AG185" s="549"/>
      <c r="AH185" s="549"/>
      <c r="AI185" s="549"/>
      <c r="AJ185" s="549"/>
      <c r="AK185" s="549"/>
      <c r="AL185" s="549"/>
      <c r="AM185" s="549"/>
      <c r="AN185" s="549"/>
      <c r="AO185" s="549"/>
      <c r="AP185" s="549"/>
      <c r="AQ185" s="549"/>
      <c r="AR185" s="549"/>
      <c r="AS185" s="549"/>
      <c r="AT185" s="549"/>
      <c r="AU185" s="549"/>
      <c r="AV185" s="549"/>
      <c r="AW185" s="549"/>
      <c r="AX185" s="549"/>
      <c r="AY185" s="549"/>
      <c r="AZ185" s="549"/>
      <c r="BA185" s="549"/>
      <c r="BB185" s="549"/>
      <c r="BC185" s="549"/>
      <c r="BD185" s="549"/>
      <c r="BE185" s="549"/>
      <c r="BF185" s="549"/>
      <c r="BG185" s="549"/>
      <c r="BH185" s="549"/>
      <c r="BI185" s="549"/>
    </row>
    <row r="186" spans="16:61" s="254" customFormat="1" ht="9.9">
      <c r="P186" s="549"/>
      <c r="Q186" s="549"/>
      <c r="R186" s="549"/>
      <c r="S186" s="549"/>
      <c r="T186" s="549"/>
      <c r="U186" s="549"/>
      <c r="V186" s="549"/>
      <c r="W186" s="549"/>
      <c r="X186" s="549"/>
      <c r="Y186" s="549"/>
      <c r="Z186" s="549"/>
      <c r="AA186" s="549"/>
      <c r="AB186" s="549"/>
      <c r="AC186" s="549"/>
      <c r="AD186" s="549"/>
      <c r="AE186" s="549"/>
      <c r="AF186" s="549"/>
      <c r="AG186" s="549"/>
      <c r="AH186" s="549"/>
      <c r="AI186" s="549"/>
      <c r="AJ186" s="549"/>
      <c r="AK186" s="549"/>
      <c r="AL186" s="549"/>
      <c r="AM186" s="549"/>
      <c r="AN186" s="549"/>
      <c r="AO186" s="549"/>
      <c r="AP186" s="549"/>
      <c r="AQ186" s="549"/>
      <c r="AR186" s="549"/>
      <c r="AS186" s="549"/>
      <c r="AT186" s="549"/>
      <c r="AU186" s="549"/>
      <c r="AV186" s="549"/>
      <c r="AW186" s="549"/>
      <c r="AX186" s="549"/>
      <c r="AY186" s="549"/>
      <c r="AZ186" s="549"/>
      <c r="BA186" s="549"/>
      <c r="BB186" s="549"/>
      <c r="BC186" s="549"/>
      <c r="BD186" s="549"/>
      <c r="BE186" s="549"/>
      <c r="BF186" s="549"/>
      <c r="BG186" s="549"/>
      <c r="BH186" s="549"/>
      <c r="BI186" s="549"/>
    </row>
    <row r="187" spans="16:61" s="254" customFormat="1" ht="9.9">
      <c r="P187" s="549"/>
      <c r="Q187" s="549"/>
      <c r="R187" s="549"/>
      <c r="S187" s="549"/>
      <c r="T187" s="549"/>
      <c r="U187" s="549"/>
      <c r="V187" s="549"/>
      <c r="W187" s="549"/>
      <c r="X187" s="549"/>
      <c r="Y187" s="549"/>
      <c r="Z187" s="549"/>
      <c r="AA187" s="549"/>
      <c r="AB187" s="549"/>
      <c r="AC187" s="549"/>
      <c r="AD187" s="549"/>
      <c r="AE187" s="549"/>
      <c r="AF187" s="549"/>
      <c r="AG187" s="549"/>
      <c r="AH187" s="549"/>
      <c r="AI187" s="549"/>
      <c r="AJ187" s="549"/>
      <c r="AK187" s="549"/>
      <c r="AL187" s="549"/>
      <c r="AM187" s="549"/>
      <c r="AN187" s="549"/>
      <c r="AO187" s="549"/>
      <c r="AP187" s="549"/>
      <c r="AQ187" s="549"/>
      <c r="AR187" s="549"/>
      <c r="AS187" s="549"/>
      <c r="AT187" s="549"/>
      <c r="AU187" s="549"/>
      <c r="AV187" s="549"/>
      <c r="AW187" s="549"/>
      <c r="AX187" s="549"/>
      <c r="AY187" s="549"/>
      <c r="AZ187" s="549"/>
      <c r="BA187" s="549"/>
      <c r="BB187" s="549"/>
      <c r="BC187" s="549"/>
      <c r="BD187" s="549"/>
      <c r="BE187" s="549"/>
      <c r="BF187" s="549"/>
      <c r="BG187" s="549"/>
      <c r="BH187" s="549"/>
      <c r="BI187" s="549"/>
    </row>
    <row r="188" spans="16:61" s="254" customFormat="1" ht="9.9">
      <c r="P188" s="549"/>
      <c r="Q188" s="549"/>
      <c r="R188" s="549"/>
      <c r="S188" s="549"/>
      <c r="T188" s="549"/>
      <c r="U188" s="549"/>
      <c r="V188" s="549"/>
      <c r="W188" s="549"/>
      <c r="X188" s="549"/>
      <c r="Y188" s="549"/>
      <c r="Z188" s="549"/>
      <c r="AA188" s="549"/>
      <c r="AB188" s="549"/>
      <c r="AC188" s="549"/>
      <c r="AD188" s="549"/>
      <c r="AE188" s="549"/>
      <c r="AF188" s="549"/>
      <c r="AG188" s="549"/>
      <c r="AH188" s="549"/>
      <c r="AI188" s="549"/>
      <c r="AJ188" s="549"/>
      <c r="AK188" s="549"/>
      <c r="AL188" s="549"/>
      <c r="AM188" s="549"/>
      <c r="AN188" s="549"/>
      <c r="AO188" s="549"/>
      <c r="AP188" s="549"/>
      <c r="AQ188" s="549"/>
      <c r="AR188" s="549"/>
      <c r="AS188" s="549"/>
      <c r="AT188" s="549"/>
      <c r="AU188" s="549"/>
      <c r="AV188" s="549"/>
      <c r="AW188" s="549"/>
      <c r="AX188" s="549"/>
      <c r="AY188" s="549"/>
      <c r="AZ188" s="549"/>
      <c r="BA188" s="549"/>
      <c r="BB188" s="549"/>
      <c r="BC188" s="549"/>
      <c r="BD188" s="549"/>
      <c r="BE188" s="549"/>
      <c r="BF188" s="549"/>
      <c r="BG188" s="549"/>
      <c r="BH188" s="549"/>
      <c r="BI188" s="549"/>
    </row>
    <row r="189" spans="16:61" s="254" customFormat="1" ht="9.9">
      <c r="P189" s="549"/>
      <c r="Q189" s="549"/>
      <c r="R189" s="549"/>
      <c r="S189" s="549"/>
      <c r="T189" s="549"/>
      <c r="U189" s="549"/>
      <c r="V189" s="549"/>
      <c r="W189" s="549"/>
      <c r="X189" s="549"/>
      <c r="Y189" s="549"/>
      <c r="Z189" s="549"/>
      <c r="AA189" s="549"/>
      <c r="AB189" s="549"/>
      <c r="AC189" s="549"/>
      <c r="AD189" s="549"/>
      <c r="AE189" s="549"/>
      <c r="AF189" s="549"/>
      <c r="AG189" s="549"/>
      <c r="AH189" s="549"/>
      <c r="AI189" s="549"/>
      <c r="AJ189" s="549"/>
      <c r="AK189" s="549"/>
      <c r="AL189" s="549"/>
      <c r="AM189" s="549"/>
      <c r="AN189" s="549"/>
      <c r="AO189" s="549"/>
      <c r="AP189" s="549"/>
      <c r="AQ189" s="549"/>
      <c r="AR189" s="549"/>
      <c r="AS189" s="549"/>
      <c r="AT189" s="549"/>
      <c r="AU189" s="549"/>
      <c r="AV189" s="549"/>
      <c r="AW189" s="549"/>
      <c r="AX189" s="549"/>
      <c r="AY189" s="549"/>
      <c r="AZ189" s="549"/>
      <c r="BA189" s="549"/>
      <c r="BB189" s="549"/>
      <c r="BC189" s="549"/>
      <c r="BD189" s="549"/>
      <c r="BE189" s="549"/>
      <c r="BF189" s="549"/>
      <c r="BG189" s="549"/>
      <c r="BH189" s="549"/>
      <c r="BI189" s="549"/>
    </row>
    <row r="190" spans="16:61" s="254" customFormat="1" ht="9.9">
      <c r="P190" s="549"/>
      <c r="Q190" s="549"/>
      <c r="R190" s="549"/>
      <c r="S190" s="549"/>
      <c r="T190" s="549"/>
      <c r="U190" s="549"/>
      <c r="V190" s="549"/>
      <c r="W190" s="549"/>
      <c r="X190" s="549"/>
      <c r="Y190" s="549"/>
      <c r="Z190" s="549"/>
      <c r="AA190" s="549"/>
      <c r="AB190" s="549"/>
      <c r="AC190" s="549"/>
      <c r="AD190" s="549"/>
      <c r="AE190" s="549"/>
      <c r="AF190" s="549"/>
      <c r="AG190" s="549"/>
      <c r="AH190" s="549"/>
      <c r="AI190" s="549"/>
      <c r="AJ190" s="549"/>
      <c r="AK190" s="549"/>
      <c r="AL190" s="549"/>
      <c r="AM190" s="549"/>
      <c r="AN190" s="549"/>
      <c r="AO190" s="549"/>
      <c r="AP190" s="549"/>
      <c r="AQ190" s="549"/>
      <c r="AR190" s="549"/>
      <c r="AS190" s="549"/>
      <c r="AT190" s="549"/>
      <c r="AU190" s="549"/>
      <c r="AV190" s="549"/>
      <c r="AW190" s="549"/>
      <c r="AX190" s="549"/>
      <c r="AY190" s="549"/>
      <c r="AZ190" s="549"/>
      <c r="BA190" s="549"/>
      <c r="BB190" s="549"/>
      <c r="BC190" s="549"/>
      <c r="BD190" s="549"/>
      <c r="BE190" s="549"/>
      <c r="BF190" s="549"/>
      <c r="BG190" s="549"/>
      <c r="BH190" s="549"/>
      <c r="BI190" s="549"/>
    </row>
    <row r="191" spans="16:61" s="254" customFormat="1" ht="9.9">
      <c r="P191" s="549"/>
      <c r="Q191" s="549"/>
      <c r="R191" s="549"/>
      <c r="S191" s="549"/>
      <c r="T191" s="549"/>
      <c r="U191" s="549"/>
      <c r="V191" s="549"/>
      <c r="W191" s="549"/>
      <c r="X191" s="549"/>
      <c r="Y191" s="549"/>
      <c r="Z191" s="549"/>
      <c r="AA191" s="549"/>
      <c r="AB191" s="549"/>
      <c r="AC191" s="549"/>
      <c r="AD191" s="549"/>
      <c r="AE191" s="549"/>
      <c r="AF191" s="549"/>
      <c r="AG191" s="549"/>
      <c r="AH191" s="549"/>
      <c r="AI191" s="549"/>
      <c r="AJ191" s="549"/>
      <c r="AK191" s="549"/>
      <c r="AL191" s="549"/>
      <c r="AM191" s="549"/>
      <c r="AN191" s="549"/>
      <c r="AO191" s="549"/>
      <c r="AP191" s="549"/>
      <c r="AQ191" s="549"/>
      <c r="AR191" s="549"/>
      <c r="AS191" s="549"/>
      <c r="AT191" s="549"/>
      <c r="AU191" s="549"/>
      <c r="AV191" s="549"/>
      <c r="AW191" s="549"/>
      <c r="AX191" s="549"/>
      <c r="AY191" s="549"/>
      <c r="AZ191" s="549"/>
      <c r="BA191" s="549"/>
      <c r="BB191" s="549"/>
      <c r="BC191" s="549"/>
      <c r="BD191" s="549"/>
      <c r="BE191" s="549"/>
      <c r="BF191" s="549"/>
      <c r="BG191" s="549"/>
      <c r="BH191" s="549"/>
      <c r="BI191" s="549"/>
    </row>
    <row r="192" spans="16:61" s="254" customFormat="1" ht="9.9">
      <c r="P192" s="549"/>
      <c r="Q192" s="549"/>
      <c r="R192" s="549"/>
      <c r="S192" s="549"/>
      <c r="T192" s="549"/>
      <c r="U192" s="549"/>
      <c r="V192" s="549"/>
      <c r="W192" s="549"/>
      <c r="X192" s="549"/>
      <c r="Y192" s="549"/>
      <c r="Z192" s="549"/>
      <c r="AA192" s="549"/>
      <c r="AB192" s="549"/>
      <c r="AC192" s="549"/>
      <c r="AD192" s="549"/>
      <c r="AE192" s="549"/>
      <c r="AF192" s="549"/>
      <c r="AG192" s="549"/>
      <c r="AH192" s="549"/>
      <c r="AI192" s="549"/>
      <c r="AJ192" s="549"/>
      <c r="AK192" s="549"/>
      <c r="AL192" s="549"/>
      <c r="AM192" s="549"/>
      <c r="AN192" s="549"/>
      <c r="AO192" s="549"/>
      <c r="AP192" s="549"/>
      <c r="AQ192" s="549"/>
      <c r="AR192" s="549"/>
      <c r="AS192" s="549"/>
      <c r="AT192" s="549"/>
      <c r="AU192" s="549"/>
      <c r="AV192" s="549"/>
      <c r="AW192" s="549"/>
      <c r="AX192" s="549"/>
      <c r="AY192" s="549"/>
      <c r="AZ192" s="549"/>
      <c r="BA192" s="549"/>
      <c r="BB192" s="549"/>
      <c r="BC192" s="549"/>
      <c r="BD192" s="549"/>
      <c r="BE192" s="549"/>
      <c r="BF192" s="549"/>
      <c r="BG192" s="549"/>
      <c r="BH192" s="549"/>
      <c r="BI192" s="549"/>
    </row>
    <row r="193" spans="16:61" s="254" customFormat="1" ht="9.9">
      <c r="P193" s="549"/>
      <c r="Q193" s="549"/>
      <c r="R193" s="549"/>
      <c r="S193" s="549"/>
      <c r="T193" s="549"/>
      <c r="U193" s="549"/>
      <c r="V193" s="549"/>
      <c r="W193" s="549"/>
      <c r="X193" s="549"/>
      <c r="Y193" s="549"/>
      <c r="Z193" s="549"/>
      <c r="AA193" s="549"/>
      <c r="AB193" s="549"/>
      <c r="AC193" s="549"/>
      <c r="AD193" s="549"/>
      <c r="AE193" s="549"/>
      <c r="AF193" s="549"/>
      <c r="AG193" s="549"/>
      <c r="AH193" s="549"/>
      <c r="AI193" s="549"/>
      <c r="AJ193" s="549"/>
      <c r="AK193" s="549"/>
      <c r="AL193" s="549"/>
      <c r="AM193" s="549"/>
      <c r="AN193" s="549"/>
      <c r="AO193" s="549"/>
      <c r="AP193" s="549"/>
      <c r="AQ193" s="549"/>
      <c r="AR193" s="549"/>
      <c r="AS193" s="549"/>
      <c r="AT193" s="549"/>
      <c r="AU193" s="549"/>
      <c r="AV193" s="549"/>
      <c r="AW193" s="549"/>
      <c r="AX193" s="549"/>
      <c r="AY193" s="549"/>
      <c r="AZ193" s="549"/>
      <c r="BA193" s="549"/>
      <c r="BB193" s="549"/>
      <c r="BC193" s="549"/>
      <c r="BD193" s="549"/>
      <c r="BE193" s="549"/>
      <c r="BF193" s="549"/>
      <c r="BG193" s="549"/>
      <c r="BH193" s="549"/>
      <c r="BI193" s="549"/>
    </row>
    <row r="194" spans="16:61" s="254" customFormat="1" ht="9.9">
      <c r="P194" s="549"/>
      <c r="Q194" s="549"/>
      <c r="R194" s="549"/>
      <c r="S194" s="549"/>
      <c r="T194" s="549"/>
      <c r="U194" s="549"/>
      <c r="V194" s="549"/>
      <c r="W194" s="549"/>
      <c r="X194" s="549"/>
      <c r="Y194" s="549"/>
      <c r="Z194" s="549"/>
      <c r="AA194" s="549"/>
      <c r="AB194" s="549"/>
      <c r="AC194" s="549"/>
      <c r="AD194" s="549"/>
      <c r="AE194" s="549"/>
      <c r="AF194" s="549"/>
      <c r="AG194" s="549"/>
      <c r="AH194" s="549"/>
      <c r="AI194" s="549"/>
      <c r="AJ194" s="549"/>
      <c r="AK194" s="549"/>
      <c r="AL194" s="549"/>
      <c r="AM194" s="549"/>
      <c r="AN194" s="549"/>
      <c r="AO194" s="549"/>
      <c r="AP194" s="549"/>
      <c r="AQ194" s="549"/>
      <c r="AR194" s="549"/>
      <c r="AS194" s="549"/>
      <c r="AT194" s="549"/>
      <c r="AU194" s="549"/>
      <c r="AV194" s="549"/>
      <c r="AW194" s="549"/>
      <c r="AX194" s="549"/>
      <c r="AY194" s="549"/>
      <c r="AZ194" s="549"/>
      <c r="BA194" s="549"/>
      <c r="BB194" s="549"/>
      <c r="BC194" s="549"/>
      <c r="BD194" s="549"/>
      <c r="BE194" s="549"/>
      <c r="BF194" s="549"/>
      <c r="BG194" s="549"/>
      <c r="BH194" s="549"/>
      <c r="BI194" s="549"/>
    </row>
    <row r="195" spans="16:61" s="254" customFormat="1" ht="9.9">
      <c r="P195" s="549"/>
      <c r="Q195" s="549"/>
      <c r="R195" s="549"/>
      <c r="S195" s="549"/>
      <c r="T195" s="549"/>
      <c r="U195" s="549"/>
      <c r="V195" s="549"/>
      <c r="W195" s="549"/>
      <c r="X195" s="549"/>
      <c r="Y195" s="549"/>
      <c r="Z195" s="549"/>
      <c r="AA195" s="549"/>
      <c r="AB195" s="549"/>
      <c r="AC195" s="549"/>
      <c r="AD195" s="549"/>
      <c r="AE195" s="549"/>
      <c r="AF195" s="549"/>
      <c r="AG195" s="549"/>
      <c r="AH195" s="549"/>
      <c r="AI195" s="549"/>
      <c r="AJ195" s="549"/>
      <c r="AK195" s="549"/>
      <c r="AL195" s="549"/>
      <c r="AM195" s="549"/>
      <c r="AN195" s="549"/>
      <c r="AO195" s="549"/>
      <c r="AP195" s="549"/>
      <c r="AQ195" s="549"/>
      <c r="AR195" s="549"/>
      <c r="AS195" s="549"/>
      <c r="AT195" s="549"/>
      <c r="AU195" s="549"/>
      <c r="AV195" s="549"/>
      <c r="AW195" s="549"/>
      <c r="AX195" s="549"/>
      <c r="AY195" s="549"/>
      <c r="AZ195" s="549"/>
      <c r="BA195" s="549"/>
      <c r="BB195" s="549"/>
      <c r="BC195" s="549"/>
      <c r="BD195" s="549"/>
      <c r="BE195" s="549"/>
      <c r="BF195" s="549"/>
      <c r="BG195" s="549"/>
      <c r="BH195" s="549"/>
      <c r="BI195" s="549"/>
    </row>
    <row r="196" spans="16:61" s="254" customFormat="1" ht="9.9">
      <c r="P196" s="549"/>
      <c r="Q196" s="549"/>
      <c r="R196" s="549"/>
      <c r="S196" s="549"/>
      <c r="T196" s="549"/>
      <c r="U196" s="549"/>
      <c r="V196" s="549"/>
      <c r="W196" s="549"/>
      <c r="X196" s="549"/>
      <c r="Y196" s="549"/>
      <c r="Z196" s="549"/>
      <c r="AA196" s="549"/>
      <c r="AB196" s="549"/>
      <c r="AC196" s="549"/>
      <c r="AD196" s="549"/>
      <c r="AE196" s="549"/>
      <c r="AF196" s="549"/>
      <c r="AG196" s="549"/>
      <c r="AH196" s="549"/>
      <c r="AI196" s="549"/>
      <c r="AJ196" s="549"/>
      <c r="AK196" s="549"/>
      <c r="AL196" s="549"/>
      <c r="AM196" s="549"/>
      <c r="AN196" s="549"/>
      <c r="AO196" s="549"/>
      <c r="AP196" s="549"/>
      <c r="AQ196" s="549"/>
      <c r="AR196" s="549"/>
      <c r="AS196" s="549"/>
      <c r="AT196" s="549"/>
      <c r="AU196" s="549"/>
      <c r="AV196" s="549"/>
      <c r="AW196" s="549"/>
      <c r="AX196" s="549"/>
      <c r="AY196" s="549"/>
      <c r="AZ196" s="549"/>
      <c r="BA196" s="549"/>
      <c r="BB196" s="549"/>
      <c r="BC196" s="549"/>
      <c r="BD196" s="549"/>
      <c r="BE196" s="549"/>
      <c r="BF196" s="549"/>
      <c r="BG196" s="549"/>
      <c r="BH196" s="549"/>
      <c r="BI196" s="549"/>
    </row>
    <row r="197" spans="16:61" s="254" customFormat="1" ht="9.9">
      <c r="P197" s="549"/>
      <c r="Q197" s="549"/>
      <c r="R197" s="549"/>
      <c r="S197" s="549"/>
      <c r="T197" s="549"/>
      <c r="U197" s="549"/>
      <c r="V197" s="549"/>
      <c r="W197" s="549"/>
      <c r="X197" s="549"/>
      <c r="Y197" s="549"/>
      <c r="Z197" s="549"/>
      <c r="AA197" s="549"/>
      <c r="AB197" s="549"/>
      <c r="AC197" s="549"/>
      <c r="AD197" s="549"/>
      <c r="AE197" s="549"/>
      <c r="AF197" s="549"/>
      <c r="AG197" s="549"/>
      <c r="AH197" s="549"/>
      <c r="AI197" s="549"/>
      <c r="AJ197" s="549"/>
      <c r="AK197" s="549"/>
      <c r="AL197" s="549"/>
      <c r="AM197" s="549"/>
      <c r="AN197" s="549"/>
      <c r="AO197" s="549"/>
      <c r="AP197" s="549"/>
      <c r="AQ197" s="549"/>
      <c r="AR197" s="549"/>
      <c r="AS197" s="549"/>
      <c r="AT197" s="549"/>
      <c r="AU197" s="549"/>
      <c r="AV197" s="549"/>
      <c r="AW197" s="549"/>
      <c r="AX197" s="549"/>
      <c r="AY197" s="549"/>
      <c r="AZ197" s="549"/>
      <c r="BA197" s="549"/>
      <c r="BB197" s="549"/>
      <c r="BC197" s="549"/>
      <c r="BD197" s="549"/>
      <c r="BE197" s="549"/>
      <c r="BF197" s="549"/>
      <c r="BG197" s="549"/>
      <c r="BH197" s="549"/>
      <c r="BI197" s="549"/>
    </row>
    <row r="198" spans="16:61" s="254" customFormat="1" ht="9.9">
      <c r="P198" s="549"/>
      <c r="Q198" s="549"/>
      <c r="R198" s="549"/>
      <c r="S198" s="549"/>
      <c r="T198" s="549"/>
      <c r="U198" s="549"/>
      <c r="V198" s="549"/>
      <c r="W198" s="549"/>
      <c r="X198" s="549"/>
      <c r="Y198" s="549"/>
      <c r="Z198" s="549"/>
      <c r="AA198" s="549"/>
      <c r="AB198" s="549"/>
      <c r="AC198" s="549"/>
      <c r="AD198" s="549"/>
      <c r="AE198" s="549"/>
      <c r="AF198" s="549"/>
      <c r="AG198" s="549"/>
      <c r="AH198" s="549"/>
      <c r="AI198" s="549"/>
      <c r="AJ198" s="549"/>
      <c r="AK198" s="549"/>
      <c r="AL198" s="549"/>
      <c r="AM198" s="549"/>
      <c r="AN198" s="549"/>
      <c r="AO198" s="549"/>
      <c r="AP198" s="549"/>
      <c r="AQ198" s="549"/>
      <c r="AR198" s="549"/>
      <c r="AS198" s="549"/>
      <c r="AT198" s="549"/>
      <c r="AU198" s="549"/>
      <c r="AV198" s="549"/>
      <c r="AW198" s="549"/>
      <c r="AX198" s="549"/>
      <c r="AY198" s="549"/>
      <c r="AZ198" s="549"/>
      <c r="BA198" s="549"/>
      <c r="BB198" s="549"/>
      <c r="BC198" s="549"/>
      <c r="BD198" s="549"/>
      <c r="BE198" s="549"/>
      <c r="BF198" s="549"/>
      <c r="BG198" s="549"/>
      <c r="BH198" s="549"/>
      <c r="BI198" s="549"/>
    </row>
    <row r="199" spans="16:61" s="254" customFormat="1" ht="9.9">
      <c r="P199" s="549"/>
      <c r="Q199" s="549"/>
      <c r="R199" s="549"/>
      <c r="S199" s="549"/>
      <c r="T199" s="549"/>
      <c r="U199" s="549"/>
      <c r="V199" s="549"/>
      <c r="W199" s="549"/>
      <c r="X199" s="549"/>
      <c r="Y199" s="549"/>
      <c r="Z199" s="549"/>
      <c r="AA199" s="549"/>
      <c r="AB199" s="549"/>
      <c r="AC199" s="549"/>
      <c r="AD199" s="549"/>
      <c r="AE199" s="549"/>
      <c r="AF199" s="549"/>
      <c r="AG199" s="549"/>
      <c r="AH199" s="549"/>
      <c r="AI199" s="549"/>
      <c r="AJ199" s="549"/>
      <c r="AK199" s="549"/>
      <c r="AL199" s="549"/>
      <c r="AM199" s="549"/>
      <c r="AN199" s="549"/>
      <c r="AO199" s="549"/>
      <c r="AP199" s="549"/>
      <c r="AQ199" s="549"/>
      <c r="AR199" s="549"/>
      <c r="AS199" s="549"/>
      <c r="AT199" s="549"/>
      <c r="AU199" s="549"/>
      <c r="AV199" s="549"/>
      <c r="AW199" s="549"/>
      <c r="AX199" s="549"/>
      <c r="AY199" s="549"/>
      <c r="AZ199" s="549"/>
      <c r="BA199" s="549"/>
      <c r="BB199" s="549"/>
      <c r="BC199" s="549"/>
      <c r="BD199" s="549"/>
      <c r="BE199" s="549"/>
      <c r="BF199" s="549"/>
      <c r="BG199" s="549"/>
      <c r="BH199" s="549"/>
      <c r="BI199" s="549"/>
    </row>
    <row r="200" spans="16:61" s="254" customFormat="1" ht="9.9">
      <c r="P200" s="549"/>
      <c r="Q200" s="549"/>
      <c r="R200" s="549"/>
      <c r="S200" s="549"/>
      <c r="T200" s="549"/>
      <c r="U200" s="549"/>
      <c r="V200" s="549"/>
      <c r="W200" s="549"/>
      <c r="X200" s="549"/>
      <c r="Y200" s="549"/>
      <c r="Z200" s="549"/>
      <c r="AA200" s="549"/>
      <c r="AB200" s="549"/>
      <c r="AC200" s="549"/>
      <c r="AD200" s="549"/>
      <c r="AE200" s="549"/>
      <c r="AF200" s="549"/>
      <c r="AG200" s="549"/>
      <c r="AH200" s="549"/>
      <c r="AI200" s="549"/>
      <c r="AJ200" s="549"/>
      <c r="AK200" s="549"/>
      <c r="AL200" s="549"/>
      <c r="AM200" s="549"/>
      <c r="AN200" s="549"/>
      <c r="AO200" s="549"/>
      <c r="AP200" s="549"/>
      <c r="AQ200" s="549"/>
      <c r="AR200" s="549"/>
      <c r="AS200" s="549"/>
      <c r="AT200" s="549"/>
      <c r="AU200" s="549"/>
      <c r="AV200" s="549"/>
      <c r="AW200" s="549"/>
      <c r="AX200" s="549"/>
      <c r="AY200" s="549"/>
      <c r="AZ200" s="549"/>
      <c r="BA200" s="549"/>
      <c r="BB200" s="549"/>
      <c r="BC200" s="549"/>
      <c r="BD200" s="549"/>
      <c r="BE200" s="549"/>
      <c r="BF200" s="549"/>
      <c r="BG200" s="549"/>
      <c r="BH200" s="549"/>
      <c r="BI200" s="549"/>
    </row>
    <row r="201" spans="16:61" s="254" customFormat="1" ht="9.9">
      <c r="P201" s="549"/>
      <c r="Q201" s="549"/>
      <c r="R201" s="549"/>
      <c r="S201" s="549"/>
      <c r="T201" s="549"/>
      <c r="U201" s="549"/>
      <c r="V201" s="549"/>
      <c r="W201" s="549"/>
      <c r="X201" s="549"/>
      <c r="Y201" s="549"/>
      <c r="Z201" s="549"/>
      <c r="AA201" s="549"/>
      <c r="AB201" s="549"/>
      <c r="AC201" s="549"/>
      <c r="AD201" s="549"/>
      <c r="AE201" s="549"/>
      <c r="AF201" s="549"/>
      <c r="AG201" s="549"/>
      <c r="AH201" s="549"/>
      <c r="AI201" s="549"/>
      <c r="AJ201" s="549"/>
      <c r="AK201" s="549"/>
      <c r="AL201" s="549"/>
      <c r="AM201" s="549"/>
      <c r="AN201" s="549"/>
      <c r="AO201" s="549"/>
      <c r="AP201" s="549"/>
      <c r="AQ201" s="549"/>
      <c r="AR201" s="549"/>
      <c r="AS201" s="549"/>
      <c r="AT201" s="549"/>
      <c r="AU201" s="549"/>
      <c r="AV201" s="549"/>
      <c r="AW201" s="549"/>
      <c r="AX201" s="549"/>
      <c r="AY201" s="549"/>
      <c r="AZ201" s="549"/>
      <c r="BA201" s="549"/>
      <c r="BB201" s="549"/>
      <c r="BC201" s="549"/>
      <c r="BD201" s="549"/>
      <c r="BE201" s="549"/>
      <c r="BF201" s="549"/>
      <c r="BG201" s="549"/>
      <c r="BH201" s="549"/>
      <c r="BI201" s="549"/>
    </row>
    <row r="202" spans="16:61" s="254" customFormat="1" ht="9.9">
      <c r="P202" s="549"/>
      <c r="Q202" s="549"/>
      <c r="R202" s="549"/>
      <c r="S202" s="549"/>
      <c r="T202" s="549"/>
      <c r="U202" s="549"/>
      <c r="V202" s="549"/>
      <c r="W202" s="549"/>
      <c r="X202" s="549"/>
      <c r="Y202" s="549"/>
      <c r="Z202" s="549"/>
      <c r="AA202" s="549"/>
      <c r="AB202" s="549"/>
      <c r="AC202" s="549"/>
      <c r="AD202" s="549"/>
      <c r="AE202" s="549"/>
      <c r="AF202" s="549"/>
      <c r="AG202" s="549"/>
      <c r="AH202" s="549"/>
      <c r="AI202" s="549"/>
      <c r="AJ202" s="549"/>
      <c r="AK202" s="549"/>
      <c r="AL202" s="549"/>
      <c r="AM202" s="549"/>
      <c r="AN202" s="549"/>
      <c r="AO202" s="549"/>
      <c r="AP202" s="549"/>
      <c r="AQ202" s="549"/>
      <c r="AR202" s="549"/>
      <c r="AS202" s="549"/>
      <c r="AT202" s="549"/>
      <c r="AU202" s="549"/>
      <c r="AV202" s="549"/>
      <c r="AW202" s="549"/>
      <c r="AX202" s="549"/>
      <c r="AY202" s="549"/>
      <c r="AZ202" s="549"/>
      <c r="BA202" s="549"/>
      <c r="BB202" s="549"/>
      <c r="BC202" s="549"/>
      <c r="BD202" s="549"/>
      <c r="BE202" s="549"/>
      <c r="BF202" s="549"/>
      <c r="BG202" s="549"/>
      <c r="BH202" s="549"/>
      <c r="BI202" s="549"/>
    </row>
    <row r="203" spans="16:61" s="254" customFormat="1" ht="9.9">
      <c r="P203" s="549"/>
      <c r="Q203" s="549"/>
      <c r="R203" s="549"/>
      <c r="S203" s="549"/>
      <c r="T203" s="549"/>
      <c r="U203" s="549"/>
      <c r="V203" s="549"/>
      <c r="W203" s="549"/>
      <c r="X203" s="549"/>
      <c r="Y203" s="549"/>
      <c r="Z203" s="549"/>
      <c r="AA203" s="549"/>
      <c r="AB203" s="549"/>
      <c r="AC203" s="549"/>
      <c r="AD203" s="549"/>
      <c r="AE203" s="549"/>
      <c r="AF203" s="549"/>
      <c r="AG203" s="549"/>
      <c r="AH203" s="549"/>
      <c r="AI203" s="549"/>
      <c r="AJ203" s="549"/>
      <c r="AK203" s="549"/>
      <c r="AL203" s="549"/>
      <c r="AM203" s="549"/>
      <c r="AN203" s="549"/>
      <c r="AO203" s="549"/>
      <c r="AP203" s="549"/>
      <c r="AQ203" s="549"/>
      <c r="AR203" s="549"/>
      <c r="AS203" s="549"/>
      <c r="AT203" s="549"/>
      <c r="AU203" s="549"/>
      <c r="AV203" s="549"/>
      <c r="AW203" s="549"/>
      <c r="AX203" s="549"/>
      <c r="AY203" s="549"/>
      <c r="AZ203" s="549"/>
      <c r="BA203" s="549"/>
      <c r="BB203" s="549"/>
      <c r="BC203" s="549"/>
      <c r="BD203" s="549"/>
      <c r="BE203" s="549"/>
      <c r="BF203" s="549"/>
      <c r="BG203" s="549"/>
      <c r="BH203" s="549"/>
      <c r="BI203" s="549"/>
    </row>
    <row r="204" spans="16:61" s="254" customFormat="1" ht="9.9">
      <c r="P204" s="549"/>
      <c r="Q204" s="549"/>
      <c r="R204" s="549"/>
      <c r="S204" s="549"/>
      <c r="T204" s="549"/>
      <c r="U204" s="549"/>
      <c r="V204" s="549"/>
      <c r="W204" s="549"/>
      <c r="X204" s="549"/>
      <c r="Y204" s="549"/>
      <c r="Z204" s="549"/>
      <c r="AA204" s="549"/>
      <c r="AB204" s="549"/>
      <c r="AC204" s="549"/>
      <c r="AD204" s="549"/>
      <c r="AE204" s="549"/>
      <c r="AF204" s="549"/>
      <c r="AG204" s="549"/>
      <c r="AH204" s="549"/>
      <c r="AI204" s="549"/>
      <c r="AJ204" s="549"/>
      <c r="AK204" s="549"/>
      <c r="AL204" s="549"/>
      <c r="AM204" s="549"/>
      <c r="AN204" s="549"/>
      <c r="AO204" s="549"/>
      <c r="AP204" s="549"/>
      <c r="AQ204" s="549"/>
      <c r="AR204" s="549"/>
      <c r="AS204" s="549"/>
      <c r="AT204" s="549"/>
      <c r="AU204" s="549"/>
      <c r="AV204" s="549"/>
      <c r="AW204" s="549"/>
      <c r="AX204" s="549"/>
      <c r="AY204" s="549"/>
      <c r="AZ204" s="549"/>
      <c r="BA204" s="549"/>
      <c r="BB204" s="549"/>
      <c r="BC204" s="549"/>
      <c r="BD204" s="549"/>
      <c r="BE204" s="549"/>
      <c r="BF204" s="549"/>
      <c r="BG204" s="549"/>
      <c r="BH204" s="549"/>
      <c r="BI204" s="549"/>
    </row>
    <row r="205" spans="16:61" s="254" customFormat="1" ht="9.9">
      <c r="P205" s="549"/>
      <c r="Q205" s="549"/>
      <c r="R205" s="549"/>
      <c r="S205" s="549"/>
      <c r="T205" s="549"/>
      <c r="U205" s="549"/>
      <c r="V205" s="549"/>
      <c r="W205" s="549"/>
      <c r="X205" s="549"/>
      <c r="Y205" s="549"/>
      <c r="Z205" s="549"/>
      <c r="AA205" s="549"/>
      <c r="AB205" s="549"/>
      <c r="AC205" s="549"/>
      <c r="AD205" s="549"/>
      <c r="AE205" s="549"/>
      <c r="AF205" s="549"/>
      <c r="AG205" s="549"/>
      <c r="AH205" s="549"/>
      <c r="AI205" s="549"/>
      <c r="AJ205" s="549"/>
      <c r="AK205" s="549"/>
      <c r="AL205" s="549"/>
      <c r="AM205" s="549"/>
      <c r="AN205" s="549"/>
      <c r="AO205" s="549"/>
      <c r="AP205" s="549"/>
      <c r="AQ205" s="549"/>
      <c r="AR205" s="549"/>
      <c r="AS205" s="549"/>
      <c r="AT205" s="549"/>
      <c r="AU205" s="549"/>
      <c r="AV205" s="549"/>
      <c r="AW205" s="549"/>
      <c r="AX205" s="549"/>
      <c r="AY205" s="549"/>
      <c r="AZ205" s="549"/>
      <c r="BA205" s="549"/>
      <c r="BB205" s="549"/>
      <c r="BC205" s="549"/>
      <c r="BD205" s="549"/>
      <c r="BE205" s="549"/>
      <c r="BF205" s="549"/>
      <c r="BG205" s="549"/>
      <c r="BH205" s="549"/>
      <c r="BI205" s="549"/>
    </row>
    <row r="206" spans="16:61" s="254" customFormat="1" ht="9.9">
      <c r="P206" s="549"/>
      <c r="Q206" s="549"/>
      <c r="R206" s="549"/>
      <c r="S206" s="549"/>
      <c r="T206" s="549"/>
      <c r="U206" s="549"/>
      <c r="V206" s="549"/>
      <c r="W206" s="549"/>
      <c r="X206" s="549"/>
      <c r="Y206" s="549"/>
      <c r="Z206" s="549"/>
      <c r="AA206" s="549"/>
      <c r="AB206" s="549"/>
      <c r="AC206" s="549"/>
      <c r="AD206" s="549"/>
      <c r="AE206" s="549"/>
      <c r="AF206" s="549"/>
      <c r="AG206" s="549"/>
      <c r="AH206" s="549"/>
      <c r="AI206" s="549"/>
      <c r="AJ206" s="549"/>
      <c r="AK206" s="549"/>
      <c r="AL206" s="549"/>
      <c r="AM206" s="549"/>
      <c r="AN206" s="549"/>
      <c r="AO206" s="549"/>
      <c r="AP206" s="549"/>
      <c r="AQ206" s="549"/>
      <c r="AR206" s="549"/>
      <c r="AS206" s="549"/>
      <c r="AT206" s="549"/>
      <c r="AU206" s="549"/>
      <c r="AV206" s="549"/>
      <c r="AW206" s="549"/>
      <c r="AX206" s="549"/>
      <c r="AY206" s="549"/>
      <c r="AZ206" s="549"/>
      <c r="BA206" s="549"/>
      <c r="BB206" s="549"/>
      <c r="BC206" s="549"/>
      <c r="BD206" s="549"/>
      <c r="BE206" s="549"/>
      <c r="BF206" s="549"/>
      <c r="BG206" s="549"/>
      <c r="BH206" s="549"/>
      <c r="BI206" s="549"/>
    </row>
    <row r="207" spans="16:61" s="254" customFormat="1" ht="9.9">
      <c r="P207" s="549"/>
      <c r="Q207" s="549"/>
      <c r="R207" s="549"/>
      <c r="S207" s="549"/>
      <c r="T207" s="549"/>
      <c r="U207" s="549"/>
      <c r="V207" s="549"/>
      <c r="W207" s="549"/>
      <c r="X207" s="549"/>
      <c r="Y207" s="549"/>
      <c r="Z207" s="549"/>
      <c r="AA207" s="549"/>
      <c r="AB207" s="549"/>
      <c r="AC207" s="549"/>
      <c r="AD207" s="549"/>
      <c r="AE207" s="549"/>
      <c r="AF207" s="549"/>
      <c r="AG207" s="549"/>
      <c r="AH207" s="549"/>
      <c r="AI207" s="549"/>
      <c r="AJ207" s="549"/>
      <c r="AK207" s="549"/>
      <c r="AL207" s="549"/>
      <c r="AM207" s="549"/>
      <c r="AN207" s="549"/>
      <c r="AO207" s="549"/>
      <c r="AP207" s="549"/>
      <c r="AQ207" s="549"/>
      <c r="AR207" s="549"/>
      <c r="AS207" s="549"/>
      <c r="AT207" s="549"/>
      <c r="AU207" s="549"/>
      <c r="AV207" s="549"/>
      <c r="AW207" s="549"/>
      <c r="AX207" s="549"/>
      <c r="AY207" s="549"/>
      <c r="AZ207" s="549"/>
      <c r="BA207" s="549"/>
      <c r="BB207" s="549"/>
      <c r="BC207" s="549"/>
      <c r="BD207" s="549"/>
      <c r="BE207" s="549"/>
      <c r="BF207" s="549"/>
      <c r="BG207" s="549"/>
      <c r="BH207" s="549"/>
      <c r="BI207" s="549"/>
    </row>
    <row r="208" spans="16:61" s="254" customFormat="1" ht="9.9">
      <c r="P208" s="549"/>
      <c r="Q208" s="549"/>
      <c r="R208" s="549"/>
      <c r="S208" s="549"/>
      <c r="T208" s="549"/>
      <c r="U208" s="549"/>
      <c r="V208" s="549"/>
      <c r="W208" s="549"/>
      <c r="X208" s="549"/>
      <c r="Y208" s="549"/>
      <c r="Z208" s="549"/>
      <c r="AA208" s="549"/>
      <c r="AB208" s="549"/>
      <c r="AC208" s="549"/>
      <c r="AD208" s="549"/>
      <c r="AE208" s="549"/>
      <c r="AF208" s="549"/>
      <c r="AG208" s="549"/>
      <c r="AH208" s="549"/>
      <c r="AI208" s="549"/>
      <c r="AJ208" s="549"/>
      <c r="AK208" s="549"/>
      <c r="AL208" s="549"/>
      <c r="AM208" s="549"/>
      <c r="AN208" s="549"/>
      <c r="AO208" s="549"/>
      <c r="AP208" s="549"/>
      <c r="AQ208" s="549"/>
      <c r="AR208" s="549"/>
      <c r="AS208" s="549"/>
      <c r="AT208" s="549"/>
      <c r="AU208" s="549"/>
      <c r="AV208" s="549"/>
      <c r="AW208" s="549"/>
      <c r="AX208" s="549"/>
      <c r="AY208" s="549"/>
      <c r="AZ208" s="549"/>
      <c r="BA208" s="549"/>
      <c r="BB208" s="549"/>
      <c r="BC208" s="549"/>
      <c r="BD208" s="549"/>
      <c r="BE208" s="549"/>
      <c r="BF208" s="549"/>
      <c r="BG208" s="549"/>
      <c r="BH208" s="549"/>
      <c r="BI208" s="549"/>
    </row>
    <row r="209" spans="16:61" s="254" customFormat="1" ht="9.9">
      <c r="P209" s="549"/>
      <c r="Q209" s="549"/>
      <c r="R209" s="549"/>
      <c r="S209" s="549"/>
      <c r="T209" s="549"/>
      <c r="U209" s="549"/>
      <c r="V209" s="549"/>
      <c r="W209" s="549"/>
      <c r="X209" s="549"/>
      <c r="Y209" s="549"/>
      <c r="Z209" s="549"/>
      <c r="AA209" s="549"/>
      <c r="AB209" s="549"/>
      <c r="AC209" s="549"/>
      <c r="AD209" s="549"/>
      <c r="AE209" s="549"/>
      <c r="AF209" s="549"/>
      <c r="AG209" s="549"/>
      <c r="AH209" s="549"/>
      <c r="AI209" s="549"/>
      <c r="AJ209" s="549"/>
      <c r="AK209" s="549"/>
      <c r="AL209" s="549"/>
      <c r="AM209" s="549"/>
      <c r="AN209" s="549"/>
      <c r="AO209" s="549"/>
      <c r="AP209" s="549"/>
      <c r="AQ209" s="549"/>
      <c r="AR209" s="549"/>
      <c r="AS209" s="549"/>
      <c r="AT209" s="549"/>
      <c r="AU209" s="549"/>
      <c r="AV209" s="549"/>
      <c r="AW209" s="549"/>
      <c r="AX209" s="549"/>
      <c r="AY209" s="549"/>
      <c r="AZ209" s="549"/>
      <c r="BA209" s="549"/>
      <c r="BB209" s="549"/>
      <c r="BC209" s="549"/>
      <c r="BD209" s="549"/>
      <c r="BE209" s="549"/>
      <c r="BF209" s="549"/>
      <c r="BG209" s="549"/>
      <c r="BH209" s="549"/>
      <c r="BI209" s="549"/>
    </row>
    <row r="210" spans="16:61" s="254" customFormat="1" ht="9.9">
      <c r="P210" s="549"/>
      <c r="Q210" s="549"/>
      <c r="R210" s="549"/>
      <c r="S210" s="549"/>
      <c r="T210" s="549"/>
      <c r="U210" s="549"/>
      <c r="V210" s="549"/>
      <c r="W210" s="549"/>
      <c r="X210" s="549"/>
      <c r="Y210" s="549"/>
      <c r="Z210" s="549"/>
      <c r="AA210" s="549"/>
      <c r="AB210" s="549"/>
      <c r="AC210" s="549"/>
      <c r="AD210" s="549"/>
      <c r="AE210" s="549"/>
      <c r="AF210" s="549"/>
      <c r="AG210" s="549"/>
      <c r="AH210" s="549"/>
      <c r="AI210" s="549"/>
      <c r="AJ210" s="549"/>
      <c r="AK210" s="549"/>
      <c r="AL210" s="549"/>
      <c r="AM210" s="549"/>
      <c r="AN210" s="549"/>
      <c r="AO210" s="549"/>
      <c r="AP210" s="549"/>
      <c r="AQ210" s="549"/>
      <c r="AR210" s="549"/>
      <c r="AS210" s="549"/>
      <c r="AT210" s="549"/>
      <c r="AU210" s="549"/>
      <c r="AV210" s="549"/>
      <c r="AW210" s="549"/>
      <c r="AX210" s="549"/>
      <c r="AY210" s="549"/>
      <c r="AZ210" s="549"/>
      <c r="BA210" s="549"/>
      <c r="BB210" s="549"/>
      <c r="BC210" s="549"/>
      <c r="BD210" s="549"/>
      <c r="BE210" s="549"/>
      <c r="BF210" s="549"/>
      <c r="BG210" s="549"/>
      <c r="BH210" s="549"/>
      <c r="BI210" s="549"/>
    </row>
    <row r="211" spans="16:61" s="254" customFormat="1" ht="9.9">
      <c r="P211" s="549"/>
      <c r="Q211" s="549"/>
      <c r="R211" s="549"/>
      <c r="S211" s="549"/>
      <c r="T211" s="549"/>
      <c r="U211" s="549"/>
      <c r="V211" s="549"/>
      <c r="W211" s="549"/>
      <c r="X211" s="549"/>
      <c r="Y211" s="549"/>
      <c r="Z211" s="549"/>
      <c r="AA211" s="549"/>
      <c r="AB211" s="549"/>
      <c r="AC211" s="549"/>
      <c r="AD211" s="549"/>
      <c r="AE211" s="549"/>
      <c r="AF211" s="549"/>
      <c r="AG211" s="549"/>
      <c r="AH211" s="549"/>
      <c r="AI211" s="549"/>
      <c r="AJ211" s="549"/>
      <c r="AK211" s="549"/>
      <c r="AL211" s="549"/>
      <c r="AM211" s="549"/>
      <c r="AN211" s="549"/>
      <c r="AO211" s="549"/>
      <c r="AP211" s="549"/>
      <c r="AQ211" s="549"/>
      <c r="AR211" s="549"/>
      <c r="AS211" s="549"/>
      <c r="AT211" s="549"/>
      <c r="AU211" s="549"/>
      <c r="AV211" s="549"/>
      <c r="AW211" s="549"/>
      <c r="AX211" s="549"/>
      <c r="AY211" s="549"/>
      <c r="AZ211" s="549"/>
      <c r="BA211" s="549"/>
      <c r="BB211" s="549"/>
      <c r="BC211" s="549"/>
      <c r="BD211" s="549"/>
      <c r="BE211" s="549"/>
      <c r="BF211" s="549"/>
      <c r="BG211" s="549"/>
      <c r="BH211" s="549"/>
      <c r="BI211" s="549"/>
    </row>
    <row r="212" spans="16:61" s="254" customFormat="1" ht="9.9">
      <c r="P212" s="549"/>
      <c r="Q212" s="549"/>
      <c r="R212" s="549"/>
      <c r="S212" s="549"/>
      <c r="T212" s="549"/>
      <c r="U212" s="549"/>
      <c r="V212" s="549"/>
      <c r="W212" s="549"/>
      <c r="X212" s="549"/>
      <c r="Y212" s="549"/>
      <c r="Z212" s="549"/>
      <c r="AA212" s="549"/>
      <c r="AB212" s="549"/>
      <c r="AC212" s="549"/>
      <c r="AD212" s="549"/>
      <c r="AE212" s="549"/>
      <c r="AF212" s="549"/>
      <c r="AG212" s="549"/>
      <c r="AH212" s="549"/>
      <c r="AI212" s="549"/>
      <c r="AJ212" s="549"/>
      <c r="AK212" s="549"/>
      <c r="AL212" s="549"/>
      <c r="AM212" s="549"/>
      <c r="AN212" s="549"/>
      <c r="AO212" s="549"/>
      <c r="AP212" s="549"/>
      <c r="AQ212" s="549"/>
      <c r="AR212" s="549"/>
      <c r="AS212" s="549"/>
      <c r="AT212" s="549"/>
      <c r="AU212" s="549"/>
      <c r="AV212" s="549"/>
      <c r="AW212" s="549"/>
      <c r="AX212" s="549"/>
      <c r="AY212" s="549"/>
      <c r="AZ212" s="549"/>
      <c r="BA212" s="549"/>
      <c r="BB212" s="549"/>
      <c r="BC212" s="549"/>
      <c r="BD212" s="549"/>
      <c r="BE212" s="549"/>
      <c r="BF212" s="549"/>
      <c r="BG212" s="549"/>
      <c r="BH212" s="549"/>
      <c r="BI212" s="549"/>
    </row>
    <row r="213" spans="16:61" s="254" customFormat="1" ht="9.9">
      <c r="P213" s="549"/>
      <c r="Q213" s="549"/>
      <c r="R213" s="549"/>
      <c r="S213" s="549"/>
      <c r="T213" s="549"/>
      <c r="U213" s="549"/>
      <c r="V213" s="549"/>
      <c r="W213" s="549"/>
      <c r="X213" s="549"/>
      <c r="Y213" s="549"/>
      <c r="Z213" s="549"/>
      <c r="AA213" s="549"/>
      <c r="AB213" s="549"/>
      <c r="AC213" s="549"/>
      <c r="AD213" s="549"/>
      <c r="AE213" s="549"/>
      <c r="AF213" s="549"/>
      <c r="AG213" s="549"/>
      <c r="AH213" s="549"/>
      <c r="AI213" s="549"/>
      <c r="AJ213" s="549"/>
      <c r="AK213" s="549"/>
      <c r="AL213" s="549"/>
      <c r="AM213" s="549"/>
      <c r="AN213" s="549"/>
      <c r="AO213" s="549"/>
      <c r="AP213" s="549"/>
      <c r="AQ213" s="549"/>
      <c r="AR213" s="549"/>
      <c r="AS213" s="549"/>
      <c r="AT213" s="549"/>
      <c r="AU213" s="549"/>
      <c r="AV213" s="549"/>
      <c r="AW213" s="549"/>
      <c r="AX213" s="549"/>
      <c r="AY213" s="549"/>
      <c r="AZ213" s="549"/>
      <c r="BA213" s="549"/>
      <c r="BB213" s="549"/>
      <c r="BC213" s="549"/>
      <c r="BD213" s="549"/>
      <c r="BE213" s="549"/>
      <c r="BF213" s="549"/>
      <c r="BG213" s="549"/>
      <c r="BH213" s="549"/>
      <c r="BI213" s="549"/>
    </row>
    <row r="214" spans="16:61" s="254" customFormat="1" ht="9.9">
      <c r="P214" s="549"/>
      <c r="Q214" s="549"/>
      <c r="R214" s="549"/>
      <c r="S214" s="549"/>
      <c r="T214" s="549"/>
      <c r="U214" s="549"/>
      <c r="V214" s="549"/>
      <c r="W214" s="549"/>
      <c r="X214" s="549"/>
      <c r="Y214" s="549"/>
      <c r="Z214" s="549"/>
      <c r="AA214" s="549"/>
      <c r="AB214" s="549"/>
      <c r="AC214" s="549"/>
      <c r="AD214" s="549"/>
      <c r="AE214" s="549"/>
      <c r="AF214" s="549"/>
      <c r="AG214" s="549"/>
      <c r="AH214" s="549"/>
      <c r="AI214" s="549"/>
      <c r="AJ214" s="549"/>
      <c r="AK214" s="549"/>
      <c r="AL214" s="549"/>
      <c r="AM214" s="549"/>
      <c r="AN214" s="549"/>
      <c r="AO214" s="549"/>
      <c r="AP214" s="549"/>
      <c r="AQ214" s="549"/>
      <c r="AR214" s="549"/>
      <c r="AS214" s="549"/>
      <c r="AT214" s="549"/>
      <c r="AU214" s="549"/>
      <c r="AV214" s="549"/>
      <c r="AW214" s="549"/>
      <c r="AX214" s="549"/>
      <c r="AY214" s="549"/>
      <c r="AZ214" s="549"/>
      <c r="BA214" s="549"/>
      <c r="BB214" s="549"/>
      <c r="BC214" s="549"/>
      <c r="BD214" s="549"/>
      <c r="BE214" s="549"/>
      <c r="BF214" s="549"/>
      <c r="BG214" s="549"/>
      <c r="BH214" s="549"/>
      <c r="BI214" s="549"/>
    </row>
    <row r="215" spans="16:61" s="254" customFormat="1" ht="9.9">
      <c r="P215" s="549"/>
      <c r="Q215" s="549"/>
      <c r="R215" s="549"/>
      <c r="S215" s="549"/>
      <c r="T215" s="549"/>
      <c r="U215" s="549"/>
      <c r="V215" s="549"/>
      <c r="W215" s="549"/>
      <c r="X215" s="549"/>
      <c r="Y215" s="549"/>
      <c r="Z215" s="549"/>
      <c r="AA215" s="549"/>
      <c r="AB215" s="549"/>
      <c r="AC215" s="549"/>
      <c r="AD215" s="549"/>
      <c r="AE215" s="549"/>
      <c r="AF215" s="549"/>
      <c r="AG215" s="549"/>
      <c r="AH215" s="549"/>
      <c r="AI215" s="549"/>
      <c r="AJ215" s="549"/>
      <c r="AK215" s="549"/>
      <c r="AL215" s="549"/>
      <c r="AM215" s="549"/>
      <c r="AN215" s="549"/>
      <c r="AO215" s="549"/>
      <c r="AP215" s="549"/>
      <c r="AQ215" s="549"/>
      <c r="AR215" s="549"/>
      <c r="AS215" s="549"/>
      <c r="AT215" s="549"/>
      <c r="AU215" s="549"/>
      <c r="AV215" s="549"/>
      <c r="AW215" s="549"/>
      <c r="AX215" s="549"/>
      <c r="AY215" s="549"/>
      <c r="AZ215" s="549"/>
      <c r="BA215" s="549"/>
      <c r="BB215" s="549"/>
      <c r="BC215" s="549"/>
      <c r="BD215" s="549"/>
      <c r="BE215" s="549"/>
      <c r="BF215" s="549"/>
      <c r="BG215" s="549"/>
      <c r="BH215" s="549"/>
      <c r="BI215" s="549"/>
    </row>
    <row r="216" spans="16:61" s="254" customFormat="1" ht="9.9">
      <c r="P216" s="549"/>
      <c r="Q216" s="549"/>
      <c r="R216" s="549"/>
      <c r="S216" s="549"/>
      <c r="T216" s="549"/>
      <c r="U216" s="549"/>
      <c r="V216" s="549"/>
      <c r="W216" s="549"/>
      <c r="X216" s="549"/>
      <c r="Y216" s="549"/>
      <c r="Z216" s="549"/>
      <c r="AA216" s="549"/>
      <c r="AB216" s="549"/>
      <c r="AC216" s="549"/>
      <c r="AD216" s="549"/>
      <c r="AE216" s="549"/>
      <c r="AF216" s="549"/>
      <c r="AG216" s="549"/>
      <c r="AH216" s="549"/>
      <c r="AI216" s="549"/>
      <c r="AJ216" s="549"/>
      <c r="AK216" s="549"/>
      <c r="AL216" s="549"/>
      <c r="AM216" s="549"/>
      <c r="AN216" s="549"/>
      <c r="AO216" s="549"/>
      <c r="AP216" s="549"/>
      <c r="AQ216" s="549"/>
      <c r="AR216" s="549"/>
      <c r="AS216" s="549"/>
      <c r="AT216" s="549"/>
      <c r="AU216" s="549"/>
      <c r="AV216" s="549"/>
      <c r="AW216" s="549"/>
      <c r="AX216" s="549"/>
      <c r="AY216" s="549"/>
      <c r="AZ216" s="549"/>
      <c r="BA216" s="549"/>
      <c r="BB216" s="549"/>
      <c r="BC216" s="549"/>
      <c r="BD216" s="549"/>
      <c r="BE216" s="549"/>
      <c r="BF216" s="549"/>
      <c r="BG216" s="549"/>
      <c r="BH216" s="549"/>
      <c r="BI216" s="549"/>
    </row>
    <row r="217" spans="16:61" s="254" customFormat="1" ht="9.9">
      <c r="P217" s="549"/>
      <c r="Q217" s="549"/>
      <c r="R217" s="549"/>
      <c r="S217" s="549"/>
      <c r="T217" s="549"/>
      <c r="U217" s="549"/>
      <c r="V217" s="549"/>
      <c r="W217" s="549"/>
      <c r="X217" s="549"/>
      <c r="Y217" s="549"/>
      <c r="Z217" s="549"/>
      <c r="AA217" s="549"/>
      <c r="AB217" s="549"/>
      <c r="AC217" s="549"/>
      <c r="AD217" s="549"/>
      <c r="AE217" s="549"/>
      <c r="AF217" s="549"/>
      <c r="AG217" s="549"/>
      <c r="AH217" s="549"/>
      <c r="AI217" s="549"/>
      <c r="AJ217" s="549"/>
      <c r="AK217" s="549"/>
      <c r="AL217" s="549"/>
      <c r="AM217" s="549"/>
      <c r="AN217" s="549"/>
      <c r="AO217" s="549"/>
      <c r="AP217" s="549"/>
      <c r="AQ217" s="549"/>
      <c r="AR217" s="549"/>
      <c r="AS217" s="549"/>
      <c r="AT217" s="549"/>
      <c r="AU217" s="549"/>
      <c r="AV217" s="549"/>
      <c r="AW217" s="549"/>
      <c r="AX217" s="549"/>
      <c r="AY217" s="549"/>
      <c r="AZ217" s="549"/>
      <c r="BA217" s="549"/>
      <c r="BB217" s="549"/>
      <c r="BC217" s="549"/>
      <c r="BD217" s="549"/>
      <c r="BE217" s="549"/>
      <c r="BF217" s="549"/>
      <c r="BG217" s="549"/>
      <c r="BH217" s="549"/>
      <c r="BI217" s="549"/>
    </row>
    <row r="218" spans="16:61" s="254" customFormat="1" ht="9.9">
      <c r="P218" s="549"/>
      <c r="Q218" s="549"/>
      <c r="R218" s="549"/>
      <c r="S218" s="549"/>
      <c r="T218" s="549"/>
      <c r="U218" s="549"/>
      <c r="V218" s="549"/>
      <c r="W218" s="549"/>
      <c r="X218" s="549"/>
      <c r="Y218" s="549"/>
      <c r="Z218" s="549"/>
      <c r="AA218" s="549"/>
      <c r="AB218" s="549"/>
      <c r="AC218" s="549"/>
      <c r="AD218" s="549"/>
      <c r="AE218" s="549"/>
      <c r="AF218" s="549"/>
      <c r="AG218" s="549"/>
      <c r="AH218" s="549"/>
      <c r="AI218" s="549"/>
      <c r="AJ218" s="549"/>
      <c r="AK218" s="549"/>
      <c r="AL218" s="549"/>
      <c r="AM218" s="549"/>
      <c r="AN218" s="549"/>
      <c r="AO218" s="549"/>
      <c r="AP218" s="549"/>
      <c r="AQ218" s="549"/>
      <c r="AR218" s="549"/>
      <c r="AS218" s="549"/>
      <c r="AT218" s="549"/>
      <c r="AU218" s="549"/>
      <c r="AV218" s="549"/>
      <c r="AW218" s="549"/>
      <c r="AX218" s="549"/>
      <c r="AY218" s="549"/>
      <c r="AZ218" s="549"/>
      <c r="BA218" s="549"/>
      <c r="BB218" s="549"/>
      <c r="BC218" s="549"/>
      <c r="BD218" s="549"/>
      <c r="BE218" s="549"/>
      <c r="BF218" s="549"/>
      <c r="BG218" s="549"/>
      <c r="BH218" s="549"/>
      <c r="BI218" s="549"/>
    </row>
    <row r="219" spans="16:61" s="254" customFormat="1" ht="9.9">
      <c r="P219" s="549"/>
      <c r="Q219" s="549"/>
      <c r="R219" s="549"/>
      <c r="S219" s="549"/>
      <c r="T219" s="549"/>
      <c r="U219" s="549"/>
      <c r="V219" s="549"/>
      <c r="W219" s="549"/>
      <c r="X219" s="549"/>
      <c r="Y219" s="549"/>
      <c r="Z219" s="549"/>
      <c r="AA219" s="549"/>
      <c r="AB219" s="549"/>
      <c r="AC219" s="549"/>
      <c r="AD219" s="549"/>
      <c r="AE219" s="549"/>
      <c r="AF219" s="549"/>
      <c r="AG219" s="549"/>
      <c r="AH219" s="549"/>
      <c r="AI219" s="549"/>
      <c r="AJ219" s="549"/>
      <c r="AK219" s="549"/>
      <c r="AL219" s="549"/>
      <c r="AM219" s="549"/>
      <c r="AN219" s="549"/>
      <c r="AO219" s="549"/>
      <c r="AP219" s="549"/>
      <c r="AQ219" s="549"/>
      <c r="AR219" s="549"/>
      <c r="AS219" s="549"/>
      <c r="AT219" s="549"/>
      <c r="AU219" s="549"/>
      <c r="AV219" s="549"/>
      <c r="AW219" s="549"/>
      <c r="AX219" s="549"/>
      <c r="AY219" s="549"/>
      <c r="AZ219" s="549"/>
      <c r="BA219" s="549"/>
      <c r="BB219" s="549"/>
      <c r="BC219" s="549"/>
      <c r="BD219" s="549"/>
      <c r="BE219" s="549"/>
      <c r="BF219" s="549"/>
      <c r="BG219" s="549"/>
      <c r="BH219" s="549"/>
      <c r="BI219" s="549"/>
    </row>
    <row r="220" spans="16:61" s="254" customFormat="1" ht="9.9">
      <c r="P220" s="549"/>
      <c r="Q220" s="549"/>
      <c r="R220" s="549"/>
      <c r="S220" s="549"/>
      <c r="T220" s="549"/>
      <c r="U220" s="549"/>
      <c r="V220" s="549"/>
      <c r="W220" s="549"/>
      <c r="X220" s="549"/>
      <c r="Y220" s="549"/>
      <c r="Z220" s="549"/>
      <c r="AA220" s="549"/>
      <c r="AB220" s="549"/>
      <c r="AC220" s="549"/>
      <c r="AD220" s="549"/>
      <c r="AE220" s="549"/>
      <c r="AF220" s="549"/>
      <c r="AG220" s="549"/>
      <c r="AH220" s="549"/>
      <c r="AI220" s="549"/>
      <c r="AJ220" s="549"/>
      <c r="AK220" s="549"/>
      <c r="AL220" s="549"/>
      <c r="AM220" s="549"/>
      <c r="AN220" s="549"/>
      <c r="AO220" s="549"/>
      <c r="AP220" s="549"/>
      <c r="AQ220" s="549"/>
      <c r="AR220" s="549"/>
      <c r="AS220" s="549"/>
      <c r="AT220" s="549"/>
      <c r="AU220" s="549"/>
      <c r="AV220" s="549"/>
      <c r="AW220" s="549"/>
      <c r="AX220" s="549"/>
      <c r="AY220" s="549"/>
      <c r="AZ220" s="549"/>
      <c r="BA220" s="549"/>
      <c r="BB220" s="549"/>
      <c r="BC220" s="549"/>
      <c r="BD220" s="549"/>
      <c r="BE220" s="549"/>
      <c r="BF220" s="549"/>
      <c r="BG220" s="549"/>
      <c r="BH220" s="549"/>
      <c r="BI220" s="549"/>
    </row>
    <row r="221" spans="16:61" s="254" customFormat="1" ht="9.9">
      <c r="P221" s="549"/>
      <c r="Q221" s="549"/>
      <c r="R221" s="549"/>
      <c r="S221" s="549"/>
      <c r="T221" s="549"/>
      <c r="U221" s="549"/>
      <c r="V221" s="549"/>
      <c r="W221" s="549"/>
      <c r="X221" s="549"/>
      <c r="Y221" s="549"/>
      <c r="Z221" s="549"/>
      <c r="AA221" s="549"/>
      <c r="AB221" s="549"/>
      <c r="AC221" s="549"/>
      <c r="AD221" s="549"/>
      <c r="AE221" s="549"/>
      <c r="AF221" s="549"/>
      <c r="AG221" s="549"/>
      <c r="AH221" s="549"/>
      <c r="AI221" s="549"/>
      <c r="AJ221" s="549"/>
      <c r="AK221" s="549"/>
      <c r="AL221" s="549"/>
      <c r="AM221" s="549"/>
      <c r="AN221" s="549"/>
      <c r="AO221" s="549"/>
      <c r="AP221" s="549"/>
      <c r="AQ221" s="549"/>
      <c r="AR221" s="549"/>
      <c r="AS221" s="549"/>
      <c r="AT221" s="549"/>
      <c r="AU221" s="549"/>
      <c r="AV221" s="549"/>
      <c r="AW221" s="549"/>
      <c r="AX221" s="549"/>
      <c r="AY221" s="549"/>
      <c r="AZ221" s="549"/>
      <c r="BA221" s="549"/>
      <c r="BB221" s="549"/>
      <c r="BC221" s="549"/>
      <c r="BD221" s="549"/>
      <c r="BE221" s="549"/>
      <c r="BF221" s="549"/>
      <c r="BG221" s="549"/>
      <c r="BH221" s="549"/>
      <c r="BI221" s="549"/>
    </row>
    <row r="222" spans="16:61" s="254" customFormat="1" ht="9.9">
      <c r="P222" s="549"/>
      <c r="Q222" s="549"/>
      <c r="R222" s="549"/>
      <c r="S222" s="549"/>
      <c r="T222" s="549"/>
      <c r="U222" s="549"/>
      <c r="V222" s="549"/>
      <c r="W222" s="549"/>
      <c r="X222" s="549"/>
      <c r="Y222" s="549"/>
      <c r="Z222" s="549"/>
      <c r="AA222" s="549"/>
      <c r="AB222" s="549"/>
      <c r="AC222" s="549"/>
      <c r="AD222" s="549"/>
      <c r="AE222" s="549"/>
      <c r="AF222" s="549"/>
      <c r="AG222" s="549"/>
      <c r="AH222" s="549"/>
      <c r="AI222" s="549"/>
      <c r="AJ222" s="549"/>
      <c r="AK222" s="549"/>
      <c r="AL222" s="549"/>
      <c r="AM222" s="549"/>
      <c r="AN222" s="549"/>
      <c r="AO222" s="549"/>
      <c r="AP222" s="549"/>
      <c r="AQ222" s="549"/>
      <c r="AR222" s="549"/>
      <c r="AS222" s="549"/>
      <c r="AT222" s="549"/>
      <c r="AU222" s="549"/>
      <c r="AV222" s="549"/>
      <c r="AW222" s="549"/>
      <c r="AX222" s="549"/>
      <c r="AY222" s="549"/>
      <c r="AZ222" s="549"/>
      <c r="BA222" s="549"/>
      <c r="BB222" s="549"/>
      <c r="BC222" s="549"/>
      <c r="BD222" s="549"/>
      <c r="BE222" s="549"/>
      <c r="BF222" s="549"/>
      <c r="BG222" s="549"/>
      <c r="BH222" s="549"/>
      <c r="BI222" s="549"/>
    </row>
    <row r="223" spans="16:61" s="254" customFormat="1" ht="9.9">
      <c r="P223" s="549"/>
      <c r="Q223" s="549"/>
      <c r="R223" s="549"/>
      <c r="S223" s="549"/>
      <c r="T223" s="549"/>
      <c r="U223" s="549"/>
      <c r="V223" s="549"/>
      <c r="W223" s="549"/>
      <c r="X223" s="549"/>
      <c r="Y223" s="549"/>
      <c r="Z223" s="549"/>
      <c r="AA223" s="549"/>
      <c r="AB223" s="549"/>
      <c r="AC223" s="549"/>
      <c r="AD223" s="549"/>
      <c r="AE223" s="549"/>
      <c r="AF223" s="549"/>
      <c r="AG223" s="549"/>
      <c r="AH223" s="549"/>
      <c r="AI223" s="549"/>
      <c r="AJ223" s="549"/>
      <c r="AK223" s="549"/>
      <c r="AL223" s="549"/>
      <c r="AM223" s="549"/>
      <c r="AN223" s="549"/>
      <c r="AO223" s="549"/>
      <c r="AP223" s="549"/>
      <c r="AQ223" s="549"/>
      <c r="AR223" s="549"/>
      <c r="AS223" s="549"/>
      <c r="AT223" s="549"/>
      <c r="AU223" s="549"/>
      <c r="AV223" s="549"/>
      <c r="AW223" s="549"/>
      <c r="AX223" s="549"/>
      <c r="AY223" s="549"/>
      <c r="AZ223" s="549"/>
      <c r="BA223" s="549"/>
      <c r="BB223" s="549"/>
      <c r="BC223" s="549"/>
      <c r="BD223" s="549"/>
      <c r="BE223" s="549"/>
      <c r="BF223" s="549"/>
      <c r="BG223" s="549"/>
      <c r="BH223" s="549"/>
      <c r="BI223" s="549"/>
    </row>
    <row r="224" spans="16:61" s="254" customFormat="1" ht="9.9">
      <c r="P224" s="549"/>
      <c r="Q224" s="549"/>
      <c r="R224" s="549"/>
      <c r="S224" s="549"/>
      <c r="T224" s="549"/>
      <c r="U224" s="549"/>
      <c r="V224" s="549"/>
      <c r="W224" s="549"/>
      <c r="X224" s="549"/>
      <c r="Y224" s="549"/>
      <c r="Z224" s="549"/>
      <c r="AA224" s="549"/>
      <c r="AB224" s="549"/>
      <c r="AC224" s="549"/>
      <c r="AD224" s="549"/>
      <c r="AE224" s="549"/>
      <c r="AF224" s="549"/>
      <c r="AG224" s="549"/>
      <c r="AH224" s="549"/>
      <c r="AI224" s="549"/>
      <c r="AJ224" s="549"/>
      <c r="AK224" s="549"/>
      <c r="AL224" s="549"/>
      <c r="AM224" s="549"/>
      <c r="AN224" s="549"/>
      <c r="AO224" s="549"/>
      <c r="AP224" s="549"/>
      <c r="AQ224" s="549"/>
      <c r="AR224" s="549"/>
      <c r="AS224" s="549"/>
      <c r="AT224" s="549"/>
      <c r="AU224" s="549"/>
      <c r="AV224" s="549"/>
      <c r="AW224" s="549"/>
      <c r="AX224" s="549"/>
      <c r="AY224" s="549"/>
      <c r="AZ224" s="549"/>
      <c r="BA224" s="549"/>
      <c r="BB224" s="549"/>
      <c r="BC224" s="549"/>
      <c r="BD224" s="549"/>
      <c r="BE224" s="549"/>
      <c r="BF224" s="549"/>
      <c r="BG224" s="549"/>
      <c r="BH224" s="549"/>
      <c r="BI224" s="549"/>
    </row>
    <row r="225" spans="16:61" s="254" customFormat="1" ht="9.9">
      <c r="P225" s="549"/>
      <c r="Q225" s="549"/>
      <c r="R225" s="549"/>
      <c r="S225" s="549"/>
      <c r="T225" s="549"/>
      <c r="U225" s="549"/>
      <c r="V225" s="549"/>
      <c r="W225" s="549"/>
      <c r="X225" s="549"/>
      <c r="Y225" s="549"/>
      <c r="Z225" s="549"/>
      <c r="AA225" s="549"/>
      <c r="AB225" s="549"/>
      <c r="AC225" s="549"/>
      <c r="AD225" s="549"/>
      <c r="AE225" s="549"/>
      <c r="AF225" s="549"/>
      <c r="AG225" s="549"/>
      <c r="AH225" s="549"/>
      <c r="AI225" s="549"/>
      <c r="AJ225" s="549"/>
      <c r="AK225" s="549"/>
      <c r="AL225" s="549"/>
      <c r="AM225" s="549"/>
      <c r="AN225" s="549"/>
      <c r="AO225" s="549"/>
      <c r="AP225" s="549"/>
      <c r="AQ225" s="549"/>
      <c r="AR225" s="549"/>
      <c r="AS225" s="549"/>
      <c r="AT225" s="549"/>
      <c r="AU225" s="549"/>
      <c r="AV225" s="549"/>
      <c r="AW225" s="549"/>
      <c r="AX225" s="549"/>
      <c r="AY225" s="549"/>
      <c r="AZ225" s="549"/>
      <c r="BA225" s="549"/>
      <c r="BB225" s="549"/>
      <c r="BC225" s="549"/>
      <c r="BD225" s="549"/>
      <c r="BE225" s="549"/>
      <c r="BF225" s="549"/>
      <c r="BG225" s="549"/>
      <c r="BH225" s="549"/>
      <c r="BI225" s="549"/>
    </row>
    <row r="226" spans="16:61" s="254" customFormat="1" ht="9.9">
      <c r="P226" s="549"/>
      <c r="Q226" s="549"/>
      <c r="R226" s="549"/>
      <c r="S226" s="549"/>
      <c r="T226" s="549"/>
      <c r="U226" s="549"/>
      <c r="V226" s="549"/>
      <c r="W226" s="549"/>
      <c r="X226" s="549"/>
      <c r="Y226" s="549"/>
      <c r="Z226" s="549"/>
      <c r="AA226" s="549"/>
      <c r="AB226" s="549"/>
      <c r="AC226" s="549"/>
      <c r="AD226" s="549"/>
      <c r="AE226" s="549"/>
      <c r="AF226" s="549"/>
      <c r="AG226" s="549"/>
      <c r="AH226" s="549"/>
      <c r="AI226" s="549"/>
      <c r="AJ226" s="549"/>
      <c r="AK226" s="549"/>
      <c r="AL226" s="549"/>
      <c r="AM226" s="549"/>
      <c r="AN226" s="549"/>
      <c r="AO226" s="549"/>
      <c r="AP226" s="549"/>
      <c r="AQ226" s="549"/>
      <c r="AR226" s="549"/>
      <c r="AS226" s="549"/>
      <c r="AT226" s="549"/>
      <c r="AU226" s="549"/>
      <c r="AV226" s="549"/>
      <c r="AW226" s="549"/>
      <c r="AX226" s="549"/>
      <c r="AY226" s="549"/>
      <c r="AZ226" s="549"/>
      <c r="BA226" s="549"/>
      <c r="BB226" s="549"/>
      <c r="BC226" s="549"/>
      <c r="BD226" s="549"/>
      <c r="BE226" s="549"/>
      <c r="BF226" s="549"/>
      <c r="BG226" s="549"/>
      <c r="BH226" s="549"/>
      <c r="BI226" s="549"/>
    </row>
    <row r="227" spans="16:61" s="254" customFormat="1" ht="9.9">
      <c r="P227" s="549"/>
      <c r="Q227" s="549"/>
      <c r="R227" s="549"/>
      <c r="S227" s="549"/>
      <c r="T227" s="549"/>
      <c r="U227" s="549"/>
      <c r="V227" s="549"/>
      <c r="W227" s="549"/>
      <c r="X227" s="549"/>
      <c r="Y227" s="549"/>
      <c r="Z227" s="549"/>
      <c r="AA227" s="549"/>
      <c r="AB227" s="549"/>
      <c r="AC227" s="549"/>
      <c r="AD227" s="549"/>
      <c r="AE227" s="549"/>
      <c r="AF227" s="549"/>
      <c r="AG227" s="549"/>
      <c r="AH227" s="549"/>
      <c r="AI227" s="549"/>
      <c r="AJ227" s="549"/>
      <c r="AK227" s="549"/>
      <c r="AL227" s="549"/>
      <c r="AM227" s="549"/>
      <c r="AN227" s="549"/>
      <c r="AO227" s="549"/>
      <c r="AP227" s="549"/>
      <c r="AQ227" s="549"/>
      <c r="AR227" s="549"/>
      <c r="AS227" s="549"/>
      <c r="AT227" s="549"/>
      <c r="AU227" s="549"/>
      <c r="AV227" s="549"/>
      <c r="AW227" s="549"/>
      <c r="AX227" s="549"/>
      <c r="AY227" s="549"/>
      <c r="AZ227" s="549"/>
      <c r="BA227" s="549"/>
      <c r="BB227" s="549"/>
      <c r="BC227" s="549"/>
      <c r="BD227" s="549"/>
      <c r="BE227" s="549"/>
      <c r="BF227" s="549"/>
      <c r="BG227" s="549"/>
      <c r="BH227" s="549"/>
      <c r="BI227" s="549"/>
    </row>
    <row r="228" spans="16:61" s="254" customFormat="1" ht="9.9">
      <c r="P228" s="549"/>
      <c r="Q228" s="549"/>
      <c r="R228" s="549"/>
      <c r="S228" s="549"/>
      <c r="T228" s="549"/>
      <c r="U228" s="549"/>
      <c r="V228" s="549"/>
      <c r="W228" s="549"/>
      <c r="X228" s="549"/>
      <c r="Y228" s="549"/>
      <c r="Z228" s="549"/>
      <c r="AA228" s="549"/>
      <c r="AB228" s="549"/>
      <c r="AC228" s="549"/>
      <c r="AD228" s="549"/>
      <c r="AE228" s="549"/>
      <c r="AF228" s="549"/>
      <c r="AG228" s="549"/>
      <c r="AH228" s="549"/>
      <c r="AI228" s="549"/>
      <c r="AJ228" s="549"/>
      <c r="AK228" s="549"/>
      <c r="AL228" s="549"/>
      <c r="AM228" s="549"/>
      <c r="AN228" s="549"/>
      <c r="AO228" s="549"/>
      <c r="AP228" s="549"/>
      <c r="AQ228" s="549"/>
      <c r="AR228" s="549"/>
      <c r="AS228" s="549"/>
      <c r="AT228" s="549"/>
      <c r="AU228" s="549"/>
      <c r="AV228" s="549"/>
      <c r="AW228" s="549"/>
      <c r="AX228" s="549"/>
      <c r="AY228" s="549"/>
      <c r="AZ228" s="549"/>
      <c r="BA228" s="549"/>
      <c r="BB228" s="549"/>
      <c r="BC228" s="549"/>
      <c r="BD228" s="549"/>
      <c r="BE228" s="549"/>
      <c r="BF228" s="549"/>
      <c r="BG228" s="549"/>
      <c r="BH228" s="549"/>
      <c r="BI228" s="549"/>
    </row>
    <row r="229" spans="16:61" s="254" customFormat="1" ht="9.9">
      <c r="P229" s="549"/>
      <c r="Q229" s="549"/>
      <c r="R229" s="549"/>
      <c r="S229" s="549"/>
      <c r="T229" s="549"/>
      <c r="U229" s="549"/>
      <c r="V229" s="549"/>
      <c r="W229" s="549"/>
      <c r="X229" s="549"/>
      <c r="Y229" s="549"/>
      <c r="Z229" s="549"/>
      <c r="AA229" s="549"/>
      <c r="AB229" s="549"/>
      <c r="AC229" s="549"/>
      <c r="AD229" s="549"/>
      <c r="AE229" s="549"/>
      <c r="AF229" s="549"/>
      <c r="AG229" s="549"/>
      <c r="AH229" s="549"/>
      <c r="AI229" s="549"/>
      <c r="AJ229" s="549"/>
      <c r="AK229" s="549"/>
      <c r="AL229" s="549"/>
      <c r="AM229" s="549"/>
      <c r="AN229" s="549"/>
      <c r="AO229" s="549"/>
      <c r="AP229" s="549"/>
      <c r="AQ229" s="549"/>
      <c r="AR229" s="549"/>
      <c r="AS229" s="549"/>
      <c r="AT229" s="549"/>
      <c r="AU229" s="549"/>
      <c r="AV229" s="549"/>
      <c r="AW229" s="549"/>
      <c r="AX229" s="549"/>
      <c r="AY229" s="549"/>
      <c r="AZ229" s="549"/>
      <c r="BA229" s="549"/>
      <c r="BB229" s="549"/>
      <c r="BC229" s="549"/>
      <c r="BD229" s="549"/>
      <c r="BE229" s="549"/>
      <c r="BF229" s="549"/>
      <c r="BG229" s="549"/>
      <c r="BH229" s="549"/>
      <c r="BI229" s="549"/>
    </row>
    <row r="230" spans="16:61" s="254" customFormat="1" ht="9.9">
      <c r="P230" s="549"/>
      <c r="Q230" s="549"/>
      <c r="R230" s="549"/>
      <c r="S230" s="549"/>
      <c r="T230" s="549"/>
      <c r="U230" s="549"/>
      <c r="V230" s="549"/>
      <c r="W230" s="549"/>
      <c r="X230" s="549"/>
      <c r="Y230" s="549"/>
      <c r="Z230" s="549"/>
      <c r="AA230" s="549"/>
      <c r="AB230" s="549"/>
      <c r="AC230" s="549"/>
      <c r="AD230" s="549"/>
      <c r="AE230" s="549"/>
      <c r="AF230" s="549"/>
      <c r="AG230" s="549"/>
      <c r="AH230" s="549"/>
      <c r="AI230" s="549"/>
      <c r="AJ230" s="549"/>
      <c r="AK230" s="549"/>
      <c r="AL230" s="549"/>
      <c r="AM230" s="549"/>
      <c r="AN230" s="549"/>
      <c r="AO230" s="549"/>
      <c r="AP230" s="549"/>
      <c r="AQ230" s="549"/>
      <c r="AR230" s="549"/>
      <c r="AS230" s="549"/>
      <c r="AT230" s="549"/>
      <c r="AU230" s="549"/>
      <c r="AV230" s="549"/>
      <c r="AW230" s="549"/>
      <c r="AX230" s="549"/>
      <c r="AY230" s="549"/>
      <c r="AZ230" s="549"/>
      <c r="BA230" s="549"/>
      <c r="BB230" s="549"/>
      <c r="BC230" s="549"/>
      <c r="BD230" s="549"/>
      <c r="BE230" s="549"/>
      <c r="BF230" s="549"/>
      <c r="BG230" s="549"/>
      <c r="BH230" s="549"/>
      <c r="BI230" s="549"/>
    </row>
    <row r="231" spans="16:61" s="254" customFormat="1" ht="9.9">
      <c r="P231" s="549"/>
      <c r="Q231" s="549"/>
      <c r="R231" s="549"/>
      <c r="S231" s="549"/>
      <c r="T231" s="549"/>
      <c r="U231" s="549"/>
      <c r="V231" s="549"/>
      <c r="W231" s="549"/>
      <c r="X231" s="549"/>
      <c r="Y231" s="549"/>
      <c r="Z231" s="549"/>
      <c r="AA231" s="549"/>
      <c r="AB231" s="549"/>
      <c r="AC231" s="549"/>
      <c r="AD231" s="549"/>
      <c r="AE231" s="549"/>
      <c r="AF231" s="549"/>
      <c r="AG231" s="549"/>
      <c r="AH231" s="549"/>
      <c r="AI231" s="549"/>
      <c r="AJ231" s="549"/>
      <c r="AK231" s="549"/>
      <c r="AL231" s="549"/>
      <c r="AM231" s="549"/>
      <c r="AN231" s="549"/>
      <c r="AO231" s="549"/>
      <c r="AP231" s="549"/>
      <c r="AQ231" s="549"/>
      <c r="AR231" s="549"/>
      <c r="AS231" s="549"/>
      <c r="AT231" s="549"/>
      <c r="AU231" s="549"/>
      <c r="AV231" s="549"/>
      <c r="AW231" s="549"/>
      <c r="AX231" s="549"/>
      <c r="AY231" s="549"/>
      <c r="AZ231" s="549"/>
      <c r="BA231" s="549"/>
      <c r="BB231" s="549"/>
      <c r="BC231" s="549"/>
      <c r="BD231" s="549"/>
      <c r="BE231" s="549"/>
      <c r="BF231" s="549"/>
      <c r="BG231" s="549"/>
      <c r="BH231" s="549"/>
      <c r="BI231" s="549"/>
    </row>
    <row r="232" spans="16:61" s="254" customFormat="1" ht="9.9">
      <c r="P232" s="549"/>
      <c r="Q232" s="549"/>
      <c r="R232" s="549"/>
      <c r="S232" s="549"/>
      <c r="T232" s="549"/>
      <c r="U232" s="549"/>
      <c r="V232" s="549"/>
      <c r="W232" s="549"/>
      <c r="X232" s="549"/>
      <c r="Y232" s="549"/>
      <c r="Z232" s="549"/>
      <c r="AA232" s="549"/>
      <c r="AB232" s="549"/>
      <c r="AC232" s="549"/>
      <c r="AD232" s="549"/>
      <c r="AE232" s="549"/>
      <c r="AF232" s="549"/>
      <c r="AG232" s="549"/>
      <c r="AH232" s="549"/>
      <c r="AI232" s="549"/>
      <c r="AJ232" s="549"/>
      <c r="AK232" s="549"/>
      <c r="AL232" s="549"/>
      <c r="AM232" s="549"/>
      <c r="AN232" s="549"/>
      <c r="AO232" s="549"/>
      <c r="AP232" s="549"/>
      <c r="AQ232" s="549"/>
      <c r="AR232" s="549"/>
      <c r="AS232" s="549"/>
      <c r="AT232" s="549"/>
      <c r="AU232" s="549"/>
      <c r="AV232" s="549"/>
      <c r="AW232" s="549"/>
      <c r="AX232" s="549"/>
      <c r="AY232" s="549"/>
      <c r="AZ232" s="549"/>
      <c r="BA232" s="549"/>
      <c r="BB232" s="549"/>
      <c r="BC232" s="549"/>
      <c r="BD232" s="549"/>
      <c r="BE232" s="549"/>
      <c r="BF232" s="549"/>
      <c r="BG232" s="549"/>
      <c r="BH232" s="549"/>
      <c r="BI232" s="549"/>
    </row>
    <row r="233" spans="16:61" s="254" customFormat="1" ht="9.9">
      <c r="P233" s="549"/>
      <c r="Q233" s="549"/>
      <c r="R233" s="549"/>
      <c r="S233" s="549"/>
      <c r="T233" s="549"/>
      <c r="U233" s="549"/>
      <c r="V233" s="549"/>
      <c r="W233" s="549"/>
      <c r="X233" s="549"/>
      <c r="Y233" s="549"/>
      <c r="Z233" s="549"/>
      <c r="AA233" s="549"/>
      <c r="AB233" s="549"/>
      <c r="AC233" s="549"/>
      <c r="AD233" s="549"/>
      <c r="AE233" s="549"/>
      <c r="AF233" s="549"/>
      <c r="AG233" s="549"/>
      <c r="AH233" s="549"/>
      <c r="AI233" s="549"/>
      <c r="AJ233" s="549"/>
      <c r="AK233" s="549"/>
      <c r="AL233" s="549"/>
      <c r="AM233" s="549"/>
      <c r="AN233" s="549"/>
      <c r="AO233" s="549"/>
      <c r="AP233" s="549"/>
      <c r="AQ233" s="549"/>
      <c r="AR233" s="549"/>
      <c r="AS233" s="549"/>
      <c r="AT233" s="549"/>
      <c r="AU233" s="549"/>
      <c r="AV233" s="549"/>
      <c r="AW233" s="549"/>
      <c r="AX233" s="549"/>
      <c r="AY233" s="549"/>
      <c r="AZ233" s="549"/>
      <c r="BA233" s="549"/>
      <c r="BB233" s="549"/>
      <c r="BC233" s="549"/>
      <c r="BD233" s="549"/>
      <c r="BE233" s="549"/>
      <c r="BF233" s="549"/>
      <c r="BG233" s="549"/>
      <c r="BH233" s="549"/>
      <c r="BI233" s="549"/>
    </row>
    <row r="234" spans="16:61" s="254" customFormat="1" ht="9.9">
      <c r="P234" s="549"/>
      <c r="Q234" s="549"/>
      <c r="R234" s="549"/>
      <c r="S234" s="549"/>
      <c r="T234" s="549"/>
      <c r="U234" s="549"/>
      <c r="V234" s="549"/>
      <c r="W234" s="549"/>
      <c r="X234" s="549"/>
      <c r="Y234" s="549"/>
      <c r="Z234" s="549"/>
      <c r="AA234" s="549"/>
      <c r="AB234" s="549"/>
      <c r="AC234" s="549"/>
      <c r="AD234" s="549"/>
      <c r="AE234" s="549"/>
      <c r="AF234" s="549"/>
      <c r="AG234" s="549"/>
      <c r="AH234" s="549"/>
      <c r="AI234" s="549"/>
      <c r="AJ234" s="549"/>
      <c r="AK234" s="549"/>
      <c r="AL234" s="549"/>
      <c r="AM234" s="549"/>
      <c r="AN234" s="549"/>
      <c r="AO234" s="549"/>
      <c r="AP234" s="549"/>
      <c r="AQ234" s="549"/>
      <c r="AR234" s="549"/>
      <c r="AS234" s="549"/>
      <c r="AT234" s="549"/>
      <c r="AU234" s="549"/>
      <c r="AV234" s="549"/>
      <c r="AW234" s="549"/>
      <c r="AX234" s="549"/>
      <c r="AY234" s="549"/>
      <c r="AZ234" s="549"/>
      <c r="BA234" s="549"/>
      <c r="BB234" s="549"/>
      <c r="BC234" s="549"/>
      <c r="BD234" s="549"/>
      <c r="BE234" s="549"/>
      <c r="BF234" s="549"/>
      <c r="BG234" s="549"/>
      <c r="BH234" s="549"/>
      <c r="BI234" s="549"/>
    </row>
    <row r="235" spans="16:61" s="254" customFormat="1" ht="9.9">
      <c r="P235" s="549"/>
      <c r="Q235" s="549"/>
      <c r="R235" s="549"/>
      <c r="S235" s="549"/>
      <c r="T235" s="549"/>
      <c r="U235" s="549"/>
      <c r="V235" s="549"/>
      <c r="W235" s="549"/>
      <c r="X235" s="549"/>
      <c r="Y235" s="549"/>
      <c r="Z235" s="549"/>
      <c r="AA235" s="549"/>
      <c r="AB235" s="549"/>
      <c r="AC235" s="549"/>
      <c r="AD235" s="549"/>
      <c r="AE235" s="549"/>
      <c r="AF235" s="549"/>
      <c r="AG235" s="549"/>
      <c r="AH235" s="549"/>
      <c r="AI235" s="549"/>
      <c r="AJ235" s="549"/>
      <c r="AK235" s="549"/>
      <c r="AL235" s="549"/>
      <c r="AM235" s="549"/>
      <c r="AN235" s="549"/>
      <c r="AO235" s="549"/>
      <c r="AP235" s="549"/>
      <c r="AQ235" s="549"/>
      <c r="AR235" s="549"/>
      <c r="AS235" s="549"/>
      <c r="AT235" s="549"/>
      <c r="AU235" s="549"/>
      <c r="AV235" s="549"/>
      <c r="AW235" s="549"/>
      <c r="AX235" s="549"/>
      <c r="AY235" s="549"/>
      <c r="AZ235" s="549"/>
      <c r="BA235" s="549"/>
      <c r="BB235" s="549"/>
      <c r="BC235" s="549"/>
      <c r="BD235" s="549"/>
      <c r="BE235" s="549"/>
      <c r="BF235" s="549"/>
      <c r="BG235" s="549"/>
      <c r="BH235" s="549"/>
      <c r="BI235" s="549"/>
    </row>
    <row r="236" spans="16:61" s="254" customFormat="1" ht="9.9">
      <c r="P236" s="549"/>
      <c r="Q236" s="549"/>
      <c r="R236" s="549"/>
      <c r="S236" s="549"/>
      <c r="T236" s="549"/>
      <c r="U236" s="549"/>
      <c r="V236" s="549"/>
      <c r="W236" s="549"/>
      <c r="X236" s="549"/>
      <c r="Y236" s="549"/>
      <c r="Z236" s="549"/>
      <c r="AA236" s="549"/>
      <c r="AB236" s="549"/>
      <c r="AC236" s="549"/>
      <c r="AD236" s="549"/>
      <c r="AE236" s="549"/>
      <c r="AF236" s="549"/>
      <c r="AG236" s="549"/>
      <c r="AH236" s="549"/>
      <c r="AI236" s="549"/>
      <c r="AJ236" s="549"/>
      <c r="AK236" s="549"/>
      <c r="AL236" s="549"/>
      <c r="AM236" s="549"/>
      <c r="AN236" s="549"/>
      <c r="AO236" s="549"/>
      <c r="AP236" s="549"/>
      <c r="AQ236" s="549"/>
      <c r="AR236" s="549"/>
      <c r="AS236" s="549"/>
      <c r="AT236" s="549"/>
      <c r="AU236" s="549"/>
      <c r="AV236" s="549"/>
      <c r="AW236" s="549"/>
      <c r="AX236" s="549"/>
      <c r="AY236" s="549"/>
      <c r="AZ236" s="549"/>
      <c r="BA236" s="549"/>
      <c r="BB236" s="549"/>
      <c r="BC236" s="549"/>
      <c r="BD236" s="549"/>
      <c r="BE236" s="549"/>
      <c r="BF236" s="549"/>
      <c r="BG236" s="549"/>
      <c r="BH236" s="549"/>
      <c r="BI236" s="549"/>
    </row>
    <row r="237" spans="16:61" s="254" customFormat="1" ht="9.9">
      <c r="P237" s="549"/>
      <c r="Q237" s="549"/>
      <c r="R237" s="549"/>
      <c r="S237" s="549"/>
      <c r="T237" s="549"/>
      <c r="U237" s="549"/>
      <c r="V237" s="549"/>
      <c r="W237" s="549"/>
      <c r="X237" s="549"/>
      <c r="Y237" s="549"/>
      <c r="Z237" s="549"/>
      <c r="AA237" s="549"/>
      <c r="AB237" s="549"/>
      <c r="AC237" s="549"/>
      <c r="AD237" s="549"/>
      <c r="AE237" s="549"/>
      <c r="AF237" s="549"/>
      <c r="AG237" s="549"/>
      <c r="AH237" s="549"/>
      <c r="AI237" s="549"/>
      <c r="AJ237" s="549"/>
      <c r="AK237" s="549"/>
      <c r="AL237" s="549"/>
      <c r="AM237" s="549"/>
      <c r="AN237" s="549"/>
      <c r="AO237" s="549"/>
      <c r="AP237" s="549"/>
      <c r="AQ237" s="549"/>
      <c r="AR237" s="549"/>
      <c r="AS237" s="549"/>
      <c r="AT237" s="549"/>
      <c r="AU237" s="549"/>
      <c r="AV237" s="549"/>
      <c r="AW237" s="549"/>
      <c r="AX237" s="549"/>
      <c r="AY237" s="549"/>
      <c r="AZ237" s="549"/>
      <c r="BA237" s="549"/>
      <c r="BB237" s="549"/>
      <c r="BC237" s="549"/>
      <c r="BD237" s="549"/>
      <c r="BE237" s="549"/>
      <c r="BF237" s="549"/>
      <c r="BG237" s="549"/>
      <c r="BH237" s="549"/>
      <c r="BI237" s="549"/>
    </row>
    <row r="238" spans="16:61" s="254" customFormat="1" ht="9.9">
      <c r="P238" s="549"/>
      <c r="Q238" s="549"/>
      <c r="R238" s="549"/>
      <c r="S238" s="549"/>
      <c r="T238" s="549"/>
      <c r="U238" s="549"/>
      <c r="V238" s="549"/>
      <c r="W238" s="549"/>
      <c r="X238" s="549"/>
      <c r="Y238" s="549"/>
      <c r="Z238" s="549"/>
      <c r="AA238" s="549"/>
      <c r="AB238" s="549"/>
      <c r="AC238" s="549"/>
      <c r="AD238" s="549"/>
      <c r="AE238" s="549"/>
      <c r="AF238" s="549"/>
      <c r="AG238" s="549"/>
      <c r="AH238" s="549"/>
      <c r="AI238" s="549"/>
      <c r="AJ238" s="549"/>
      <c r="AK238" s="549"/>
      <c r="AL238" s="549"/>
      <c r="AM238" s="549"/>
      <c r="AN238" s="549"/>
      <c r="AO238" s="549"/>
      <c r="AP238" s="549"/>
      <c r="AQ238" s="549"/>
      <c r="AR238" s="549"/>
      <c r="AS238" s="549"/>
      <c r="AT238" s="549"/>
      <c r="AU238" s="549"/>
      <c r="AV238" s="549"/>
      <c r="AW238" s="549"/>
      <c r="AX238" s="549"/>
      <c r="AY238" s="549"/>
      <c r="AZ238" s="549"/>
      <c r="BA238" s="549"/>
      <c r="BB238" s="549"/>
      <c r="BC238" s="549"/>
      <c r="BD238" s="549"/>
      <c r="BE238" s="549"/>
      <c r="BF238" s="549"/>
      <c r="BG238" s="549"/>
      <c r="BH238" s="549"/>
      <c r="BI238" s="549"/>
    </row>
    <row r="239" spans="16:61" s="254" customFormat="1" ht="9.9">
      <c r="P239" s="549"/>
      <c r="Q239" s="549"/>
      <c r="R239" s="549"/>
      <c r="S239" s="549"/>
      <c r="T239" s="549"/>
      <c r="U239" s="549"/>
      <c r="V239" s="549"/>
      <c r="W239" s="549"/>
      <c r="X239" s="549"/>
      <c r="Y239" s="549"/>
      <c r="Z239" s="549"/>
      <c r="AA239" s="549"/>
      <c r="AB239" s="549"/>
      <c r="AC239" s="549"/>
      <c r="AD239" s="549"/>
      <c r="AE239" s="549"/>
      <c r="AF239" s="549"/>
      <c r="AG239" s="549"/>
      <c r="AH239" s="549"/>
      <c r="AI239" s="549"/>
      <c r="AJ239" s="549"/>
      <c r="AK239" s="549"/>
      <c r="AL239" s="549"/>
      <c r="AM239" s="549"/>
      <c r="AN239" s="549"/>
      <c r="AO239" s="549"/>
      <c r="AP239" s="549"/>
      <c r="AQ239" s="549"/>
      <c r="AR239" s="549"/>
      <c r="AS239" s="549"/>
      <c r="AT239" s="549"/>
      <c r="AU239" s="549"/>
      <c r="AV239" s="549"/>
      <c r="AW239" s="549"/>
      <c r="AX239" s="549"/>
      <c r="AY239" s="549"/>
      <c r="AZ239" s="549"/>
      <c r="BA239" s="549"/>
      <c r="BB239" s="549"/>
      <c r="BC239" s="549"/>
      <c r="BD239" s="549"/>
      <c r="BE239" s="549"/>
      <c r="BF239" s="549"/>
      <c r="BG239" s="549"/>
      <c r="BH239" s="549"/>
      <c r="BI239" s="549"/>
    </row>
    <row r="240" spans="16:61" s="254" customFormat="1" ht="9.9">
      <c r="P240" s="549"/>
      <c r="Q240" s="549"/>
      <c r="R240" s="549"/>
      <c r="S240" s="549"/>
      <c r="T240" s="549"/>
      <c r="U240" s="549"/>
      <c r="V240" s="549"/>
      <c r="W240" s="549"/>
      <c r="X240" s="549"/>
      <c r="Y240" s="549"/>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549"/>
      <c r="BA240" s="549"/>
      <c r="BB240" s="549"/>
      <c r="BC240" s="549"/>
      <c r="BD240" s="549"/>
      <c r="BE240" s="549"/>
      <c r="BF240" s="549"/>
      <c r="BG240" s="549"/>
      <c r="BH240" s="549"/>
      <c r="BI240" s="549"/>
    </row>
    <row r="241" spans="16:61" s="254" customFormat="1" ht="9.9">
      <c r="P241" s="549"/>
      <c r="Q241" s="549"/>
      <c r="R241" s="549"/>
      <c r="S241" s="549"/>
      <c r="T241" s="549"/>
      <c r="U241" s="549"/>
      <c r="V241" s="549"/>
      <c r="W241" s="549"/>
      <c r="X241" s="549"/>
      <c r="Y241" s="549"/>
      <c r="Z241" s="549"/>
      <c r="AA241" s="549"/>
      <c r="AB241" s="549"/>
      <c r="AC241" s="549"/>
      <c r="AD241" s="549"/>
      <c r="AE241" s="549"/>
      <c r="AF241" s="549"/>
      <c r="AG241" s="549"/>
      <c r="AH241" s="549"/>
      <c r="AI241" s="549"/>
      <c r="AJ241" s="549"/>
      <c r="AK241" s="549"/>
      <c r="AL241" s="549"/>
      <c r="AM241" s="549"/>
      <c r="AN241" s="549"/>
      <c r="AO241" s="549"/>
      <c r="AP241" s="549"/>
      <c r="AQ241" s="549"/>
      <c r="AR241" s="549"/>
      <c r="AS241" s="549"/>
      <c r="AT241" s="549"/>
      <c r="AU241" s="549"/>
      <c r="AV241" s="549"/>
      <c r="AW241" s="549"/>
      <c r="AX241" s="549"/>
      <c r="AY241" s="549"/>
      <c r="AZ241" s="549"/>
      <c r="BA241" s="549"/>
      <c r="BB241" s="549"/>
      <c r="BC241" s="549"/>
      <c r="BD241" s="549"/>
      <c r="BE241" s="549"/>
      <c r="BF241" s="549"/>
      <c r="BG241" s="549"/>
      <c r="BH241" s="549"/>
      <c r="BI241" s="549"/>
    </row>
    <row r="242" spans="16:61" s="254" customFormat="1" ht="9.9">
      <c r="P242" s="549"/>
      <c r="Q242" s="549"/>
      <c r="R242" s="549"/>
      <c r="S242" s="549"/>
      <c r="T242" s="549"/>
      <c r="U242" s="549"/>
      <c r="V242" s="549"/>
      <c r="W242" s="549"/>
      <c r="X242" s="549"/>
      <c r="Y242" s="549"/>
      <c r="Z242" s="549"/>
      <c r="AA242" s="549"/>
      <c r="AB242" s="549"/>
      <c r="AC242" s="549"/>
      <c r="AD242" s="549"/>
      <c r="AE242" s="549"/>
      <c r="AF242" s="549"/>
      <c r="AG242" s="549"/>
      <c r="AH242" s="549"/>
      <c r="AI242" s="549"/>
      <c r="AJ242" s="549"/>
      <c r="AK242" s="549"/>
      <c r="AL242" s="549"/>
      <c r="AM242" s="549"/>
      <c r="AN242" s="549"/>
      <c r="AO242" s="549"/>
      <c r="AP242" s="549"/>
      <c r="AQ242" s="549"/>
      <c r="AR242" s="549"/>
      <c r="AS242" s="549"/>
      <c r="AT242" s="549"/>
      <c r="AU242" s="549"/>
      <c r="AV242" s="549"/>
      <c r="AW242" s="549"/>
      <c r="AX242" s="549"/>
      <c r="AY242" s="549"/>
      <c r="AZ242" s="549"/>
      <c r="BA242" s="549"/>
      <c r="BB242" s="549"/>
      <c r="BC242" s="549"/>
      <c r="BD242" s="549"/>
      <c r="BE242" s="549"/>
      <c r="BF242" s="549"/>
      <c r="BG242" s="549"/>
      <c r="BH242" s="549"/>
      <c r="BI242" s="549"/>
    </row>
    <row r="243" spans="16:61" s="254" customFormat="1" ht="9.9">
      <c r="P243" s="549"/>
      <c r="Q243" s="549"/>
      <c r="R243" s="549"/>
      <c r="S243" s="549"/>
      <c r="T243" s="549"/>
      <c r="U243" s="549"/>
      <c r="V243" s="549"/>
      <c r="W243" s="549"/>
      <c r="X243" s="549"/>
      <c r="Y243" s="549"/>
      <c r="Z243" s="549"/>
      <c r="AA243" s="549"/>
      <c r="AB243" s="549"/>
      <c r="AC243" s="549"/>
      <c r="AD243" s="549"/>
      <c r="AE243" s="549"/>
      <c r="AF243" s="549"/>
      <c r="AG243" s="549"/>
      <c r="AH243" s="549"/>
      <c r="AI243" s="549"/>
      <c r="AJ243" s="549"/>
      <c r="AK243" s="549"/>
      <c r="AL243" s="549"/>
      <c r="AM243" s="549"/>
      <c r="AN243" s="549"/>
      <c r="AO243" s="549"/>
      <c r="AP243" s="549"/>
      <c r="AQ243" s="549"/>
      <c r="AR243" s="549"/>
      <c r="AS243" s="549"/>
      <c r="AT243" s="549"/>
      <c r="AU243" s="549"/>
      <c r="AV243" s="549"/>
      <c r="AW243" s="549"/>
      <c r="AX243" s="549"/>
      <c r="AY243" s="549"/>
      <c r="AZ243" s="549"/>
      <c r="BA243" s="549"/>
      <c r="BB243" s="549"/>
      <c r="BC243" s="549"/>
      <c r="BD243" s="549"/>
      <c r="BE243" s="549"/>
      <c r="BF243" s="549"/>
      <c r="BG243" s="549"/>
      <c r="BH243" s="549"/>
      <c r="BI243" s="549"/>
    </row>
    <row r="244" spans="16:61" s="254" customFormat="1" ht="9.9">
      <c r="P244" s="549"/>
      <c r="Q244" s="549"/>
      <c r="R244" s="549"/>
      <c r="S244" s="549"/>
      <c r="T244" s="549"/>
      <c r="U244" s="549"/>
      <c r="V244" s="549"/>
      <c r="W244" s="549"/>
      <c r="X244" s="549"/>
      <c r="Y244" s="549"/>
      <c r="Z244" s="549"/>
      <c r="AA244" s="549"/>
      <c r="AB244" s="549"/>
      <c r="AC244" s="549"/>
      <c r="AD244" s="549"/>
      <c r="AE244" s="549"/>
      <c r="AF244" s="549"/>
      <c r="AG244" s="549"/>
      <c r="AH244" s="549"/>
      <c r="AI244" s="549"/>
      <c r="AJ244" s="549"/>
      <c r="AK244" s="549"/>
      <c r="AL244" s="549"/>
      <c r="AM244" s="549"/>
      <c r="AN244" s="549"/>
      <c r="AO244" s="549"/>
      <c r="AP244" s="549"/>
      <c r="AQ244" s="549"/>
      <c r="AR244" s="549"/>
      <c r="AS244" s="549"/>
      <c r="AT244" s="549"/>
      <c r="AU244" s="549"/>
      <c r="AV244" s="549"/>
      <c r="AW244" s="549"/>
      <c r="AX244" s="549"/>
      <c r="AY244" s="549"/>
      <c r="AZ244" s="549"/>
      <c r="BA244" s="549"/>
      <c r="BB244" s="549"/>
      <c r="BC244" s="549"/>
      <c r="BD244" s="549"/>
      <c r="BE244" s="549"/>
      <c r="BF244" s="549"/>
      <c r="BG244" s="549"/>
      <c r="BH244" s="549"/>
      <c r="BI244" s="549"/>
    </row>
    <row r="245" spans="16:61" s="254" customFormat="1" ht="9.9">
      <c r="P245" s="549"/>
      <c r="Q245" s="549"/>
      <c r="R245" s="549"/>
      <c r="S245" s="549"/>
      <c r="T245" s="549"/>
      <c r="U245" s="549"/>
      <c r="V245" s="549"/>
      <c r="W245" s="549"/>
      <c r="X245" s="549"/>
      <c r="Y245" s="549"/>
      <c r="Z245" s="549"/>
      <c r="AA245" s="549"/>
      <c r="AB245" s="549"/>
      <c r="AC245" s="549"/>
      <c r="AD245" s="549"/>
      <c r="AE245" s="549"/>
      <c r="AF245" s="549"/>
      <c r="AG245" s="549"/>
      <c r="AH245" s="549"/>
      <c r="AI245" s="549"/>
      <c r="AJ245" s="549"/>
      <c r="AK245" s="549"/>
      <c r="AL245" s="549"/>
      <c r="AM245" s="549"/>
      <c r="AN245" s="549"/>
      <c r="AO245" s="549"/>
      <c r="AP245" s="549"/>
      <c r="AQ245" s="549"/>
      <c r="AR245" s="549"/>
      <c r="AS245" s="549"/>
      <c r="AT245" s="549"/>
      <c r="AU245" s="549"/>
      <c r="AV245" s="549"/>
      <c r="AW245" s="549"/>
      <c r="AX245" s="549"/>
      <c r="AY245" s="549"/>
      <c r="AZ245" s="549"/>
      <c r="BA245" s="549"/>
      <c r="BB245" s="549"/>
      <c r="BC245" s="549"/>
      <c r="BD245" s="549"/>
      <c r="BE245" s="549"/>
      <c r="BF245" s="549"/>
      <c r="BG245" s="549"/>
      <c r="BH245" s="549"/>
      <c r="BI245" s="549"/>
    </row>
    <row r="246" spans="16:61" s="254" customFormat="1" ht="9.9">
      <c r="P246" s="549"/>
      <c r="Q246" s="549"/>
      <c r="R246" s="549"/>
      <c r="S246" s="549"/>
      <c r="T246" s="549"/>
      <c r="U246" s="549"/>
      <c r="V246" s="549"/>
      <c r="W246" s="549"/>
      <c r="X246" s="549"/>
      <c r="Y246" s="549"/>
      <c r="Z246" s="549"/>
      <c r="AA246" s="549"/>
      <c r="AB246" s="549"/>
      <c r="AC246" s="549"/>
      <c r="AD246" s="549"/>
      <c r="AE246" s="549"/>
      <c r="AF246" s="549"/>
      <c r="AG246" s="549"/>
      <c r="AH246" s="549"/>
      <c r="AI246" s="549"/>
      <c r="AJ246" s="549"/>
      <c r="AK246" s="549"/>
      <c r="AL246" s="549"/>
      <c r="AM246" s="549"/>
      <c r="AN246" s="549"/>
      <c r="AO246" s="549"/>
      <c r="AP246" s="549"/>
      <c r="AQ246" s="549"/>
      <c r="AR246" s="549"/>
      <c r="AS246" s="549"/>
      <c r="AT246" s="549"/>
      <c r="AU246" s="549"/>
      <c r="AV246" s="549"/>
      <c r="AW246" s="549"/>
      <c r="AX246" s="549"/>
      <c r="AY246" s="549"/>
      <c r="AZ246" s="549"/>
      <c r="BA246" s="549"/>
      <c r="BB246" s="549"/>
      <c r="BC246" s="549"/>
      <c r="BD246" s="549"/>
      <c r="BE246" s="549"/>
      <c r="BF246" s="549"/>
      <c r="BG246" s="549"/>
      <c r="BH246" s="549"/>
      <c r="BI246" s="549"/>
    </row>
    <row r="247" spans="16:61" s="254" customFormat="1" ht="9.9">
      <c r="P247" s="549"/>
      <c r="Q247" s="549"/>
      <c r="R247" s="549"/>
      <c r="S247" s="549"/>
      <c r="T247" s="549"/>
      <c r="U247" s="549"/>
      <c r="V247" s="549"/>
      <c r="W247" s="549"/>
      <c r="X247" s="549"/>
      <c r="Y247" s="549"/>
      <c r="Z247" s="549"/>
      <c r="AA247" s="549"/>
      <c r="AB247" s="549"/>
      <c r="AC247" s="549"/>
      <c r="AD247" s="549"/>
      <c r="AE247" s="549"/>
      <c r="AF247" s="549"/>
      <c r="AG247" s="549"/>
      <c r="AH247" s="549"/>
      <c r="AI247" s="549"/>
      <c r="AJ247" s="549"/>
      <c r="AK247" s="549"/>
      <c r="AL247" s="549"/>
      <c r="AM247" s="549"/>
      <c r="AN247" s="549"/>
      <c r="AO247" s="549"/>
      <c r="AP247" s="549"/>
      <c r="AQ247" s="549"/>
      <c r="AR247" s="549"/>
      <c r="AS247" s="549"/>
      <c r="AT247" s="549"/>
      <c r="AU247" s="549"/>
      <c r="AV247" s="549"/>
      <c r="AW247" s="549"/>
      <c r="AX247" s="549"/>
      <c r="AY247" s="549"/>
      <c r="AZ247" s="549"/>
      <c r="BA247" s="549"/>
      <c r="BB247" s="549"/>
      <c r="BC247" s="549"/>
      <c r="BD247" s="549"/>
      <c r="BE247" s="549"/>
      <c r="BF247" s="549"/>
      <c r="BG247" s="549"/>
      <c r="BH247" s="549"/>
      <c r="BI247" s="549"/>
    </row>
    <row r="248" spans="16:61" s="254" customFormat="1" ht="9.9">
      <c r="P248" s="549"/>
      <c r="Q248" s="549"/>
      <c r="R248" s="549"/>
      <c r="S248" s="549"/>
      <c r="T248" s="549"/>
      <c r="U248" s="549"/>
      <c r="V248" s="549"/>
      <c r="W248" s="549"/>
      <c r="X248" s="549"/>
      <c r="Y248" s="549"/>
      <c r="Z248" s="549"/>
      <c r="AA248" s="549"/>
      <c r="AB248" s="549"/>
      <c r="AC248" s="549"/>
      <c r="AD248" s="549"/>
      <c r="AE248" s="549"/>
      <c r="AF248" s="549"/>
      <c r="AG248" s="549"/>
      <c r="AH248" s="549"/>
      <c r="AI248" s="549"/>
      <c r="AJ248" s="549"/>
      <c r="AK248" s="549"/>
      <c r="AL248" s="549"/>
      <c r="AM248" s="549"/>
      <c r="AN248" s="549"/>
      <c r="AO248" s="549"/>
      <c r="AP248" s="549"/>
      <c r="AQ248" s="549"/>
      <c r="AR248" s="549"/>
      <c r="AS248" s="549"/>
      <c r="AT248" s="549"/>
      <c r="AU248" s="549"/>
      <c r="AV248" s="549"/>
      <c r="AW248" s="549"/>
      <c r="AX248" s="549"/>
      <c r="AY248" s="549"/>
      <c r="AZ248" s="549"/>
      <c r="BA248" s="549"/>
      <c r="BB248" s="549"/>
      <c r="BC248" s="549"/>
      <c r="BD248" s="549"/>
      <c r="BE248" s="549"/>
      <c r="BF248" s="549"/>
      <c r="BG248" s="549"/>
      <c r="BH248" s="549"/>
      <c r="BI248" s="549"/>
    </row>
    <row r="249" spans="16:61" s="254" customFormat="1" ht="9.9">
      <c r="P249" s="549"/>
      <c r="Q249" s="549"/>
      <c r="R249" s="549"/>
      <c r="S249" s="549"/>
      <c r="T249" s="549"/>
      <c r="U249" s="549"/>
      <c r="V249" s="549"/>
      <c r="W249" s="549"/>
      <c r="X249" s="549"/>
      <c r="Y249" s="549"/>
      <c r="Z249" s="549"/>
      <c r="AA249" s="549"/>
      <c r="AB249" s="549"/>
      <c r="AC249" s="549"/>
      <c r="AD249" s="549"/>
      <c r="AE249" s="549"/>
      <c r="AF249" s="549"/>
      <c r="AG249" s="549"/>
      <c r="AH249" s="549"/>
      <c r="AI249" s="549"/>
      <c r="AJ249" s="549"/>
      <c r="AK249" s="549"/>
      <c r="AL249" s="549"/>
      <c r="AM249" s="549"/>
      <c r="AN249" s="549"/>
      <c r="AO249" s="549"/>
      <c r="AP249" s="549"/>
      <c r="AQ249" s="549"/>
      <c r="AR249" s="549"/>
      <c r="AS249" s="549"/>
      <c r="AT249" s="549"/>
      <c r="AU249" s="549"/>
      <c r="AV249" s="549"/>
      <c r="AW249" s="549"/>
      <c r="AX249" s="549"/>
      <c r="AY249" s="549"/>
      <c r="AZ249" s="549"/>
      <c r="BA249" s="549"/>
      <c r="BB249" s="549"/>
      <c r="BC249" s="549"/>
      <c r="BD249" s="549"/>
      <c r="BE249" s="549"/>
      <c r="BF249" s="549"/>
      <c r="BG249" s="549"/>
      <c r="BH249" s="549"/>
      <c r="BI249" s="549"/>
    </row>
    <row r="250" spans="16:61" s="254" customFormat="1" ht="9.9">
      <c r="P250" s="549"/>
      <c r="Q250" s="549"/>
      <c r="R250" s="549"/>
      <c r="S250" s="549"/>
      <c r="T250" s="549"/>
      <c r="U250" s="549"/>
      <c r="V250" s="549"/>
      <c r="W250" s="549"/>
      <c r="X250" s="549"/>
      <c r="Y250" s="549"/>
      <c r="Z250" s="549"/>
      <c r="AA250" s="549"/>
      <c r="AB250" s="549"/>
      <c r="AC250" s="549"/>
      <c r="AD250" s="549"/>
      <c r="AE250" s="549"/>
      <c r="AF250" s="549"/>
      <c r="AG250" s="549"/>
      <c r="AH250" s="549"/>
      <c r="AI250" s="549"/>
      <c r="AJ250" s="549"/>
      <c r="AK250" s="549"/>
      <c r="AL250" s="549"/>
      <c r="AM250" s="549"/>
      <c r="AN250" s="549"/>
      <c r="AO250" s="549"/>
      <c r="AP250" s="549"/>
      <c r="AQ250" s="549"/>
      <c r="AR250" s="549"/>
      <c r="AS250" s="549"/>
      <c r="AT250" s="549"/>
      <c r="AU250" s="549"/>
      <c r="AV250" s="549"/>
      <c r="AW250" s="549"/>
      <c r="AX250" s="549"/>
      <c r="AY250" s="549"/>
      <c r="AZ250" s="549"/>
      <c r="BA250" s="549"/>
      <c r="BB250" s="549"/>
      <c r="BC250" s="549"/>
      <c r="BD250" s="549"/>
      <c r="BE250" s="549"/>
      <c r="BF250" s="549"/>
      <c r="BG250" s="549"/>
      <c r="BH250" s="549"/>
      <c r="BI250" s="549"/>
    </row>
    <row r="251" spans="16:61" s="254" customFormat="1" ht="9.9">
      <c r="P251" s="549"/>
      <c r="Q251" s="549"/>
      <c r="R251" s="549"/>
      <c r="S251" s="549"/>
      <c r="T251" s="549"/>
      <c r="U251" s="549"/>
      <c r="V251" s="549"/>
      <c r="W251" s="549"/>
      <c r="X251" s="549"/>
      <c r="Y251" s="549"/>
      <c r="Z251" s="549"/>
      <c r="AA251" s="549"/>
      <c r="AB251" s="549"/>
      <c r="AC251" s="549"/>
      <c r="AD251" s="549"/>
      <c r="AE251" s="549"/>
      <c r="AF251" s="549"/>
      <c r="AG251" s="549"/>
      <c r="AH251" s="549"/>
      <c r="AI251" s="549"/>
      <c r="AJ251" s="549"/>
      <c r="AK251" s="549"/>
      <c r="AL251" s="549"/>
      <c r="AM251" s="549"/>
      <c r="AN251" s="549"/>
      <c r="AO251" s="549"/>
      <c r="AP251" s="549"/>
      <c r="AQ251" s="549"/>
      <c r="AR251" s="549"/>
      <c r="AS251" s="549"/>
      <c r="AT251" s="549"/>
      <c r="AU251" s="549"/>
      <c r="AV251" s="549"/>
      <c r="AW251" s="549"/>
      <c r="AX251" s="549"/>
      <c r="AY251" s="549"/>
      <c r="AZ251" s="549"/>
      <c r="BA251" s="549"/>
      <c r="BB251" s="549"/>
      <c r="BC251" s="549"/>
      <c r="BD251" s="549"/>
      <c r="BE251" s="549"/>
      <c r="BF251" s="549"/>
      <c r="BG251" s="549"/>
      <c r="BH251" s="549"/>
      <c r="BI251" s="549"/>
    </row>
    <row r="252" spans="16:61" s="254" customFormat="1" ht="9.9">
      <c r="P252" s="549"/>
      <c r="Q252" s="549"/>
      <c r="R252" s="549"/>
      <c r="S252" s="549"/>
      <c r="T252" s="549"/>
      <c r="U252" s="549"/>
      <c r="V252" s="549"/>
      <c r="W252" s="549"/>
      <c r="X252" s="549"/>
      <c r="Y252" s="549"/>
      <c r="Z252" s="549"/>
      <c r="AA252" s="549"/>
      <c r="AB252" s="549"/>
      <c r="AC252" s="549"/>
      <c r="AD252" s="549"/>
      <c r="AE252" s="549"/>
      <c r="AF252" s="549"/>
      <c r="AG252" s="549"/>
      <c r="AH252" s="549"/>
      <c r="AI252" s="549"/>
      <c r="AJ252" s="549"/>
      <c r="AK252" s="549"/>
      <c r="AL252" s="549"/>
      <c r="AM252" s="549"/>
      <c r="AN252" s="549"/>
      <c r="AO252" s="549"/>
      <c r="AP252" s="549"/>
      <c r="AQ252" s="549"/>
      <c r="AR252" s="549"/>
      <c r="AS252" s="549"/>
      <c r="AT252" s="549"/>
      <c r="AU252" s="549"/>
      <c r="AV252" s="549"/>
      <c r="AW252" s="549"/>
      <c r="AX252" s="549"/>
      <c r="AY252" s="549"/>
      <c r="AZ252" s="549"/>
      <c r="BA252" s="549"/>
      <c r="BB252" s="549"/>
      <c r="BC252" s="549"/>
      <c r="BD252" s="549"/>
      <c r="BE252" s="549"/>
      <c r="BF252" s="549"/>
      <c r="BG252" s="549"/>
      <c r="BH252" s="549"/>
      <c r="BI252" s="549"/>
    </row>
    <row r="253" spans="16:61" s="254" customFormat="1" ht="9.9">
      <c r="P253" s="549"/>
      <c r="Q253" s="549"/>
      <c r="R253" s="549"/>
      <c r="S253" s="549"/>
      <c r="T253" s="549"/>
      <c r="U253" s="549"/>
      <c r="V253" s="549"/>
      <c r="W253" s="549"/>
      <c r="X253" s="549"/>
      <c r="Y253" s="549"/>
      <c r="Z253" s="549"/>
      <c r="AA253" s="549"/>
      <c r="AB253" s="549"/>
      <c r="AC253" s="549"/>
      <c r="AD253" s="549"/>
      <c r="AE253" s="549"/>
      <c r="AF253" s="549"/>
      <c r="AG253" s="549"/>
      <c r="AH253" s="549"/>
      <c r="AI253" s="549"/>
      <c r="AJ253" s="549"/>
      <c r="AK253" s="549"/>
      <c r="AL253" s="549"/>
      <c r="AM253" s="549"/>
      <c r="AN253" s="549"/>
      <c r="AO253" s="549"/>
      <c r="AP253" s="549"/>
      <c r="AQ253" s="549"/>
      <c r="AR253" s="549"/>
      <c r="AS253" s="549"/>
      <c r="AT253" s="549"/>
      <c r="AU253" s="549"/>
      <c r="AV253" s="549"/>
      <c r="AW253" s="549"/>
      <c r="AX253" s="549"/>
      <c r="AY253" s="549"/>
      <c r="AZ253" s="549"/>
      <c r="BA253" s="549"/>
      <c r="BB253" s="549"/>
      <c r="BC253" s="549"/>
      <c r="BD253" s="549"/>
      <c r="BE253" s="549"/>
      <c r="BF253" s="549"/>
      <c r="BG253" s="549"/>
      <c r="BH253" s="549"/>
      <c r="BI253" s="549"/>
    </row>
    <row r="254" spans="16:61" s="254" customFormat="1" ht="9.9">
      <c r="P254" s="549"/>
      <c r="Q254" s="549"/>
      <c r="R254" s="549"/>
      <c r="S254" s="549"/>
      <c r="T254" s="549"/>
      <c r="U254" s="549"/>
      <c r="V254" s="549"/>
      <c r="W254" s="549"/>
      <c r="X254" s="549"/>
      <c r="Y254" s="549"/>
      <c r="Z254" s="549"/>
      <c r="AA254" s="549"/>
      <c r="AB254" s="549"/>
      <c r="AC254" s="549"/>
      <c r="AD254" s="549"/>
      <c r="AE254" s="549"/>
      <c r="AF254" s="549"/>
      <c r="AG254" s="549"/>
      <c r="AH254" s="549"/>
      <c r="AI254" s="549"/>
      <c r="AJ254" s="549"/>
      <c r="AK254" s="549"/>
      <c r="AL254" s="549"/>
      <c r="AM254" s="549"/>
      <c r="AN254" s="549"/>
      <c r="AO254" s="549"/>
      <c r="AP254" s="549"/>
      <c r="AQ254" s="549"/>
      <c r="AR254" s="549"/>
      <c r="AS254" s="549"/>
      <c r="AT254" s="549"/>
      <c r="AU254" s="549"/>
      <c r="AV254" s="549"/>
      <c r="AW254" s="549"/>
      <c r="AX254" s="549"/>
      <c r="AY254" s="549"/>
      <c r="AZ254" s="549"/>
      <c r="BA254" s="549"/>
      <c r="BB254" s="549"/>
      <c r="BC254" s="549"/>
      <c r="BD254" s="549"/>
      <c r="BE254" s="549"/>
      <c r="BF254" s="549"/>
      <c r="BG254" s="549"/>
      <c r="BH254" s="549"/>
      <c r="BI254" s="549"/>
    </row>
    <row r="255" spans="16:61" s="254" customFormat="1" ht="9.9">
      <c r="P255" s="549"/>
      <c r="Q255" s="549"/>
      <c r="R255" s="549"/>
      <c r="S255" s="549"/>
      <c r="T255" s="549"/>
      <c r="U255" s="549"/>
      <c r="V255" s="549"/>
      <c r="W255" s="549"/>
      <c r="X255" s="549"/>
      <c r="Y255" s="549"/>
      <c r="Z255" s="549"/>
      <c r="AA255" s="549"/>
      <c r="AB255" s="549"/>
      <c r="AC255" s="549"/>
      <c r="AD255" s="549"/>
      <c r="AE255" s="549"/>
      <c r="AF255" s="549"/>
      <c r="AG255" s="549"/>
      <c r="AH255" s="549"/>
      <c r="AI255" s="549"/>
      <c r="AJ255" s="549"/>
      <c r="AK255" s="549"/>
      <c r="AL255" s="549"/>
      <c r="AM255" s="549"/>
      <c r="AN255" s="549"/>
      <c r="AO255" s="549"/>
      <c r="AP255" s="549"/>
      <c r="AQ255" s="549"/>
      <c r="AR255" s="549"/>
      <c r="AS255" s="549"/>
      <c r="AT255" s="549"/>
      <c r="AU255" s="549"/>
      <c r="AV255" s="549"/>
      <c r="AW255" s="549"/>
      <c r="AX255" s="549"/>
      <c r="AY255" s="549"/>
      <c r="AZ255" s="549"/>
      <c r="BA255" s="549"/>
      <c r="BB255" s="549"/>
      <c r="BC255" s="549"/>
      <c r="BD255" s="549"/>
      <c r="BE255" s="549"/>
      <c r="BF255" s="549"/>
      <c r="BG255" s="549"/>
      <c r="BH255" s="549"/>
      <c r="BI255" s="549"/>
    </row>
    <row r="256" spans="16:61" s="254" customFormat="1" ht="9.9">
      <c r="P256" s="549"/>
      <c r="Q256" s="549"/>
      <c r="R256" s="549"/>
      <c r="S256" s="549"/>
      <c r="T256" s="549"/>
      <c r="U256" s="549"/>
      <c r="V256" s="549"/>
      <c r="W256" s="549"/>
      <c r="X256" s="549"/>
      <c r="Y256" s="549"/>
      <c r="Z256" s="549"/>
      <c r="AA256" s="549"/>
      <c r="AB256" s="549"/>
      <c r="AC256" s="549"/>
      <c r="AD256" s="549"/>
      <c r="AE256" s="549"/>
      <c r="AF256" s="549"/>
      <c r="AG256" s="549"/>
      <c r="AH256" s="549"/>
      <c r="AI256" s="549"/>
      <c r="AJ256" s="549"/>
      <c r="AK256" s="549"/>
      <c r="AL256" s="549"/>
      <c r="AM256" s="549"/>
      <c r="AN256" s="549"/>
      <c r="AO256" s="549"/>
      <c r="AP256" s="549"/>
      <c r="AQ256" s="549"/>
      <c r="AR256" s="549"/>
      <c r="AS256" s="549"/>
      <c r="AT256" s="549"/>
      <c r="AU256" s="549"/>
      <c r="AV256" s="549"/>
      <c r="AW256" s="549"/>
      <c r="AX256" s="549"/>
      <c r="AY256" s="549"/>
      <c r="AZ256" s="549"/>
      <c r="BA256" s="549"/>
      <c r="BB256" s="549"/>
      <c r="BC256" s="549"/>
      <c r="BD256" s="549"/>
      <c r="BE256" s="549"/>
      <c r="BF256" s="549"/>
      <c r="BG256" s="549"/>
      <c r="BH256" s="549"/>
      <c r="BI256" s="549"/>
    </row>
    <row r="257" spans="16:61" s="254" customFormat="1" ht="9.9">
      <c r="P257" s="549"/>
      <c r="Q257" s="549"/>
      <c r="R257" s="549"/>
      <c r="S257" s="549"/>
      <c r="T257" s="549"/>
      <c r="U257" s="549"/>
      <c r="V257" s="549"/>
      <c r="W257" s="549"/>
      <c r="X257" s="549"/>
      <c r="Y257" s="549"/>
      <c r="Z257" s="549"/>
      <c r="AA257" s="549"/>
      <c r="AB257" s="549"/>
      <c r="AC257" s="549"/>
      <c r="AD257" s="549"/>
      <c r="AE257" s="549"/>
      <c r="AF257" s="549"/>
      <c r="AG257" s="549"/>
      <c r="AH257" s="549"/>
      <c r="AI257" s="549"/>
      <c r="AJ257" s="549"/>
      <c r="AK257" s="549"/>
      <c r="AL257" s="549"/>
      <c r="AM257" s="549"/>
      <c r="AN257" s="549"/>
      <c r="AO257" s="549"/>
      <c r="AP257" s="549"/>
      <c r="AQ257" s="549"/>
      <c r="AR257" s="549"/>
      <c r="AS257" s="549"/>
      <c r="AT257" s="549"/>
      <c r="AU257" s="549"/>
      <c r="AV257" s="549"/>
      <c r="AW257" s="549"/>
      <c r="AX257" s="549"/>
      <c r="AY257" s="549"/>
      <c r="AZ257" s="549"/>
      <c r="BA257" s="549"/>
      <c r="BB257" s="549"/>
      <c r="BC257" s="549"/>
      <c r="BD257" s="549"/>
      <c r="BE257" s="549"/>
      <c r="BF257" s="549"/>
      <c r="BG257" s="549"/>
      <c r="BH257" s="549"/>
      <c r="BI257" s="549"/>
    </row>
    <row r="258" spans="16:61" s="254" customFormat="1" ht="9.9">
      <c r="P258" s="549"/>
      <c r="Q258" s="549"/>
      <c r="R258" s="549"/>
      <c r="S258" s="549"/>
      <c r="T258" s="549"/>
      <c r="U258" s="549"/>
      <c r="V258" s="549"/>
      <c r="W258" s="549"/>
      <c r="X258" s="549"/>
      <c r="Y258" s="549"/>
      <c r="Z258" s="549"/>
      <c r="AA258" s="549"/>
      <c r="AB258" s="549"/>
      <c r="AC258" s="549"/>
      <c r="AD258" s="549"/>
      <c r="AE258" s="549"/>
      <c r="AF258" s="549"/>
      <c r="AG258" s="549"/>
      <c r="AH258" s="549"/>
      <c r="AI258" s="549"/>
      <c r="AJ258" s="549"/>
      <c r="AK258" s="549"/>
      <c r="AL258" s="549"/>
      <c r="AM258" s="549"/>
      <c r="AN258" s="549"/>
      <c r="AO258" s="549"/>
      <c r="AP258" s="549"/>
      <c r="AQ258" s="549"/>
      <c r="AR258" s="549"/>
      <c r="AS258" s="549"/>
      <c r="AT258" s="549"/>
      <c r="AU258" s="549"/>
      <c r="AV258" s="549"/>
      <c r="AW258" s="549"/>
      <c r="AX258" s="549"/>
      <c r="AY258" s="549"/>
      <c r="AZ258" s="549"/>
      <c r="BA258" s="549"/>
      <c r="BB258" s="549"/>
      <c r="BC258" s="549"/>
      <c r="BD258" s="549"/>
      <c r="BE258" s="549"/>
      <c r="BF258" s="549"/>
      <c r="BG258" s="549"/>
      <c r="BH258" s="549"/>
      <c r="BI258" s="549"/>
    </row>
    <row r="259" spans="16:61" s="254" customFormat="1" ht="9.9">
      <c r="P259" s="549"/>
      <c r="Q259" s="549"/>
      <c r="R259" s="549"/>
      <c r="S259" s="549"/>
      <c r="T259" s="549"/>
      <c r="U259" s="549"/>
      <c r="V259" s="549"/>
      <c r="W259" s="549"/>
      <c r="X259" s="549"/>
      <c r="Y259" s="549"/>
      <c r="Z259" s="549"/>
      <c r="AA259" s="549"/>
      <c r="AB259" s="549"/>
      <c r="AC259" s="549"/>
      <c r="AD259" s="549"/>
      <c r="AE259" s="549"/>
      <c r="AF259" s="549"/>
      <c r="AG259" s="549"/>
      <c r="AH259" s="549"/>
      <c r="AI259" s="549"/>
      <c r="AJ259" s="549"/>
      <c r="AK259" s="549"/>
      <c r="AL259" s="549"/>
      <c r="AM259" s="549"/>
      <c r="AN259" s="549"/>
      <c r="AO259" s="549"/>
      <c r="AP259" s="549"/>
      <c r="AQ259" s="549"/>
      <c r="AR259" s="549"/>
      <c r="AS259" s="549"/>
      <c r="AT259" s="549"/>
      <c r="AU259" s="549"/>
      <c r="AV259" s="549"/>
      <c r="AW259" s="549"/>
      <c r="AX259" s="549"/>
      <c r="AY259" s="549"/>
      <c r="AZ259" s="549"/>
      <c r="BA259" s="549"/>
      <c r="BB259" s="549"/>
      <c r="BC259" s="549"/>
      <c r="BD259" s="549"/>
      <c r="BE259" s="549"/>
      <c r="BF259" s="549"/>
      <c r="BG259" s="549"/>
      <c r="BH259" s="549"/>
      <c r="BI259" s="549"/>
    </row>
    <row r="260" spans="16:61" s="254" customFormat="1" ht="9.9">
      <c r="P260" s="549"/>
      <c r="Q260" s="549"/>
      <c r="R260" s="549"/>
      <c r="S260" s="549"/>
      <c r="T260" s="549"/>
      <c r="U260" s="549"/>
      <c r="V260" s="549"/>
      <c r="W260" s="549"/>
      <c r="X260" s="549"/>
      <c r="Y260" s="549"/>
      <c r="Z260" s="549"/>
      <c r="AA260" s="549"/>
      <c r="AB260" s="549"/>
      <c r="AC260" s="549"/>
      <c r="AD260" s="549"/>
      <c r="AE260" s="549"/>
      <c r="AF260" s="549"/>
      <c r="AG260" s="549"/>
      <c r="AH260" s="549"/>
      <c r="AI260" s="549"/>
      <c r="AJ260" s="549"/>
      <c r="AK260" s="549"/>
      <c r="AL260" s="549"/>
      <c r="AM260" s="549"/>
      <c r="AN260" s="549"/>
      <c r="AO260" s="549"/>
      <c r="AP260" s="549"/>
      <c r="AQ260" s="549"/>
      <c r="AR260" s="549"/>
      <c r="AS260" s="549"/>
      <c r="AT260" s="549"/>
      <c r="AU260" s="549"/>
      <c r="AV260" s="549"/>
      <c r="AW260" s="549"/>
      <c r="AX260" s="549"/>
      <c r="AY260" s="549"/>
      <c r="AZ260" s="549"/>
      <c r="BA260" s="549"/>
      <c r="BB260" s="549"/>
      <c r="BC260" s="549"/>
      <c r="BD260" s="549"/>
      <c r="BE260" s="549"/>
      <c r="BF260" s="549"/>
      <c r="BG260" s="549"/>
      <c r="BH260" s="549"/>
      <c r="BI260" s="549"/>
    </row>
    <row r="261" spans="16:61" s="254" customFormat="1" ht="9.9">
      <c r="P261" s="549"/>
      <c r="Q261" s="549"/>
      <c r="R261" s="549"/>
      <c r="S261" s="549"/>
      <c r="T261" s="549"/>
      <c r="U261" s="549"/>
      <c r="V261" s="549"/>
      <c r="W261" s="549"/>
      <c r="X261" s="549"/>
      <c r="Y261" s="549"/>
      <c r="Z261" s="549"/>
      <c r="AA261" s="549"/>
      <c r="AB261" s="549"/>
      <c r="AC261" s="549"/>
      <c r="AD261" s="549"/>
      <c r="AE261" s="549"/>
      <c r="AF261" s="549"/>
      <c r="AG261" s="549"/>
      <c r="AH261" s="549"/>
      <c r="AI261" s="549"/>
      <c r="AJ261" s="549"/>
      <c r="AK261" s="549"/>
      <c r="AL261" s="549"/>
      <c r="AM261" s="549"/>
      <c r="AN261" s="549"/>
      <c r="AO261" s="549"/>
      <c r="AP261" s="549"/>
      <c r="AQ261" s="549"/>
      <c r="AR261" s="549"/>
      <c r="AS261" s="549"/>
      <c r="AT261" s="549"/>
      <c r="AU261" s="549"/>
      <c r="AV261" s="549"/>
      <c r="AW261" s="549"/>
      <c r="AX261" s="549"/>
      <c r="AY261" s="549"/>
      <c r="AZ261" s="549"/>
      <c r="BA261" s="549"/>
      <c r="BB261" s="549"/>
      <c r="BC261" s="549"/>
      <c r="BD261" s="549"/>
      <c r="BE261" s="549"/>
      <c r="BF261" s="549"/>
      <c r="BG261" s="549"/>
      <c r="BH261" s="549"/>
      <c r="BI261" s="549"/>
    </row>
    <row r="262" spans="16:61" s="254" customFormat="1" ht="9.9">
      <c r="P262" s="549"/>
      <c r="Q262" s="549"/>
      <c r="R262" s="549"/>
      <c r="S262" s="549"/>
      <c r="T262" s="549"/>
      <c r="U262" s="549"/>
      <c r="V262" s="549"/>
      <c r="W262" s="549"/>
      <c r="X262" s="549"/>
      <c r="Y262" s="549"/>
      <c r="Z262" s="549"/>
      <c r="AA262" s="549"/>
      <c r="AB262" s="549"/>
      <c r="AC262" s="549"/>
      <c r="AD262" s="549"/>
      <c r="AE262" s="549"/>
      <c r="AF262" s="549"/>
      <c r="AG262" s="549"/>
      <c r="AH262" s="549"/>
      <c r="AI262" s="549"/>
      <c r="AJ262" s="549"/>
      <c r="AK262" s="549"/>
      <c r="AL262" s="549"/>
      <c r="AM262" s="549"/>
      <c r="AN262" s="549"/>
      <c r="AO262" s="549"/>
      <c r="AP262" s="549"/>
      <c r="AQ262" s="549"/>
      <c r="AR262" s="549"/>
      <c r="AS262" s="549"/>
      <c r="AT262" s="549"/>
      <c r="AU262" s="549"/>
      <c r="AV262" s="549"/>
      <c r="AW262" s="549"/>
      <c r="AX262" s="549"/>
      <c r="AY262" s="549"/>
      <c r="AZ262" s="549"/>
      <c r="BA262" s="549"/>
      <c r="BB262" s="549"/>
      <c r="BC262" s="549"/>
      <c r="BD262" s="549"/>
      <c r="BE262" s="549"/>
      <c r="BF262" s="549"/>
      <c r="BG262" s="549"/>
      <c r="BH262" s="549"/>
      <c r="BI262" s="549"/>
    </row>
    <row r="263" spans="16:61" s="254" customFormat="1" ht="9.9">
      <c r="P263" s="549"/>
      <c r="Q263" s="549"/>
      <c r="R263" s="549"/>
      <c r="S263" s="549"/>
      <c r="T263" s="549"/>
      <c r="U263" s="549"/>
      <c r="V263" s="549"/>
      <c r="W263" s="549"/>
      <c r="X263" s="549"/>
      <c r="Y263" s="549"/>
      <c r="Z263" s="549"/>
      <c r="AA263" s="549"/>
      <c r="AB263" s="549"/>
      <c r="AC263" s="549"/>
      <c r="AD263" s="549"/>
      <c r="AE263" s="549"/>
      <c r="AF263" s="549"/>
      <c r="AG263" s="549"/>
      <c r="AH263" s="549"/>
      <c r="AI263" s="549"/>
      <c r="AJ263" s="549"/>
      <c r="AK263" s="549"/>
      <c r="AL263" s="549"/>
      <c r="AM263" s="549"/>
      <c r="AN263" s="549"/>
      <c r="AO263" s="549"/>
      <c r="AP263" s="549"/>
      <c r="AQ263" s="549"/>
      <c r="AR263" s="549"/>
      <c r="AS263" s="549"/>
      <c r="AT263" s="549"/>
      <c r="AU263" s="549"/>
      <c r="AV263" s="549"/>
      <c r="AW263" s="549"/>
      <c r="AX263" s="549"/>
      <c r="AY263" s="549"/>
      <c r="AZ263" s="549"/>
      <c r="BA263" s="549"/>
      <c r="BB263" s="549"/>
      <c r="BC263" s="549"/>
      <c r="BD263" s="549"/>
      <c r="BE263" s="549"/>
      <c r="BF263" s="549"/>
      <c r="BG263" s="549"/>
      <c r="BH263" s="549"/>
      <c r="BI263" s="549"/>
    </row>
    <row r="264" spans="16:61" s="254" customFormat="1" ht="9.9">
      <c r="P264" s="549"/>
      <c r="Q264" s="549"/>
      <c r="R264" s="549"/>
      <c r="S264" s="549"/>
      <c r="T264" s="549"/>
      <c r="U264" s="549"/>
      <c r="V264" s="549"/>
      <c r="W264" s="549"/>
      <c r="X264" s="549"/>
      <c r="Y264" s="549"/>
      <c r="Z264" s="549"/>
      <c r="AA264" s="549"/>
      <c r="AB264" s="549"/>
      <c r="AC264" s="549"/>
      <c r="AD264" s="549"/>
      <c r="AE264" s="549"/>
      <c r="AF264" s="549"/>
      <c r="AG264" s="549"/>
      <c r="AH264" s="549"/>
      <c r="AI264" s="549"/>
      <c r="AJ264" s="549"/>
      <c r="AK264" s="549"/>
      <c r="AL264" s="549"/>
      <c r="AM264" s="549"/>
      <c r="AN264" s="549"/>
      <c r="AO264" s="549"/>
      <c r="AP264" s="549"/>
      <c r="AQ264" s="549"/>
      <c r="AR264" s="549"/>
      <c r="AS264" s="549"/>
      <c r="AT264" s="549"/>
      <c r="AU264" s="549"/>
      <c r="AV264" s="549"/>
      <c r="AW264" s="549"/>
      <c r="AX264" s="549"/>
      <c r="AY264" s="549"/>
      <c r="AZ264" s="549"/>
      <c r="BA264" s="549"/>
      <c r="BB264" s="549"/>
      <c r="BC264" s="549"/>
      <c r="BD264" s="549"/>
      <c r="BE264" s="549"/>
      <c r="BF264" s="549"/>
      <c r="BG264" s="549"/>
      <c r="BH264" s="549"/>
      <c r="BI264" s="549"/>
    </row>
    <row r="265" spans="16:61" s="254" customFormat="1" ht="9.9">
      <c r="P265" s="549"/>
      <c r="Q265" s="549"/>
      <c r="R265" s="549"/>
      <c r="S265" s="549"/>
      <c r="T265" s="549"/>
      <c r="U265" s="549"/>
      <c r="V265" s="549"/>
      <c r="W265" s="549"/>
      <c r="X265" s="549"/>
      <c r="Y265" s="549"/>
      <c r="Z265" s="549"/>
      <c r="AA265" s="549"/>
      <c r="AB265" s="549"/>
      <c r="AC265" s="549"/>
      <c r="AD265" s="549"/>
      <c r="AE265" s="549"/>
      <c r="AF265" s="549"/>
      <c r="AG265" s="549"/>
      <c r="AH265" s="549"/>
      <c r="AI265" s="549"/>
      <c r="AJ265" s="549"/>
      <c r="AK265" s="549"/>
      <c r="AL265" s="549"/>
      <c r="AM265" s="549"/>
      <c r="AN265" s="549"/>
      <c r="AO265" s="549"/>
      <c r="AP265" s="549"/>
      <c r="AQ265" s="549"/>
      <c r="AR265" s="549"/>
      <c r="AS265" s="549"/>
      <c r="AT265" s="549"/>
      <c r="AU265" s="549"/>
      <c r="AV265" s="549"/>
      <c r="AW265" s="549"/>
      <c r="AX265" s="549"/>
      <c r="AY265" s="549"/>
      <c r="AZ265" s="549"/>
      <c r="BA265" s="549"/>
      <c r="BB265" s="549"/>
      <c r="BC265" s="549"/>
      <c r="BD265" s="549"/>
      <c r="BE265" s="549"/>
      <c r="BF265" s="549"/>
      <c r="BG265" s="549"/>
      <c r="BH265" s="549"/>
      <c r="BI265" s="549"/>
    </row>
    <row r="266" spans="16:61" s="254" customFormat="1" ht="9.9">
      <c r="P266" s="549"/>
      <c r="Q266" s="549"/>
      <c r="R266" s="549"/>
      <c r="S266" s="549"/>
      <c r="T266" s="549"/>
      <c r="U266" s="549"/>
      <c r="V266" s="549"/>
      <c r="W266" s="549"/>
      <c r="X266" s="549"/>
      <c r="Y266" s="549"/>
      <c r="Z266" s="549"/>
      <c r="AA266" s="549"/>
      <c r="AB266" s="549"/>
      <c r="AC266" s="549"/>
      <c r="AD266" s="549"/>
      <c r="AE266" s="549"/>
      <c r="AF266" s="549"/>
      <c r="AG266" s="549"/>
      <c r="AH266" s="549"/>
      <c r="AI266" s="549"/>
      <c r="AJ266" s="549"/>
      <c r="AK266" s="549"/>
      <c r="AL266" s="549"/>
      <c r="AM266" s="549"/>
      <c r="AN266" s="549"/>
      <c r="AO266" s="549"/>
      <c r="AP266" s="549"/>
      <c r="AQ266" s="549"/>
      <c r="AR266" s="549"/>
      <c r="AS266" s="549"/>
      <c r="AT266" s="549"/>
      <c r="AU266" s="549"/>
      <c r="AV266" s="549"/>
      <c r="AW266" s="549"/>
      <c r="AX266" s="549"/>
      <c r="AY266" s="549"/>
      <c r="AZ266" s="549"/>
      <c r="BA266" s="549"/>
      <c r="BB266" s="549"/>
      <c r="BC266" s="549"/>
      <c r="BD266" s="549"/>
      <c r="BE266" s="549"/>
      <c r="BF266" s="549"/>
      <c r="BG266" s="549"/>
      <c r="BH266" s="549"/>
      <c r="BI266" s="549"/>
    </row>
    <row r="267" spans="16:61" s="254" customFormat="1" ht="9.9">
      <c r="P267" s="549"/>
      <c r="Q267" s="549"/>
      <c r="R267" s="549"/>
      <c r="S267" s="549"/>
      <c r="T267" s="549"/>
      <c r="U267" s="549"/>
      <c r="V267" s="549"/>
      <c r="W267" s="549"/>
      <c r="X267" s="549"/>
      <c r="Y267" s="549"/>
      <c r="Z267" s="549"/>
      <c r="AA267" s="549"/>
      <c r="AB267" s="549"/>
      <c r="AC267" s="549"/>
      <c r="AD267" s="549"/>
      <c r="AE267" s="549"/>
      <c r="AF267" s="549"/>
      <c r="AG267" s="549"/>
      <c r="AH267" s="549"/>
      <c r="AI267" s="549"/>
      <c r="AJ267" s="549"/>
      <c r="AK267" s="549"/>
      <c r="AL267" s="549"/>
      <c r="AM267" s="549"/>
      <c r="AN267" s="549"/>
      <c r="AO267" s="549"/>
      <c r="AP267" s="549"/>
      <c r="AQ267" s="549"/>
      <c r="AR267" s="549"/>
      <c r="AS267" s="549"/>
      <c r="AT267" s="549"/>
      <c r="AU267" s="549"/>
      <c r="AV267" s="549"/>
      <c r="AW267" s="549"/>
      <c r="AX267" s="549"/>
      <c r="AY267" s="549"/>
      <c r="AZ267" s="549"/>
      <c r="BA267" s="549"/>
      <c r="BB267" s="549"/>
      <c r="BC267" s="549"/>
      <c r="BD267" s="549"/>
      <c r="BE267" s="549"/>
      <c r="BF267" s="549"/>
      <c r="BG267" s="549"/>
      <c r="BH267" s="549"/>
      <c r="BI267" s="549"/>
    </row>
    <row r="268" spans="16:61" s="254" customFormat="1" ht="9.9">
      <c r="P268" s="549"/>
      <c r="Q268" s="549"/>
      <c r="R268" s="549"/>
      <c r="S268" s="549"/>
      <c r="T268" s="549"/>
      <c r="U268" s="549"/>
      <c r="V268" s="549"/>
      <c r="W268" s="549"/>
      <c r="X268" s="549"/>
      <c r="Y268" s="549"/>
      <c r="Z268" s="549"/>
      <c r="AA268" s="549"/>
      <c r="AB268" s="549"/>
      <c r="AC268" s="549"/>
      <c r="AD268" s="549"/>
      <c r="AE268" s="549"/>
      <c r="AF268" s="549"/>
      <c r="AG268" s="549"/>
      <c r="AH268" s="549"/>
      <c r="AI268" s="549"/>
      <c r="AJ268" s="549"/>
      <c r="AK268" s="549"/>
      <c r="AL268" s="549"/>
      <c r="AM268" s="549"/>
      <c r="AN268" s="549"/>
      <c r="AO268" s="549"/>
      <c r="AP268" s="549"/>
      <c r="AQ268" s="549"/>
      <c r="AR268" s="549"/>
      <c r="AS268" s="549"/>
      <c r="AT268" s="549"/>
      <c r="AU268" s="549"/>
      <c r="AV268" s="549"/>
      <c r="AW268" s="549"/>
      <c r="AX268" s="549"/>
      <c r="AY268" s="549"/>
      <c r="AZ268" s="549"/>
      <c r="BA268" s="549"/>
      <c r="BB268" s="549"/>
      <c r="BC268" s="549"/>
      <c r="BD268" s="549"/>
      <c r="BE268" s="549"/>
      <c r="BF268" s="549"/>
      <c r="BG268" s="549"/>
      <c r="BH268" s="549"/>
      <c r="BI268" s="549"/>
    </row>
    <row r="269" spans="16:61" s="254" customFormat="1" ht="9.9">
      <c r="P269" s="549"/>
      <c r="Q269" s="549"/>
      <c r="R269" s="549"/>
      <c r="S269" s="549"/>
      <c r="T269" s="549"/>
      <c r="U269" s="549"/>
      <c r="V269" s="549"/>
      <c r="W269" s="549"/>
      <c r="X269" s="549"/>
      <c r="Y269" s="549"/>
      <c r="Z269" s="549"/>
      <c r="AA269" s="549"/>
      <c r="AB269" s="549"/>
      <c r="AC269" s="549"/>
      <c r="AD269" s="549"/>
      <c r="AE269" s="549"/>
      <c r="AF269" s="549"/>
      <c r="AG269" s="549"/>
      <c r="AH269" s="549"/>
      <c r="AI269" s="549"/>
      <c r="AJ269" s="549"/>
      <c r="AK269" s="549"/>
      <c r="AL269" s="549"/>
      <c r="AM269" s="549"/>
      <c r="AN269" s="549"/>
      <c r="AO269" s="549"/>
      <c r="AP269" s="549"/>
      <c r="AQ269" s="549"/>
      <c r="AR269" s="549"/>
      <c r="AS269" s="549"/>
      <c r="AT269" s="549"/>
      <c r="AU269" s="549"/>
      <c r="AV269" s="549"/>
      <c r="AW269" s="549"/>
      <c r="AX269" s="549"/>
      <c r="AY269" s="549"/>
      <c r="AZ269" s="549"/>
      <c r="BA269" s="549"/>
      <c r="BB269" s="549"/>
      <c r="BC269" s="549"/>
      <c r="BD269" s="549"/>
      <c r="BE269" s="549"/>
      <c r="BF269" s="549"/>
      <c r="BG269" s="549"/>
      <c r="BH269" s="549"/>
      <c r="BI269" s="549"/>
    </row>
    <row r="270" spans="16:61" s="254" customFormat="1" ht="9.9">
      <c r="P270" s="549"/>
      <c r="Q270" s="549"/>
      <c r="R270" s="549"/>
      <c r="S270" s="549"/>
      <c r="T270" s="549"/>
      <c r="U270" s="549"/>
      <c r="V270" s="549"/>
      <c r="W270" s="549"/>
      <c r="X270" s="549"/>
      <c r="Y270" s="549"/>
      <c r="Z270" s="549"/>
      <c r="AA270" s="549"/>
      <c r="AB270" s="549"/>
      <c r="AC270" s="549"/>
      <c r="AD270" s="549"/>
      <c r="AE270" s="549"/>
      <c r="AF270" s="549"/>
      <c r="AG270" s="549"/>
      <c r="AH270" s="549"/>
      <c r="AI270" s="549"/>
      <c r="AJ270" s="549"/>
      <c r="AK270" s="549"/>
      <c r="AL270" s="549"/>
      <c r="AM270" s="549"/>
      <c r="AN270" s="549"/>
      <c r="AO270" s="549"/>
      <c r="AP270" s="549"/>
      <c r="AQ270" s="549"/>
      <c r="AR270" s="549"/>
      <c r="AS270" s="549"/>
      <c r="AT270" s="549"/>
      <c r="AU270" s="549"/>
      <c r="AV270" s="549"/>
      <c r="AW270" s="549"/>
      <c r="AX270" s="549"/>
      <c r="AY270" s="549"/>
      <c r="AZ270" s="549"/>
      <c r="BA270" s="549"/>
      <c r="BB270" s="549"/>
      <c r="BC270" s="549"/>
      <c r="BD270" s="549"/>
      <c r="BE270" s="549"/>
      <c r="BF270" s="549"/>
      <c r="BG270" s="549"/>
      <c r="BH270" s="549"/>
      <c r="BI270" s="549"/>
    </row>
    <row r="271" spans="16:61" s="254" customFormat="1" ht="9.9">
      <c r="P271" s="549"/>
      <c r="Q271" s="549"/>
      <c r="R271" s="549"/>
      <c r="S271" s="549"/>
      <c r="T271" s="549"/>
      <c r="U271" s="549"/>
      <c r="V271" s="549"/>
      <c r="W271" s="549"/>
      <c r="X271" s="549"/>
      <c r="Y271" s="549"/>
      <c r="Z271" s="549"/>
      <c r="AA271" s="549"/>
      <c r="AB271" s="549"/>
      <c r="AC271" s="549"/>
      <c r="AD271" s="549"/>
      <c r="AE271" s="549"/>
      <c r="AF271" s="549"/>
      <c r="AG271" s="549"/>
      <c r="AH271" s="549"/>
      <c r="AI271" s="549"/>
      <c r="AJ271" s="549"/>
      <c r="AK271" s="549"/>
      <c r="AL271" s="549"/>
      <c r="AM271" s="549"/>
      <c r="AN271" s="549"/>
      <c r="AO271" s="549"/>
      <c r="AP271" s="549"/>
      <c r="AQ271" s="549"/>
      <c r="AR271" s="549"/>
      <c r="AS271" s="549"/>
      <c r="AT271" s="549"/>
      <c r="AU271" s="549"/>
      <c r="AV271" s="549"/>
      <c r="AW271" s="549"/>
      <c r="AX271" s="549"/>
      <c r="AY271" s="549"/>
      <c r="AZ271" s="549"/>
      <c r="BA271" s="549"/>
      <c r="BB271" s="549"/>
      <c r="BC271" s="549"/>
      <c r="BD271" s="549"/>
      <c r="BE271" s="549"/>
      <c r="BF271" s="549"/>
      <c r="BG271" s="549"/>
      <c r="BH271" s="549"/>
      <c r="BI271" s="549"/>
    </row>
    <row r="272" spans="16:61" s="254" customFormat="1" ht="9.9">
      <c r="P272" s="549"/>
      <c r="Q272" s="549"/>
      <c r="R272" s="549"/>
      <c r="S272" s="549"/>
      <c r="T272" s="549"/>
      <c r="U272" s="549"/>
      <c r="V272" s="549"/>
      <c r="W272" s="549"/>
      <c r="X272" s="549"/>
      <c r="Y272" s="549"/>
      <c r="Z272" s="549"/>
      <c r="AA272" s="549"/>
      <c r="AB272" s="549"/>
      <c r="AC272" s="549"/>
      <c r="AD272" s="549"/>
      <c r="AE272" s="549"/>
      <c r="AF272" s="549"/>
      <c r="AG272" s="549"/>
      <c r="AH272" s="549"/>
      <c r="AI272" s="549"/>
      <c r="AJ272" s="549"/>
      <c r="AK272" s="549"/>
      <c r="AL272" s="549"/>
      <c r="AM272" s="549"/>
      <c r="AN272" s="549"/>
      <c r="AO272" s="549"/>
      <c r="AP272" s="549"/>
      <c r="AQ272" s="549"/>
      <c r="AR272" s="549"/>
      <c r="AS272" s="549"/>
      <c r="AT272" s="549"/>
      <c r="AU272" s="549"/>
      <c r="AV272" s="549"/>
      <c r="AW272" s="549"/>
      <c r="AX272" s="549"/>
      <c r="AY272" s="549"/>
      <c r="AZ272" s="549"/>
      <c r="BA272" s="549"/>
      <c r="BB272" s="549"/>
      <c r="BC272" s="549"/>
      <c r="BD272" s="549"/>
      <c r="BE272" s="549"/>
      <c r="BF272" s="549"/>
      <c r="BG272" s="549"/>
      <c r="BH272" s="549"/>
      <c r="BI272" s="549"/>
    </row>
    <row r="273" spans="16:61" s="254" customFormat="1" ht="9.9">
      <c r="P273" s="549"/>
      <c r="Q273" s="549"/>
      <c r="R273" s="549"/>
      <c r="S273" s="549"/>
      <c r="T273" s="549"/>
      <c r="U273" s="549"/>
      <c r="V273" s="549"/>
      <c r="W273" s="549"/>
      <c r="X273" s="549"/>
      <c r="Y273" s="549"/>
      <c r="Z273" s="549"/>
      <c r="AA273" s="549"/>
      <c r="AB273" s="549"/>
      <c r="AC273" s="549"/>
      <c r="AD273" s="549"/>
      <c r="AE273" s="549"/>
      <c r="AF273" s="549"/>
      <c r="AG273" s="549"/>
      <c r="AH273" s="549"/>
      <c r="AI273" s="549"/>
      <c r="AJ273" s="549"/>
      <c r="AK273" s="549"/>
      <c r="AL273" s="549"/>
      <c r="AM273" s="549"/>
      <c r="AN273" s="549"/>
      <c r="AO273" s="549"/>
      <c r="AP273" s="549"/>
      <c r="AQ273" s="549"/>
      <c r="AR273" s="549"/>
      <c r="AS273" s="549"/>
      <c r="AT273" s="549"/>
      <c r="AU273" s="549"/>
      <c r="AV273" s="549"/>
      <c r="AW273" s="549"/>
      <c r="AX273" s="549"/>
      <c r="AY273" s="549"/>
      <c r="AZ273" s="549"/>
      <c r="BA273" s="549"/>
      <c r="BB273" s="549"/>
      <c r="BC273" s="549"/>
      <c r="BD273" s="549"/>
      <c r="BE273" s="549"/>
      <c r="BF273" s="549"/>
      <c r="BG273" s="549"/>
      <c r="BH273" s="549"/>
      <c r="BI273" s="549"/>
    </row>
    <row r="274" spans="16:61" s="254" customFormat="1" ht="9.9">
      <c r="P274" s="549"/>
      <c r="Q274" s="549"/>
      <c r="R274" s="549"/>
      <c r="S274" s="549"/>
      <c r="T274" s="549"/>
      <c r="U274" s="549"/>
      <c r="V274" s="549"/>
      <c r="W274" s="549"/>
      <c r="X274" s="549"/>
      <c r="Y274" s="549"/>
      <c r="Z274" s="549"/>
      <c r="AA274" s="549"/>
      <c r="AB274" s="549"/>
      <c r="AC274" s="549"/>
      <c r="AD274" s="549"/>
      <c r="AE274" s="549"/>
      <c r="AF274" s="549"/>
      <c r="AG274" s="549"/>
      <c r="AH274" s="549"/>
      <c r="AI274" s="549"/>
      <c r="AJ274" s="549"/>
      <c r="AK274" s="549"/>
      <c r="AL274" s="549"/>
      <c r="AM274" s="549"/>
      <c r="AN274" s="549"/>
      <c r="AO274" s="549"/>
      <c r="AP274" s="549"/>
      <c r="AQ274" s="549"/>
      <c r="AR274" s="549"/>
      <c r="AS274" s="549"/>
      <c r="AT274" s="549"/>
      <c r="AU274" s="549"/>
      <c r="AV274" s="549"/>
      <c r="AW274" s="549"/>
      <c r="AX274" s="549"/>
      <c r="AY274" s="549"/>
      <c r="AZ274" s="549"/>
      <c r="BA274" s="549"/>
      <c r="BB274" s="549"/>
      <c r="BC274" s="549"/>
      <c r="BD274" s="549"/>
      <c r="BE274" s="549"/>
      <c r="BF274" s="549"/>
      <c r="BG274" s="549"/>
      <c r="BH274" s="549"/>
      <c r="BI274" s="549"/>
    </row>
    <row r="275" spans="16:61" s="254" customFormat="1" ht="9.9">
      <c r="P275" s="549"/>
      <c r="Q275" s="549"/>
      <c r="R275" s="549"/>
      <c r="S275" s="549"/>
      <c r="T275" s="549"/>
      <c r="U275" s="549"/>
      <c r="V275" s="549"/>
      <c r="W275" s="549"/>
      <c r="X275" s="549"/>
      <c r="Y275" s="549"/>
      <c r="Z275" s="549"/>
      <c r="AA275" s="549"/>
      <c r="AB275" s="549"/>
      <c r="AC275" s="549"/>
      <c r="AD275" s="549"/>
      <c r="AE275" s="549"/>
      <c r="AF275" s="549"/>
      <c r="AG275" s="549"/>
      <c r="AH275" s="549"/>
      <c r="AI275" s="549"/>
      <c r="AJ275" s="549"/>
      <c r="AK275" s="549"/>
      <c r="AL275" s="549"/>
      <c r="AM275" s="549"/>
      <c r="AN275" s="549"/>
      <c r="AO275" s="549"/>
      <c r="AP275" s="549"/>
      <c r="AQ275" s="549"/>
      <c r="AR275" s="549"/>
      <c r="AS275" s="549"/>
      <c r="AT275" s="549"/>
      <c r="AU275" s="549"/>
      <c r="AV275" s="549"/>
      <c r="AW275" s="549"/>
      <c r="AX275" s="549"/>
      <c r="AY275" s="549"/>
      <c r="AZ275" s="549"/>
      <c r="BA275" s="549"/>
      <c r="BB275" s="549"/>
      <c r="BC275" s="549"/>
      <c r="BD275" s="549"/>
      <c r="BE275" s="549"/>
      <c r="BF275" s="549"/>
      <c r="BG275" s="549"/>
      <c r="BH275" s="549"/>
      <c r="BI275" s="549"/>
    </row>
    <row r="276" spans="16:61" s="254" customFormat="1" ht="9.9">
      <c r="P276" s="549"/>
      <c r="Q276" s="549"/>
      <c r="R276" s="549"/>
      <c r="S276" s="549"/>
      <c r="T276" s="549"/>
      <c r="U276" s="549"/>
      <c r="V276" s="549"/>
      <c r="W276" s="549"/>
      <c r="X276" s="549"/>
      <c r="Y276" s="549"/>
      <c r="Z276" s="549"/>
      <c r="AA276" s="549"/>
      <c r="AB276" s="549"/>
      <c r="AC276" s="549"/>
      <c r="AD276" s="549"/>
      <c r="AE276" s="549"/>
      <c r="AF276" s="549"/>
      <c r="AG276" s="549"/>
      <c r="AH276" s="549"/>
      <c r="AI276" s="549"/>
      <c r="AJ276" s="549"/>
      <c r="AK276" s="549"/>
      <c r="AL276" s="549"/>
      <c r="AM276" s="549"/>
      <c r="AN276" s="549"/>
      <c r="AO276" s="549"/>
      <c r="AP276" s="549"/>
      <c r="AQ276" s="549"/>
      <c r="AR276" s="549"/>
      <c r="AS276" s="549"/>
      <c r="AT276" s="549"/>
      <c r="AU276" s="549"/>
      <c r="AV276" s="549"/>
      <c r="AW276" s="549"/>
      <c r="AX276" s="549"/>
      <c r="AY276" s="549"/>
      <c r="AZ276" s="549"/>
      <c r="BA276" s="549"/>
      <c r="BB276" s="549"/>
      <c r="BC276" s="549"/>
      <c r="BD276" s="549"/>
      <c r="BE276" s="549"/>
      <c r="BF276" s="549"/>
      <c r="BG276" s="549"/>
      <c r="BH276" s="549"/>
      <c r="BI276" s="549"/>
    </row>
    <row r="277" spans="16:61" s="254" customFormat="1" ht="9.9">
      <c r="P277" s="549"/>
      <c r="Q277" s="549"/>
      <c r="R277" s="549"/>
      <c r="S277" s="549"/>
      <c r="T277" s="549"/>
      <c r="U277" s="549"/>
      <c r="V277" s="549"/>
      <c r="W277" s="549"/>
      <c r="X277" s="549"/>
      <c r="Y277" s="549"/>
      <c r="Z277" s="549"/>
      <c r="AA277" s="549"/>
      <c r="AB277" s="549"/>
      <c r="AC277" s="549"/>
      <c r="AD277" s="549"/>
      <c r="AE277" s="549"/>
      <c r="AF277" s="549"/>
      <c r="AG277" s="549"/>
      <c r="AH277" s="549"/>
      <c r="AI277" s="549"/>
      <c r="AJ277" s="549"/>
      <c r="AK277" s="549"/>
      <c r="AL277" s="549"/>
      <c r="AM277" s="549"/>
      <c r="AN277" s="549"/>
      <c r="AO277" s="549"/>
      <c r="AP277" s="549"/>
      <c r="AQ277" s="549"/>
      <c r="AR277" s="549"/>
      <c r="AS277" s="549"/>
      <c r="AT277" s="549"/>
      <c r="AU277" s="549"/>
      <c r="AV277" s="549"/>
      <c r="AW277" s="549"/>
      <c r="AX277" s="549"/>
      <c r="AY277" s="549"/>
      <c r="AZ277" s="549"/>
      <c r="BA277" s="549"/>
      <c r="BB277" s="549"/>
      <c r="BC277" s="549"/>
      <c r="BD277" s="549"/>
      <c r="BE277" s="549"/>
      <c r="BF277" s="549"/>
      <c r="BG277" s="549"/>
      <c r="BH277" s="549"/>
      <c r="BI277" s="549"/>
    </row>
    <row r="278" spans="16:61" s="254" customFormat="1" ht="9.9">
      <c r="P278" s="549"/>
      <c r="Q278" s="549"/>
      <c r="R278" s="549"/>
      <c r="S278" s="549"/>
      <c r="T278" s="549"/>
      <c r="U278" s="549"/>
      <c r="V278" s="549"/>
      <c r="W278" s="549"/>
      <c r="X278" s="549"/>
      <c r="Y278" s="549"/>
      <c r="Z278" s="549"/>
      <c r="AA278" s="549"/>
      <c r="AB278" s="549"/>
      <c r="AC278" s="549"/>
      <c r="AD278" s="549"/>
      <c r="AE278" s="549"/>
      <c r="AF278" s="549"/>
      <c r="AG278" s="549"/>
      <c r="AH278" s="549"/>
      <c r="AI278" s="549"/>
      <c r="AJ278" s="549"/>
      <c r="AK278" s="549"/>
      <c r="AL278" s="549"/>
      <c r="AM278" s="549"/>
      <c r="AN278" s="549"/>
      <c r="AO278" s="549"/>
      <c r="AP278" s="549"/>
      <c r="AQ278" s="549"/>
      <c r="AR278" s="549"/>
      <c r="AS278" s="549"/>
      <c r="AT278" s="549"/>
      <c r="AU278" s="549"/>
      <c r="AV278" s="549"/>
      <c r="AW278" s="549"/>
      <c r="AX278" s="549"/>
      <c r="AY278" s="549"/>
      <c r="AZ278" s="549"/>
      <c r="BA278" s="549"/>
      <c r="BB278" s="549"/>
      <c r="BC278" s="549"/>
      <c r="BD278" s="549"/>
      <c r="BE278" s="549"/>
      <c r="BF278" s="549"/>
      <c r="BG278" s="549"/>
      <c r="BH278" s="549"/>
      <c r="BI278" s="549"/>
    </row>
    <row r="279" spans="16:61" s="254" customFormat="1" ht="9.9">
      <c r="P279" s="549"/>
      <c r="Q279" s="549"/>
      <c r="R279" s="549"/>
      <c r="S279" s="549"/>
      <c r="T279" s="549"/>
      <c r="U279" s="549"/>
      <c r="V279" s="549"/>
      <c r="W279" s="549"/>
      <c r="X279" s="549"/>
      <c r="Y279" s="549"/>
      <c r="Z279" s="549"/>
      <c r="AA279" s="549"/>
      <c r="AB279" s="549"/>
      <c r="AC279" s="549"/>
      <c r="AD279" s="549"/>
      <c r="AE279" s="549"/>
      <c r="AF279" s="549"/>
      <c r="AG279" s="549"/>
      <c r="AH279" s="549"/>
      <c r="AI279" s="549"/>
      <c r="AJ279" s="549"/>
      <c r="AK279" s="549"/>
      <c r="AL279" s="549"/>
      <c r="AM279" s="549"/>
      <c r="AN279" s="549"/>
      <c r="AO279" s="549"/>
      <c r="AP279" s="549"/>
      <c r="AQ279" s="549"/>
      <c r="AR279" s="549"/>
      <c r="AS279" s="549"/>
      <c r="AT279" s="549"/>
      <c r="AU279" s="549"/>
      <c r="AV279" s="549"/>
      <c r="AW279" s="549"/>
      <c r="AX279" s="549"/>
      <c r="AY279" s="549"/>
      <c r="AZ279" s="549"/>
      <c r="BA279" s="549"/>
      <c r="BB279" s="549"/>
      <c r="BC279" s="549"/>
      <c r="BD279" s="549"/>
      <c r="BE279" s="549"/>
      <c r="BF279" s="549"/>
      <c r="BG279" s="549"/>
      <c r="BH279" s="549"/>
      <c r="BI279" s="549"/>
    </row>
    <row r="280" spans="16:61" s="254" customFormat="1" ht="9.9">
      <c r="P280" s="549"/>
      <c r="Q280" s="549"/>
      <c r="R280" s="549"/>
      <c r="S280" s="549"/>
      <c r="T280" s="549"/>
      <c r="U280" s="549"/>
      <c r="V280" s="549"/>
      <c r="W280" s="549"/>
      <c r="X280" s="549"/>
      <c r="Y280" s="549"/>
      <c r="Z280" s="549"/>
      <c r="AA280" s="549"/>
      <c r="AB280" s="549"/>
      <c r="AC280" s="549"/>
      <c r="AD280" s="549"/>
      <c r="AE280" s="549"/>
      <c r="AF280" s="549"/>
      <c r="AG280" s="549"/>
      <c r="AH280" s="549"/>
      <c r="AI280" s="549"/>
      <c r="AJ280" s="549"/>
      <c r="AK280" s="549"/>
      <c r="AL280" s="549"/>
      <c r="AM280" s="549"/>
      <c r="AN280" s="549"/>
      <c r="AO280" s="549"/>
      <c r="AP280" s="549"/>
      <c r="AQ280" s="549"/>
      <c r="AR280" s="549"/>
      <c r="AS280" s="549"/>
      <c r="AT280" s="549"/>
      <c r="AU280" s="549"/>
      <c r="AV280" s="549"/>
      <c r="AW280" s="549"/>
      <c r="AX280" s="549"/>
      <c r="AY280" s="549"/>
      <c r="AZ280" s="549"/>
      <c r="BA280" s="549"/>
      <c r="BB280" s="549"/>
      <c r="BC280" s="549"/>
      <c r="BD280" s="549"/>
      <c r="BE280" s="549"/>
      <c r="BF280" s="549"/>
      <c r="BG280" s="549"/>
      <c r="BH280" s="549"/>
      <c r="BI280" s="549"/>
    </row>
    <row r="281" spans="16:61" s="254" customFormat="1" ht="9.9">
      <c r="P281" s="549"/>
      <c r="Q281" s="549"/>
      <c r="R281" s="549"/>
      <c r="S281" s="549"/>
      <c r="T281" s="549"/>
      <c r="U281" s="549"/>
      <c r="V281" s="549"/>
      <c r="W281" s="549"/>
      <c r="X281" s="549"/>
      <c r="Y281" s="549"/>
      <c r="Z281" s="549"/>
      <c r="AA281" s="549"/>
      <c r="AB281" s="549"/>
      <c r="AC281" s="549"/>
      <c r="AD281" s="549"/>
      <c r="AE281" s="549"/>
      <c r="AF281" s="549"/>
      <c r="AG281" s="549"/>
      <c r="AH281" s="549"/>
      <c r="AI281" s="549"/>
      <c r="AJ281" s="549"/>
      <c r="AK281" s="549"/>
      <c r="AL281" s="549"/>
      <c r="AM281" s="549"/>
      <c r="AN281" s="549"/>
      <c r="AO281" s="549"/>
      <c r="AP281" s="549"/>
      <c r="AQ281" s="549"/>
      <c r="AR281" s="549"/>
      <c r="AS281" s="549"/>
      <c r="AT281" s="549"/>
      <c r="AU281" s="549"/>
      <c r="AV281" s="549"/>
      <c r="AW281" s="549"/>
      <c r="AX281" s="549"/>
      <c r="AY281" s="549"/>
      <c r="AZ281" s="549"/>
      <c r="BA281" s="549"/>
      <c r="BB281" s="549"/>
      <c r="BC281" s="549"/>
      <c r="BD281" s="549"/>
      <c r="BE281" s="549"/>
      <c r="BF281" s="549"/>
      <c r="BG281" s="549"/>
      <c r="BH281" s="549"/>
      <c r="BI281" s="549"/>
    </row>
    <row r="282" spans="16:61" s="254" customFormat="1" ht="9.9">
      <c r="P282" s="549"/>
      <c r="Q282" s="549"/>
      <c r="R282" s="549"/>
      <c r="S282" s="549"/>
      <c r="T282" s="549"/>
      <c r="U282" s="549"/>
      <c r="V282" s="549"/>
      <c r="W282" s="549"/>
      <c r="X282" s="549"/>
      <c r="Y282" s="549"/>
      <c r="Z282" s="549"/>
      <c r="AA282" s="549"/>
      <c r="AB282" s="549"/>
      <c r="AC282" s="549"/>
      <c r="AD282" s="549"/>
      <c r="AE282" s="549"/>
      <c r="AF282" s="549"/>
      <c r="AG282" s="549"/>
      <c r="AH282" s="549"/>
      <c r="AI282" s="549"/>
      <c r="AJ282" s="549"/>
      <c r="AK282" s="549"/>
      <c r="AL282" s="549"/>
      <c r="AM282" s="549"/>
      <c r="AN282" s="549"/>
      <c r="AO282" s="549"/>
      <c r="AP282" s="549"/>
      <c r="AQ282" s="549"/>
      <c r="AR282" s="549"/>
      <c r="AS282" s="549"/>
      <c r="AT282" s="549"/>
      <c r="AU282" s="549"/>
      <c r="AV282" s="549"/>
      <c r="AW282" s="549"/>
      <c r="AX282" s="549"/>
      <c r="AY282" s="549"/>
      <c r="AZ282" s="549"/>
      <c r="BA282" s="549"/>
      <c r="BB282" s="549"/>
      <c r="BC282" s="549"/>
      <c r="BD282" s="549"/>
      <c r="BE282" s="549"/>
      <c r="BF282" s="549"/>
      <c r="BG282" s="549"/>
      <c r="BH282" s="549"/>
      <c r="BI282" s="549"/>
    </row>
    <row r="283" spans="16:61" s="254" customFormat="1" ht="9.9">
      <c r="P283" s="549"/>
      <c r="Q283" s="549"/>
      <c r="R283" s="549"/>
      <c r="S283" s="549"/>
      <c r="T283" s="549"/>
      <c r="U283" s="549"/>
      <c r="V283" s="549"/>
      <c r="W283" s="549"/>
      <c r="X283" s="549"/>
      <c r="Y283" s="549"/>
      <c r="Z283" s="549"/>
      <c r="AA283" s="549"/>
      <c r="AB283" s="549"/>
      <c r="AC283" s="549"/>
      <c r="AD283" s="549"/>
      <c r="AE283" s="549"/>
      <c r="AF283" s="549"/>
      <c r="AG283" s="549"/>
      <c r="AH283" s="549"/>
      <c r="AI283" s="549"/>
      <c r="AJ283" s="549"/>
      <c r="AK283" s="549"/>
      <c r="AL283" s="549"/>
      <c r="AM283" s="549"/>
      <c r="AN283" s="549"/>
      <c r="AO283" s="549"/>
      <c r="AP283" s="549"/>
      <c r="AQ283" s="549"/>
      <c r="AR283" s="549"/>
      <c r="AS283" s="549"/>
      <c r="AT283" s="549"/>
      <c r="AU283" s="549"/>
      <c r="AV283" s="549"/>
      <c r="AW283" s="549"/>
      <c r="AX283" s="549"/>
      <c r="AY283" s="549"/>
      <c r="AZ283" s="549"/>
      <c r="BA283" s="549"/>
      <c r="BB283" s="549"/>
      <c r="BC283" s="549"/>
      <c r="BD283" s="549"/>
      <c r="BE283" s="549"/>
      <c r="BF283" s="549"/>
      <c r="BG283" s="549"/>
      <c r="BH283" s="549"/>
      <c r="BI283" s="549"/>
    </row>
    <row r="284" spans="16:61" s="254" customFormat="1" ht="9.9">
      <c r="P284" s="549"/>
      <c r="Q284" s="549"/>
      <c r="R284" s="549"/>
      <c r="S284" s="549"/>
      <c r="T284" s="549"/>
      <c r="U284" s="549"/>
      <c r="V284" s="549"/>
      <c r="W284" s="549"/>
      <c r="X284" s="549"/>
      <c r="Y284" s="549"/>
      <c r="Z284" s="549"/>
      <c r="AA284" s="549"/>
      <c r="AB284" s="549"/>
      <c r="AC284" s="549"/>
      <c r="AD284" s="549"/>
      <c r="AE284" s="549"/>
      <c r="AF284" s="549"/>
      <c r="AG284" s="549"/>
      <c r="AH284" s="549"/>
      <c r="AI284" s="549"/>
      <c r="AJ284" s="549"/>
      <c r="AK284" s="549"/>
      <c r="AL284" s="549"/>
      <c r="AM284" s="549"/>
      <c r="AN284" s="549"/>
      <c r="AO284" s="549"/>
      <c r="AP284" s="549"/>
      <c r="AQ284" s="549"/>
      <c r="AR284" s="549"/>
      <c r="AS284" s="549"/>
      <c r="AT284" s="549"/>
      <c r="AU284" s="549"/>
      <c r="AV284" s="549"/>
      <c r="AW284" s="549"/>
      <c r="AX284" s="549"/>
      <c r="AY284" s="549"/>
      <c r="AZ284" s="549"/>
      <c r="BA284" s="549"/>
      <c r="BB284" s="549"/>
      <c r="BC284" s="549"/>
      <c r="BD284" s="549"/>
      <c r="BE284" s="549"/>
      <c r="BF284" s="549"/>
      <c r="BG284" s="549"/>
      <c r="BH284" s="549"/>
      <c r="BI284" s="549"/>
    </row>
    <row r="285" spans="16:61" s="254" customFormat="1" ht="9.9">
      <c r="P285" s="549"/>
      <c r="Q285" s="549"/>
      <c r="R285" s="549"/>
      <c r="S285" s="549"/>
      <c r="T285" s="549"/>
      <c r="U285" s="549"/>
      <c r="V285" s="549"/>
      <c r="W285" s="549"/>
      <c r="X285" s="549"/>
      <c r="Y285" s="549"/>
      <c r="Z285" s="549"/>
      <c r="AA285" s="549"/>
      <c r="AB285" s="549"/>
      <c r="AC285" s="549"/>
      <c r="AD285" s="549"/>
      <c r="AE285" s="549"/>
      <c r="AF285" s="549"/>
      <c r="AG285" s="549"/>
      <c r="AH285" s="549"/>
      <c r="AI285" s="549"/>
      <c r="AJ285" s="549"/>
      <c r="AK285" s="549"/>
      <c r="AL285" s="549"/>
      <c r="AM285" s="549"/>
      <c r="AN285" s="549"/>
      <c r="AO285" s="549"/>
      <c r="AP285" s="549"/>
      <c r="AQ285" s="549"/>
      <c r="AR285" s="549"/>
      <c r="AS285" s="549"/>
      <c r="AT285" s="549"/>
      <c r="AU285" s="549"/>
      <c r="AV285" s="549"/>
      <c r="AW285" s="549"/>
      <c r="AX285" s="549"/>
      <c r="AY285" s="549"/>
      <c r="AZ285" s="549"/>
      <c r="BA285" s="549"/>
      <c r="BB285" s="549"/>
      <c r="BC285" s="549"/>
      <c r="BD285" s="549"/>
      <c r="BE285" s="549"/>
      <c r="BF285" s="549"/>
      <c r="BG285" s="549"/>
      <c r="BH285" s="549"/>
      <c r="BI285" s="549"/>
    </row>
    <row r="286" spans="16:61" s="254" customFormat="1" ht="9.9">
      <c r="P286" s="549"/>
      <c r="Q286" s="549"/>
      <c r="R286" s="549"/>
      <c r="S286" s="549"/>
      <c r="T286" s="549"/>
      <c r="U286" s="549"/>
      <c r="V286" s="549"/>
      <c r="W286" s="549"/>
      <c r="X286" s="549"/>
      <c r="Y286" s="549"/>
      <c r="Z286" s="549"/>
      <c r="AA286" s="549"/>
      <c r="AB286" s="549"/>
      <c r="AC286" s="549"/>
      <c r="AD286" s="549"/>
      <c r="AE286" s="549"/>
      <c r="AF286" s="549"/>
      <c r="AG286" s="549"/>
      <c r="AH286" s="549"/>
      <c r="AI286" s="549"/>
      <c r="AJ286" s="549"/>
      <c r="AK286" s="549"/>
      <c r="AL286" s="549"/>
      <c r="AM286" s="549"/>
      <c r="AN286" s="549"/>
      <c r="AO286" s="549"/>
      <c r="AP286" s="549"/>
      <c r="AQ286" s="549"/>
      <c r="AR286" s="549"/>
      <c r="AS286" s="549"/>
      <c r="AT286" s="549"/>
      <c r="AU286" s="549"/>
      <c r="AV286" s="549"/>
      <c r="AW286" s="549"/>
      <c r="AX286" s="549"/>
      <c r="AY286" s="549"/>
      <c r="AZ286" s="549"/>
      <c r="BA286" s="549"/>
      <c r="BB286" s="549"/>
      <c r="BC286" s="549"/>
      <c r="BD286" s="549"/>
      <c r="BE286" s="549"/>
      <c r="BF286" s="549"/>
      <c r="BG286" s="549"/>
      <c r="BH286" s="549"/>
      <c r="BI286" s="549"/>
    </row>
    <row r="287" spans="16:61" s="254" customFormat="1" ht="9.9">
      <c r="P287" s="549"/>
      <c r="Q287" s="549"/>
      <c r="R287" s="549"/>
      <c r="S287" s="549"/>
      <c r="T287" s="549"/>
      <c r="U287" s="549"/>
      <c r="V287" s="549"/>
      <c r="W287" s="549"/>
      <c r="X287" s="549"/>
      <c r="Y287" s="549"/>
      <c r="Z287" s="549"/>
      <c r="AA287" s="549"/>
      <c r="AB287" s="549"/>
      <c r="AC287" s="549"/>
      <c r="AD287" s="549"/>
      <c r="AE287" s="549"/>
      <c r="AF287" s="549"/>
      <c r="AG287" s="549"/>
      <c r="AH287" s="549"/>
      <c r="AI287" s="549"/>
      <c r="AJ287" s="549"/>
      <c r="AK287" s="549"/>
      <c r="AL287" s="549"/>
      <c r="AM287" s="549"/>
      <c r="AN287" s="549"/>
      <c r="AO287" s="549"/>
      <c r="AP287" s="549"/>
      <c r="AQ287" s="549"/>
      <c r="AR287" s="549"/>
      <c r="AS287" s="549"/>
      <c r="AT287" s="549"/>
      <c r="AU287" s="549"/>
      <c r="AV287" s="549"/>
      <c r="AW287" s="549"/>
      <c r="AX287" s="549"/>
      <c r="AY287" s="549"/>
      <c r="AZ287" s="549"/>
      <c r="BA287" s="549"/>
      <c r="BB287" s="549"/>
      <c r="BC287" s="549"/>
      <c r="BD287" s="549"/>
      <c r="BE287" s="549"/>
      <c r="BF287" s="549"/>
      <c r="BG287" s="549"/>
      <c r="BH287" s="549"/>
      <c r="BI287" s="549"/>
    </row>
    <row r="288" spans="16:61" s="254" customFormat="1" ht="9.9">
      <c r="P288" s="549"/>
      <c r="Q288" s="549"/>
      <c r="R288" s="549"/>
      <c r="S288" s="549"/>
      <c r="T288" s="549"/>
      <c r="U288" s="549"/>
      <c r="V288" s="549"/>
      <c r="W288" s="549"/>
      <c r="X288" s="549"/>
      <c r="Y288" s="549"/>
      <c r="Z288" s="549"/>
      <c r="AA288" s="549"/>
      <c r="AB288" s="549"/>
      <c r="AC288" s="549"/>
      <c r="AD288" s="549"/>
      <c r="AE288" s="549"/>
      <c r="AF288" s="549"/>
      <c r="AG288" s="549"/>
      <c r="AH288" s="549"/>
      <c r="AI288" s="549"/>
      <c r="AJ288" s="549"/>
      <c r="AK288" s="549"/>
      <c r="AL288" s="549"/>
      <c r="AM288" s="549"/>
      <c r="AN288" s="549"/>
      <c r="AO288" s="549"/>
      <c r="AP288" s="549"/>
      <c r="AQ288" s="549"/>
      <c r="AR288" s="549"/>
      <c r="AS288" s="549"/>
      <c r="AT288" s="549"/>
      <c r="AU288" s="549"/>
      <c r="AV288" s="549"/>
      <c r="AW288" s="549"/>
      <c r="AX288" s="549"/>
      <c r="AY288" s="549"/>
      <c r="AZ288" s="549"/>
      <c r="BA288" s="549"/>
      <c r="BB288" s="549"/>
      <c r="BC288" s="549"/>
      <c r="BD288" s="549"/>
      <c r="BE288" s="549"/>
      <c r="BF288" s="549"/>
      <c r="BG288" s="549"/>
      <c r="BH288" s="549"/>
      <c r="BI288" s="549"/>
    </row>
    <row r="289" spans="16:61" s="254" customFormat="1" ht="9.9">
      <c r="P289" s="549"/>
      <c r="Q289" s="549"/>
      <c r="R289" s="549"/>
      <c r="S289" s="549"/>
      <c r="T289" s="549"/>
      <c r="U289" s="549"/>
      <c r="V289" s="549"/>
      <c r="W289" s="549"/>
      <c r="X289" s="549"/>
      <c r="Y289" s="549"/>
      <c r="Z289" s="549"/>
      <c r="AA289" s="549"/>
      <c r="AB289" s="549"/>
      <c r="AC289" s="549"/>
      <c r="AD289" s="549"/>
      <c r="AE289" s="549"/>
      <c r="AF289" s="549"/>
      <c r="AG289" s="549"/>
      <c r="AH289" s="549"/>
      <c r="AI289" s="549"/>
      <c r="AJ289" s="549"/>
      <c r="AK289" s="549"/>
      <c r="AL289" s="549"/>
      <c r="AM289" s="549"/>
      <c r="AN289" s="549"/>
      <c r="AO289" s="549"/>
      <c r="AP289" s="549"/>
      <c r="AQ289" s="549"/>
      <c r="AR289" s="549"/>
      <c r="AS289" s="549"/>
      <c r="AT289" s="549"/>
      <c r="AU289" s="549"/>
      <c r="AV289" s="549"/>
      <c r="AW289" s="549"/>
      <c r="AX289" s="549"/>
      <c r="AY289" s="549"/>
      <c r="AZ289" s="549"/>
      <c r="BA289" s="549"/>
      <c r="BB289" s="549"/>
      <c r="BC289" s="549"/>
      <c r="BD289" s="549"/>
      <c r="BE289" s="549"/>
      <c r="BF289" s="549"/>
      <c r="BG289" s="549"/>
      <c r="BH289" s="549"/>
      <c r="BI289" s="549"/>
    </row>
    <row r="290" spans="16:61" s="254" customFormat="1" ht="9.9">
      <c r="P290" s="549"/>
      <c r="Q290" s="549"/>
      <c r="R290" s="549"/>
      <c r="S290" s="549"/>
      <c r="T290" s="549"/>
      <c r="U290" s="549"/>
      <c r="V290" s="549"/>
      <c r="W290" s="549"/>
      <c r="X290" s="549"/>
      <c r="Y290" s="549"/>
      <c r="Z290" s="549"/>
      <c r="AA290" s="549"/>
      <c r="AB290" s="549"/>
      <c r="AC290" s="549"/>
      <c r="AD290" s="549"/>
      <c r="AE290" s="549"/>
      <c r="AF290" s="549"/>
      <c r="AG290" s="549"/>
      <c r="AH290" s="549"/>
      <c r="AI290" s="549"/>
      <c r="AJ290" s="549"/>
      <c r="AK290" s="549"/>
      <c r="AL290" s="549"/>
      <c r="AM290" s="549"/>
      <c r="AN290" s="549"/>
      <c r="AO290" s="549"/>
      <c r="AP290" s="549"/>
      <c r="AQ290" s="549"/>
      <c r="AR290" s="549"/>
      <c r="AS290" s="549"/>
      <c r="AT290" s="549"/>
      <c r="AU290" s="549"/>
      <c r="AV290" s="549"/>
      <c r="AW290" s="549"/>
      <c r="AX290" s="549"/>
      <c r="AY290" s="549"/>
      <c r="AZ290" s="549"/>
      <c r="BA290" s="549"/>
      <c r="BB290" s="549"/>
      <c r="BC290" s="549"/>
      <c r="BD290" s="549"/>
      <c r="BE290" s="549"/>
      <c r="BF290" s="549"/>
      <c r="BG290" s="549"/>
      <c r="BH290" s="549"/>
      <c r="BI290" s="549"/>
    </row>
    <row r="291" spans="16:61" s="254" customFormat="1" ht="9.9">
      <c r="P291" s="549"/>
      <c r="Q291" s="549"/>
      <c r="R291" s="549"/>
      <c r="S291" s="549"/>
      <c r="T291" s="549"/>
      <c r="U291" s="549"/>
      <c r="V291" s="549"/>
      <c r="W291" s="549"/>
      <c r="X291" s="549"/>
      <c r="Y291" s="549"/>
      <c r="Z291" s="549"/>
      <c r="AA291" s="549"/>
      <c r="AB291" s="549"/>
      <c r="AC291" s="549"/>
      <c r="AD291" s="549"/>
      <c r="AE291" s="549"/>
      <c r="AF291" s="549"/>
      <c r="AG291" s="549"/>
      <c r="AH291" s="549"/>
      <c r="AI291" s="549"/>
      <c r="AJ291" s="549"/>
      <c r="AK291" s="549"/>
      <c r="AL291" s="549"/>
      <c r="AM291" s="549"/>
      <c r="AN291" s="549"/>
      <c r="AO291" s="549"/>
      <c r="AP291" s="549"/>
      <c r="AQ291" s="549"/>
      <c r="AR291" s="549"/>
      <c r="AS291" s="549"/>
      <c r="AT291" s="549"/>
      <c r="AU291" s="549"/>
      <c r="AV291" s="549"/>
      <c r="AW291" s="549"/>
      <c r="AX291" s="549"/>
      <c r="AY291" s="549"/>
      <c r="AZ291" s="549"/>
      <c r="BA291" s="549"/>
      <c r="BB291" s="549"/>
      <c r="BC291" s="549"/>
      <c r="BD291" s="549"/>
      <c r="BE291" s="549"/>
      <c r="BF291" s="549"/>
      <c r="BG291" s="549"/>
      <c r="BH291" s="549"/>
      <c r="BI291" s="549"/>
    </row>
    <row r="292" spans="16:61" s="254" customFormat="1" ht="9.9">
      <c r="P292" s="549"/>
      <c r="Q292" s="549"/>
      <c r="R292" s="549"/>
      <c r="S292" s="549"/>
      <c r="T292" s="549"/>
      <c r="U292" s="549"/>
      <c r="V292" s="549"/>
      <c r="W292" s="549"/>
      <c r="X292" s="549"/>
      <c r="Y292" s="549"/>
      <c r="Z292" s="549"/>
      <c r="AA292" s="549"/>
      <c r="AB292" s="549"/>
      <c r="AC292" s="549"/>
      <c r="AD292" s="549"/>
      <c r="AE292" s="549"/>
      <c r="AF292" s="549"/>
      <c r="AG292" s="549"/>
      <c r="AH292" s="549"/>
      <c r="AI292" s="549"/>
      <c r="AJ292" s="549"/>
      <c r="AK292" s="549"/>
      <c r="AL292" s="549"/>
      <c r="AM292" s="549"/>
      <c r="AN292" s="549"/>
      <c r="AO292" s="549"/>
      <c r="AP292" s="549"/>
      <c r="AQ292" s="549"/>
      <c r="AR292" s="549"/>
      <c r="AS292" s="549"/>
      <c r="AT292" s="549"/>
      <c r="AU292" s="549"/>
      <c r="AV292" s="549"/>
      <c r="AW292" s="549"/>
      <c r="AX292" s="549"/>
      <c r="AY292" s="549"/>
      <c r="AZ292" s="549"/>
      <c r="BA292" s="549"/>
      <c r="BB292" s="549"/>
      <c r="BC292" s="549"/>
      <c r="BD292" s="549"/>
      <c r="BE292" s="549"/>
      <c r="BF292" s="549"/>
      <c r="BG292" s="549"/>
      <c r="BH292" s="549"/>
      <c r="BI292" s="549"/>
    </row>
    <row r="293" spans="16:61" s="254" customFormat="1" ht="9.9">
      <c r="P293" s="549"/>
      <c r="Q293" s="549"/>
      <c r="R293" s="549"/>
      <c r="S293" s="549"/>
      <c r="T293" s="549"/>
      <c r="U293" s="549"/>
      <c r="V293" s="549"/>
      <c r="W293" s="549"/>
      <c r="X293" s="549"/>
      <c r="Y293" s="549"/>
      <c r="Z293" s="549"/>
      <c r="AA293" s="549"/>
      <c r="AB293" s="549"/>
      <c r="AC293" s="549"/>
      <c r="AD293" s="549"/>
      <c r="AE293" s="549"/>
      <c r="AF293" s="549"/>
      <c r="AG293" s="549"/>
      <c r="AH293" s="549"/>
      <c r="AI293" s="549"/>
      <c r="AJ293" s="549"/>
      <c r="AK293" s="549"/>
      <c r="AL293" s="549"/>
      <c r="AM293" s="549"/>
      <c r="AN293" s="549"/>
      <c r="AO293" s="549"/>
      <c r="AP293" s="549"/>
      <c r="AQ293" s="549"/>
      <c r="AR293" s="549"/>
      <c r="AS293" s="549"/>
      <c r="AT293" s="549"/>
      <c r="AU293" s="549"/>
      <c r="AV293" s="549"/>
      <c r="AW293" s="549"/>
      <c r="AX293" s="549"/>
      <c r="AY293" s="549"/>
      <c r="AZ293" s="549"/>
      <c r="BA293" s="549"/>
      <c r="BB293" s="549"/>
      <c r="BC293" s="549"/>
      <c r="BD293" s="549"/>
      <c r="BE293" s="549"/>
      <c r="BF293" s="549"/>
      <c r="BG293" s="549"/>
      <c r="BH293" s="549"/>
      <c r="BI293" s="549"/>
    </row>
    <row r="294" spans="16:61" s="254" customFormat="1" ht="9.9">
      <c r="P294" s="549"/>
      <c r="Q294" s="549"/>
      <c r="R294" s="549"/>
      <c r="S294" s="549"/>
      <c r="T294" s="549"/>
      <c r="U294" s="549"/>
      <c r="V294" s="549"/>
      <c r="W294" s="549"/>
      <c r="X294" s="549"/>
      <c r="Y294" s="549"/>
      <c r="Z294" s="549"/>
      <c r="AA294" s="549"/>
      <c r="AB294" s="549"/>
      <c r="AC294" s="549"/>
      <c r="AD294" s="549"/>
      <c r="AE294" s="549"/>
      <c r="AF294" s="549"/>
      <c r="AG294" s="549"/>
      <c r="AH294" s="549"/>
      <c r="AI294" s="549"/>
      <c r="AJ294" s="549"/>
      <c r="AK294" s="549"/>
      <c r="AL294" s="549"/>
      <c r="AM294" s="549"/>
      <c r="AN294" s="549"/>
      <c r="AO294" s="549"/>
      <c r="AP294" s="549"/>
      <c r="AQ294" s="549"/>
      <c r="AR294" s="549"/>
      <c r="AS294" s="549"/>
      <c r="AT294" s="549"/>
      <c r="AU294" s="549"/>
      <c r="AV294" s="549"/>
      <c r="AW294" s="549"/>
      <c r="AX294" s="549"/>
      <c r="AY294" s="549"/>
      <c r="AZ294" s="549"/>
      <c r="BA294" s="549"/>
      <c r="BB294" s="549"/>
      <c r="BC294" s="549"/>
      <c r="BD294" s="549"/>
      <c r="BE294" s="549"/>
      <c r="BF294" s="549"/>
      <c r="BG294" s="549"/>
      <c r="BH294" s="549"/>
      <c r="BI294" s="549"/>
    </row>
    <row r="295" spans="16:61" s="254" customFormat="1" ht="9.9">
      <c r="P295" s="549"/>
      <c r="Q295" s="549"/>
      <c r="R295" s="549"/>
      <c r="S295" s="549"/>
      <c r="T295" s="549"/>
      <c r="U295" s="549"/>
      <c r="V295" s="549"/>
      <c r="W295" s="549"/>
      <c r="X295" s="549"/>
      <c r="Y295" s="549"/>
      <c r="Z295" s="549"/>
      <c r="AA295" s="549"/>
      <c r="AB295" s="549"/>
      <c r="AC295" s="549"/>
      <c r="AD295" s="549"/>
      <c r="AE295" s="549"/>
      <c r="AF295" s="549"/>
      <c r="AG295" s="549"/>
      <c r="AH295" s="549"/>
      <c r="AI295" s="549"/>
      <c r="AJ295" s="549"/>
      <c r="AK295" s="549"/>
      <c r="AL295" s="549"/>
      <c r="AM295" s="549"/>
      <c r="AN295" s="549"/>
      <c r="AO295" s="549"/>
      <c r="AP295" s="549"/>
      <c r="AQ295" s="549"/>
      <c r="AR295" s="549"/>
      <c r="AS295" s="549"/>
      <c r="AT295" s="549"/>
      <c r="AU295" s="549"/>
      <c r="AV295" s="549"/>
      <c r="AW295" s="549"/>
      <c r="AX295" s="549"/>
      <c r="AY295" s="549"/>
      <c r="AZ295" s="549"/>
      <c r="BA295" s="549"/>
      <c r="BB295" s="549"/>
      <c r="BC295" s="549"/>
      <c r="BD295" s="549"/>
      <c r="BE295" s="549"/>
      <c r="BF295" s="549"/>
      <c r="BG295" s="549"/>
      <c r="BH295" s="549"/>
      <c r="BI295" s="549"/>
    </row>
    <row r="296" spans="16:61" s="254" customFormat="1" ht="9.9">
      <c r="P296" s="549"/>
      <c r="Q296" s="549"/>
      <c r="R296" s="549"/>
      <c r="S296" s="549"/>
      <c r="T296" s="549"/>
      <c r="U296" s="549"/>
      <c r="V296" s="549"/>
      <c r="W296" s="549"/>
      <c r="X296" s="549"/>
      <c r="Y296" s="549"/>
      <c r="Z296" s="549"/>
      <c r="AA296" s="549"/>
      <c r="AB296" s="549"/>
      <c r="AC296" s="549"/>
      <c r="AD296" s="549"/>
      <c r="AE296" s="549"/>
      <c r="AF296" s="549"/>
      <c r="AG296" s="549"/>
      <c r="AH296" s="549"/>
      <c r="AI296" s="549"/>
      <c r="AJ296" s="549"/>
      <c r="AK296" s="549"/>
      <c r="AL296" s="549"/>
      <c r="AM296" s="549"/>
      <c r="AN296" s="549"/>
      <c r="AO296" s="549"/>
      <c r="AP296" s="549"/>
      <c r="AQ296" s="549"/>
      <c r="AR296" s="549"/>
      <c r="AS296" s="549"/>
      <c r="AT296" s="549"/>
      <c r="AU296" s="549"/>
      <c r="AV296" s="549"/>
      <c r="AW296" s="549"/>
      <c r="AX296" s="549"/>
      <c r="AY296" s="549"/>
      <c r="AZ296" s="549"/>
      <c r="BA296" s="549"/>
      <c r="BB296" s="549"/>
      <c r="BC296" s="549"/>
      <c r="BD296" s="549"/>
      <c r="BE296" s="549"/>
      <c r="BF296" s="549"/>
      <c r="BG296" s="549"/>
      <c r="BH296" s="549"/>
      <c r="BI296" s="549"/>
    </row>
    <row r="297" spans="16:61" s="254" customFormat="1" ht="9.9">
      <c r="P297" s="549"/>
      <c r="Q297" s="549"/>
      <c r="R297" s="549"/>
      <c r="S297" s="549"/>
      <c r="T297" s="549"/>
      <c r="U297" s="549"/>
      <c r="V297" s="549"/>
      <c r="W297" s="549"/>
      <c r="X297" s="549"/>
      <c r="Y297" s="549"/>
      <c r="Z297" s="549"/>
      <c r="AA297" s="549"/>
      <c r="AB297" s="549"/>
      <c r="AC297" s="549"/>
      <c r="AD297" s="549"/>
      <c r="AE297" s="549"/>
      <c r="AF297" s="549"/>
      <c r="AG297" s="549"/>
      <c r="AH297" s="549"/>
      <c r="AI297" s="549"/>
      <c r="AJ297" s="549"/>
      <c r="AK297" s="549"/>
      <c r="AL297" s="549"/>
      <c r="AM297" s="549"/>
      <c r="AN297" s="549"/>
      <c r="AO297" s="549"/>
      <c r="AP297" s="549"/>
      <c r="AQ297" s="549"/>
      <c r="AR297" s="549"/>
      <c r="AS297" s="549"/>
      <c r="AT297" s="549"/>
      <c r="AU297" s="549"/>
      <c r="AV297" s="549"/>
      <c r="AW297" s="549"/>
      <c r="AX297" s="549"/>
      <c r="AY297" s="549"/>
      <c r="AZ297" s="549"/>
      <c r="BA297" s="549"/>
      <c r="BB297" s="549"/>
      <c r="BC297" s="549"/>
      <c r="BD297" s="549"/>
      <c r="BE297" s="549"/>
      <c r="BF297" s="549"/>
      <c r="BG297" s="549"/>
      <c r="BH297" s="549"/>
      <c r="BI297" s="549"/>
    </row>
    <row r="298" spans="16:61" s="254" customFormat="1" ht="9.9">
      <c r="P298" s="549"/>
      <c r="Q298" s="549"/>
      <c r="R298" s="549"/>
      <c r="S298" s="549"/>
      <c r="T298" s="549"/>
      <c r="U298" s="549"/>
      <c r="V298" s="549"/>
      <c r="W298" s="549"/>
      <c r="X298" s="549"/>
      <c r="Y298" s="549"/>
      <c r="Z298" s="549"/>
      <c r="AA298" s="549"/>
      <c r="AB298" s="549"/>
      <c r="AC298" s="549"/>
      <c r="AD298" s="549"/>
      <c r="AE298" s="549"/>
      <c r="AF298" s="549"/>
      <c r="AG298" s="549"/>
      <c r="AH298" s="549"/>
      <c r="AI298" s="549"/>
      <c r="AJ298" s="549"/>
      <c r="AK298" s="549"/>
      <c r="AL298" s="549"/>
      <c r="AM298" s="549"/>
      <c r="AN298" s="549"/>
      <c r="AO298" s="549"/>
      <c r="AP298" s="549"/>
      <c r="AQ298" s="549"/>
      <c r="AR298" s="549"/>
      <c r="AS298" s="549"/>
      <c r="AT298" s="549"/>
      <c r="AU298" s="549"/>
      <c r="AV298" s="549"/>
      <c r="AW298" s="549"/>
      <c r="AX298" s="549"/>
      <c r="AY298" s="549"/>
      <c r="AZ298" s="549"/>
      <c r="BA298" s="549"/>
      <c r="BB298" s="549"/>
      <c r="BC298" s="549"/>
      <c r="BD298" s="549"/>
      <c r="BE298" s="549"/>
      <c r="BF298" s="549"/>
      <c r="BG298" s="549"/>
      <c r="BH298" s="549"/>
      <c r="BI298" s="549"/>
    </row>
    <row r="299" spans="16:61" s="254" customFormat="1" ht="9.9">
      <c r="P299" s="549"/>
      <c r="Q299" s="549"/>
      <c r="R299" s="549"/>
      <c r="S299" s="549"/>
      <c r="T299" s="549"/>
      <c r="U299" s="549"/>
      <c r="V299" s="549"/>
      <c r="W299" s="549"/>
      <c r="X299" s="549"/>
      <c r="Y299" s="549"/>
      <c r="Z299" s="549"/>
      <c r="AA299" s="549"/>
      <c r="AB299" s="549"/>
      <c r="AC299" s="549"/>
      <c r="AD299" s="549"/>
      <c r="AE299" s="549"/>
      <c r="AF299" s="549"/>
      <c r="AG299" s="549"/>
      <c r="AH299" s="549"/>
      <c r="AI299" s="549"/>
      <c r="AJ299" s="549"/>
      <c r="AK299" s="549"/>
      <c r="AL299" s="549"/>
      <c r="AM299" s="549"/>
      <c r="AN299" s="549"/>
      <c r="AO299" s="549"/>
      <c r="AP299" s="549"/>
      <c r="AQ299" s="549"/>
      <c r="AR299" s="549"/>
      <c r="AS299" s="549"/>
      <c r="AT299" s="549"/>
      <c r="AU299" s="549"/>
      <c r="AV299" s="549"/>
      <c r="AW299" s="549"/>
      <c r="AX299" s="549"/>
      <c r="AY299" s="549"/>
      <c r="AZ299" s="549"/>
      <c r="BA299" s="549"/>
      <c r="BB299" s="549"/>
      <c r="BC299" s="549"/>
      <c r="BD299" s="549"/>
      <c r="BE299" s="549"/>
      <c r="BF299" s="549"/>
      <c r="BG299" s="549"/>
      <c r="BH299" s="549"/>
      <c r="BI299" s="549"/>
    </row>
    <row r="300" spans="16:61" s="254" customFormat="1" ht="9.9">
      <c r="P300" s="549"/>
      <c r="Q300" s="549"/>
      <c r="R300" s="549"/>
      <c r="S300" s="549"/>
      <c r="T300" s="549"/>
      <c r="U300" s="549"/>
      <c r="V300" s="549"/>
      <c r="W300" s="549"/>
      <c r="X300" s="549"/>
      <c r="Y300" s="549"/>
      <c r="Z300" s="549"/>
      <c r="AA300" s="549"/>
      <c r="AB300" s="549"/>
      <c r="AC300" s="549"/>
      <c r="AD300" s="549"/>
      <c r="AE300" s="549"/>
      <c r="AF300" s="549"/>
      <c r="AG300" s="549"/>
      <c r="AH300" s="549"/>
      <c r="AI300" s="549"/>
      <c r="AJ300" s="549"/>
      <c r="AK300" s="549"/>
      <c r="AL300" s="549"/>
      <c r="AM300" s="549"/>
      <c r="AN300" s="549"/>
      <c r="AO300" s="549"/>
      <c r="AP300" s="549"/>
      <c r="AQ300" s="549"/>
      <c r="AR300" s="549"/>
      <c r="AS300" s="549"/>
      <c r="AT300" s="549"/>
      <c r="AU300" s="549"/>
      <c r="AV300" s="549"/>
      <c r="AW300" s="549"/>
      <c r="AX300" s="549"/>
      <c r="AY300" s="549"/>
      <c r="AZ300" s="549"/>
      <c r="BA300" s="549"/>
      <c r="BB300" s="549"/>
      <c r="BC300" s="549"/>
      <c r="BD300" s="549"/>
      <c r="BE300" s="549"/>
      <c r="BF300" s="549"/>
      <c r="BG300" s="549"/>
      <c r="BH300" s="549"/>
      <c r="BI300" s="549"/>
    </row>
    <row r="301" spans="16:61" s="254" customFormat="1" ht="9.9">
      <c r="P301" s="549"/>
      <c r="Q301" s="549"/>
      <c r="R301" s="549"/>
      <c r="S301" s="549"/>
      <c r="T301" s="549"/>
      <c r="U301" s="549"/>
      <c r="V301" s="549"/>
      <c r="W301" s="549"/>
      <c r="X301" s="549"/>
      <c r="Y301" s="549"/>
      <c r="Z301" s="549"/>
      <c r="AA301" s="549"/>
      <c r="AB301" s="549"/>
      <c r="AC301" s="549"/>
      <c r="AD301" s="549"/>
      <c r="AE301" s="549"/>
      <c r="AF301" s="549"/>
      <c r="AG301" s="549"/>
      <c r="AH301" s="549"/>
      <c r="AI301" s="549"/>
      <c r="AJ301" s="549"/>
      <c r="AK301" s="549"/>
      <c r="AL301" s="549"/>
      <c r="AM301" s="549"/>
      <c r="AN301" s="549"/>
      <c r="AO301" s="549"/>
      <c r="AP301" s="549"/>
      <c r="AQ301" s="549"/>
      <c r="AR301" s="549"/>
      <c r="AS301" s="549"/>
      <c r="AT301" s="549"/>
      <c r="AU301" s="549"/>
      <c r="AV301" s="549"/>
      <c r="AW301" s="549"/>
      <c r="AX301" s="549"/>
      <c r="AY301" s="549"/>
      <c r="AZ301" s="549"/>
      <c r="BA301" s="549"/>
      <c r="BB301" s="549"/>
      <c r="BC301" s="549"/>
      <c r="BD301" s="549"/>
      <c r="BE301" s="549"/>
      <c r="BF301" s="549"/>
      <c r="BG301" s="549"/>
      <c r="BH301" s="549"/>
      <c r="BI301" s="549"/>
    </row>
    <row r="302" spans="16:61" s="254" customFormat="1" ht="9.9">
      <c r="P302" s="549"/>
      <c r="Q302" s="549"/>
      <c r="R302" s="549"/>
      <c r="S302" s="549"/>
      <c r="T302" s="549"/>
      <c r="U302" s="549"/>
      <c r="V302" s="549"/>
      <c r="W302" s="549"/>
      <c r="X302" s="549"/>
      <c r="Y302" s="549"/>
      <c r="Z302" s="549"/>
      <c r="AA302" s="549"/>
      <c r="AB302" s="549"/>
      <c r="AC302" s="549"/>
      <c r="AD302" s="549"/>
      <c r="AE302" s="549"/>
      <c r="AF302" s="549"/>
      <c r="AG302" s="549"/>
      <c r="AH302" s="549"/>
      <c r="AI302" s="549"/>
      <c r="AJ302" s="549"/>
      <c r="AK302" s="549"/>
      <c r="AL302" s="549"/>
      <c r="AM302" s="549"/>
      <c r="AN302" s="549"/>
      <c r="AO302" s="549"/>
      <c r="AP302" s="549"/>
      <c r="AQ302" s="549"/>
      <c r="AR302" s="549"/>
      <c r="AS302" s="549"/>
      <c r="AT302" s="549"/>
      <c r="AU302" s="549"/>
      <c r="AV302" s="549"/>
      <c r="AW302" s="549"/>
      <c r="AX302" s="549"/>
      <c r="AY302" s="549"/>
      <c r="AZ302" s="549"/>
      <c r="BA302" s="549"/>
      <c r="BB302" s="549"/>
      <c r="BC302" s="549"/>
      <c r="BD302" s="549"/>
      <c r="BE302" s="549"/>
      <c r="BF302" s="549"/>
      <c r="BG302" s="549"/>
      <c r="BH302" s="549"/>
      <c r="BI302" s="549"/>
    </row>
    <row r="303" spans="16:61" s="254" customFormat="1" ht="9.9">
      <c r="P303" s="549"/>
      <c r="Q303" s="549"/>
      <c r="R303" s="549"/>
      <c r="S303" s="549"/>
      <c r="T303" s="549"/>
      <c r="U303" s="549"/>
      <c r="V303" s="549"/>
      <c r="W303" s="549"/>
      <c r="X303" s="549"/>
      <c r="Y303" s="549"/>
      <c r="Z303" s="549"/>
      <c r="AA303" s="549"/>
      <c r="AB303" s="549"/>
      <c r="AC303" s="549"/>
      <c r="AD303" s="549"/>
      <c r="AE303" s="549"/>
      <c r="AF303" s="549"/>
      <c r="AG303" s="549"/>
      <c r="AH303" s="549"/>
      <c r="AI303" s="549"/>
      <c r="AJ303" s="549"/>
      <c r="AK303" s="549"/>
      <c r="AL303" s="549"/>
      <c r="AM303" s="549"/>
      <c r="AN303" s="549"/>
      <c r="AO303" s="549"/>
      <c r="AP303" s="549"/>
      <c r="AQ303" s="549"/>
      <c r="AR303" s="549"/>
      <c r="AS303" s="549"/>
      <c r="AT303" s="549"/>
      <c r="AU303" s="549"/>
      <c r="AV303" s="549"/>
      <c r="AW303" s="549"/>
      <c r="AX303" s="549"/>
      <c r="AY303" s="549"/>
      <c r="AZ303" s="549"/>
      <c r="BA303" s="549"/>
      <c r="BB303" s="549"/>
      <c r="BC303" s="549"/>
      <c r="BD303" s="549"/>
      <c r="BE303" s="549"/>
      <c r="BF303" s="549"/>
      <c r="BG303" s="549"/>
      <c r="BH303" s="549"/>
      <c r="BI303" s="549"/>
    </row>
    <row r="304" spans="16:61" s="254" customFormat="1" ht="9.9">
      <c r="P304" s="549"/>
      <c r="Q304" s="549"/>
      <c r="R304" s="549"/>
      <c r="S304" s="549"/>
      <c r="T304" s="549"/>
      <c r="U304" s="549"/>
      <c r="V304" s="549"/>
      <c r="W304" s="549"/>
      <c r="X304" s="549"/>
      <c r="Y304" s="549"/>
      <c r="Z304" s="549"/>
      <c r="AA304" s="549"/>
      <c r="AB304" s="549"/>
      <c r="AC304" s="549"/>
      <c r="AD304" s="549"/>
      <c r="AE304" s="549"/>
      <c r="AF304" s="549"/>
      <c r="AG304" s="549"/>
      <c r="AH304" s="549"/>
      <c r="AI304" s="549"/>
      <c r="AJ304" s="549"/>
      <c r="AK304" s="549"/>
      <c r="AL304" s="549"/>
      <c r="AM304" s="549"/>
      <c r="AN304" s="549"/>
      <c r="AO304" s="549"/>
      <c r="AP304" s="549"/>
      <c r="AQ304" s="549"/>
      <c r="AR304" s="549"/>
      <c r="AS304" s="549"/>
      <c r="AT304" s="549"/>
      <c r="AU304" s="549"/>
      <c r="AV304" s="549"/>
      <c r="AW304" s="549"/>
      <c r="AX304" s="549"/>
      <c r="AY304" s="549"/>
      <c r="AZ304" s="549"/>
      <c r="BA304" s="549"/>
      <c r="BB304" s="549"/>
      <c r="BC304" s="549"/>
      <c r="BD304" s="549"/>
      <c r="BE304" s="549"/>
      <c r="BF304" s="549"/>
      <c r="BG304" s="549"/>
      <c r="BH304" s="549"/>
      <c r="BI304" s="549"/>
    </row>
    <row r="305" spans="16:61" s="254" customFormat="1" ht="9.9">
      <c r="P305" s="549"/>
      <c r="Q305" s="549"/>
      <c r="R305" s="549"/>
      <c r="S305" s="549"/>
      <c r="T305" s="549"/>
      <c r="U305" s="549"/>
      <c r="V305" s="549"/>
      <c r="W305" s="549"/>
      <c r="X305" s="549"/>
      <c r="Y305" s="549"/>
      <c r="Z305" s="549"/>
      <c r="AA305" s="549"/>
      <c r="AB305" s="549"/>
      <c r="AC305" s="549"/>
      <c r="AD305" s="549"/>
      <c r="AE305" s="549"/>
      <c r="AF305" s="549"/>
      <c r="AG305" s="549"/>
      <c r="AH305" s="549"/>
      <c r="AI305" s="549"/>
      <c r="AJ305" s="549"/>
      <c r="AK305" s="549"/>
      <c r="AL305" s="549"/>
      <c r="AM305" s="549"/>
      <c r="AN305" s="549"/>
      <c r="AO305" s="549"/>
      <c r="AP305" s="549"/>
      <c r="AQ305" s="549"/>
      <c r="AR305" s="549"/>
      <c r="AS305" s="549"/>
      <c r="AT305" s="549"/>
      <c r="AU305" s="549"/>
      <c r="AV305" s="549"/>
      <c r="AW305" s="549"/>
      <c r="AX305" s="549"/>
      <c r="AY305" s="549"/>
      <c r="AZ305" s="549"/>
      <c r="BA305" s="549"/>
      <c r="BB305" s="549"/>
      <c r="BC305" s="549"/>
      <c r="BD305" s="549"/>
      <c r="BE305" s="549"/>
      <c r="BF305" s="549"/>
      <c r="BG305" s="549"/>
      <c r="BH305" s="549"/>
      <c r="BI305" s="549"/>
    </row>
    <row r="306" spans="16:61" s="254" customFormat="1" ht="9.9">
      <c r="P306" s="549"/>
      <c r="Q306" s="549"/>
      <c r="R306" s="549"/>
      <c r="S306" s="549"/>
      <c r="T306" s="549"/>
      <c r="U306" s="549"/>
      <c r="V306" s="549"/>
      <c r="W306" s="549"/>
      <c r="X306" s="549"/>
      <c r="Y306" s="549"/>
      <c r="Z306" s="549"/>
      <c r="AA306" s="549"/>
      <c r="AB306" s="549"/>
      <c r="AC306" s="549"/>
      <c r="AD306" s="549"/>
      <c r="AE306" s="549"/>
      <c r="AF306" s="549"/>
      <c r="AG306" s="549"/>
      <c r="AH306" s="549"/>
      <c r="AI306" s="549"/>
      <c r="AJ306" s="549"/>
      <c r="AK306" s="549"/>
      <c r="AL306" s="549"/>
      <c r="AM306" s="549"/>
      <c r="AN306" s="549"/>
      <c r="AO306" s="549"/>
      <c r="AP306" s="549"/>
      <c r="AQ306" s="549"/>
      <c r="AR306" s="549"/>
      <c r="AS306" s="549"/>
      <c r="AT306" s="549"/>
      <c r="AU306" s="549"/>
      <c r="AV306" s="549"/>
      <c r="AW306" s="549"/>
      <c r="AX306" s="549"/>
      <c r="AY306" s="549"/>
      <c r="AZ306" s="549"/>
      <c r="BA306" s="549"/>
      <c r="BB306" s="549"/>
      <c r="BC306" s="549"/>
      <c r="BD306" s="549"/>
      <c r="BE306" s="549"/>
      <c r="BF306" s="549"/>
      <c r="BG306" s="549"/>
      <c r="BH306" s="549"/>
      <c r="BI306" s="549"/>
    </row>
    <row r="307" spans="16:61" s="254" customFormat="1" ht="9.9">
      <c r="P307" s="549"/>
      <c r="Q307" s="549"/>
      <c r="R307" s="549"/>
      <c r="S307" s="549"/>
      <c r="T307" s="549"/>
      <c r="U307" s="549"/>
      <c r="V307" s="549"/>
      <c r="W307" s="549"/>
      <c r="X307" s="549"/>
      <c r="Y307" s="549"/>
      <c r="Z307" s="549"/>
      <c r="AA307" s="549"/>
      <c r="AB307" s="549"/>
      <c r="AC307" s="549"/>
      <c r="AD307" s="549"/>
      <c r="AE307" s="549"/>
      <c r="AF307" s="549"/>
      <c r="AG307" s="549"/>
      <c r="AH307" s="549"/>
      <c r="AI307" s="549"/>
      <c r="AJ307" s="549"/>
      <c r="AK307" s="549"/>
      <c r="AL307" s="549"/>
      <c r="AM307" s="549"/>
      <c r="AN307" s="549"/>
      <c r="AO307" s="549"/>
      <c r="AP307" s="549"/>
      <c r="AQ307" s="549"/>
      <c r="AR307" s="549"/>
      <c r="AS307" s="549"/>
      <c r="AT307" s="549"/>
      <c r="AU307" s="549"/>
      <c r="AV307" s="549"/>
      <c r="AW307" s="549"/>
      <c r="AX307" s="549"/>
      <c r="AY307" s="549"/>
      <c r="AZ307" s="549"/>
      <c r="BA307" s="549"/>
      <c r="BB307" s="549"/>
      <c r="BC307" s="549"/>
      <c r="BD307" s="549"/>
      <c r="BE307" s="549"/>
      <c r="BF307" s="549"/>
      <c r="BG307" s="549"/>
      <c r="BH307" s="549"/>
      <c r="BI307" s="549"/>
    </row>
    <row r="308" spans="16:61" s="254" customFormat="1" ht="9.9">
      <c r="P308" s="549"/>
      <c r="Q308" s="549"/>
      <c r="R308" s="549"/>
      <c r="S308" s="549"/>
      <c r="T308" s="549"/>
      <c r="U308" s="549"/>
      <c r="V308" s="549"/>
      <c r="W308" s="549"/>
      <c r="X308" s="549"/>
      <c r="Y308" s="549"/>
      <c r="Z308" s="549"/>
      <c r="AA308" s="549"/>
      <c r="AB308" s="549"/>
      <c r="AC308" s="549"/>
      <c r="AD308" s="549"/>
      <c r="AE308" s="549"/>
      <c r="AF308" s="549"/>
      <c r="AG308" s="549"/>
      <c r="AH308" s="549"/>
      <c r="AI308" s="549"/>
      <c r="AJ308" s="549"/>
      <c r="AK308" s="549"/>
      <c r="AL308" s="549"/>
      <c r="AM308" s="549"/>
      <c r="AN308" s="549"/>
      <c r="AO308" s="549"/>
      <c r="AP308" s="549"/>
      <c r="AQ308" s="549"/>
      <c r="AR308" s="549"/>
      <c r="AS308" s="549"/>
      <c r="AT308" s="549"/>
      <c r="AU308" s="549"/>
      <c r="AV308" s="549"/>
      <c r="AW308" s="549"/>
      <c r="AX308" s="549"/>
      <c r="AY308" s="549"/>
      <c r="AZ308" s="549"/>
      <c r="BA308" s="549"/>
      <c r="BB308" s="549"/>
      <c r="BC308" s="549"/>
      <c r="BD308" s="549"/>
      <c r="BE308" s="549"/>
      <c r="BF308" s="549"/>
      <c r="BG308" s="549"/>
      <c r="BH308" s="549"/>
      <c r="BI308" s="549"/>
    </row>
    <row r="309" spans="16:61" s="254" customFormat="1" ht="9.9">
      <c r="P309" s="549"/>
      <c r="Q309" s="549"/>
      <c r="R309" s="549"/>
      <c r="S309" s="549"/>
      <c r="T309" s="549"/>
      <c r="U309" s="549"/>
      <c r="V309" s="549"/>
      <c r="W309" s="549"/>
      <c r="X309" s="549"/>
      <c r="Y309" s="549"/>
      <c r="Z309" s="549"/>
      <c r="AA309" s="549"/>
      <c r="AB309" s="549"/>
      <c r="AC309" s="549"/>
      <c r="AD309" s="549"/>
      <c r="AE309" s="549"/>
      <c r="AF309" s="549"/>
      <c r="AG309" s="549"/>
      <c r="AH309" s="549"/>
      <c r="AI309" s="549"/>
      <c r="AJ309" s="549"/>
      <c r="AK309" s="549"/>
      <c r="AL309" s="549"/>
      <c r="AM309" s="549"/>
      <c r="AN309" s="549"/>
      <c r="AO309" s="549"/>
      <c r="AP309" s="549"/>
      <c r="AQ309" s="549"/>
      <c r="AR309" s="549"/>
      <c r="AS309" s="549"/>
      <c r="AT309" s="549"/>
      <c r="AU309" s="549"/>
      <c r="AV309" s="549"/>
      <c r="AW309" s="549"/>
      <c r="AX309" s="549"/>
      <c r="AY309" s="549"/>
      <c r="AZ309" s="549"/>
      <c r="BA309" s="549"/>
      <c r="BB309" s="549"/>
      <c r="BC309" s="549"/>
      <c r="BD309" s="549"/>
      <c r="BE309" s="549"/>
      <c r="BF309" s="549"/>
      <c r="BG309" s="549"/>
      <c r="BH309" s="549"/>
      <c r="BI309" s="549"/>
    </row>
    <row r="310" spans="16:61" s="254" customFormat="1" ht="9.9">
      <c r="P310" s="549"/>
      <c r="Q310" s="549"/>
      <c r="R310" s="549"/>
      <c r="S310" s="549"/>
      <c r="T310" s="549"/>
      <c r="U310" s="549"/>
      <c r="V310" s="549"/>
      <c r="W310" s="549"/>
      <c r="X310" s="549"/>
      <c r="Y310" s="549"/>
      <c r="Z310" s="549"/>
      <c r="AA310" s="549"/>
      <c r="AB310" s="549"/>
      <c r="AC310" s="549"/>
      <c r="AD310" s="549"/>
      <c r="AE310" s="549"/>
      <c r="AF310" s="549"/>
      <c r="AG310" s="549"/>
      <c r="AH310" s="549"/>
      <c r="AI310" s="549"/>
      <c r="AJ310" s="549"/>
      <c r="AK310" s="549"/>
      <c r="AL310" s="549"/>
      <c r="AM310" s="549"/>
      <c r="AN310" s="549"/>
      <c r="AO310" s="549"/>
      <c r="AP310" s="549"/>
      <c r="AQ310" s="549"/>
      <c r="AR310" s="549"/>
      <c r="AS310" s="549"/>
      <c r="AT310" s="549"/>
      <c r="AU310" s="549"/>
      <c r="AV310" s="549"/>
      <c r="AW310" s="549"/>
      <c r="AX310" s="549"/>
      <c r="AY310" s="549"/>
      <c r="AZ310" s="549"/>
      <c r="BA310" s="549"/>
      <c r="BB310" s="549"/>
      <c r="BC310" s="549"/>
      <c r="BD310" s="549"/>
      <c r="BE310" s="549"/>
      <c r="BF310" s="549"/>
      <c r="BG310" s="549"/>
      <c r="BH310" s="549"/>
      <c r="BI310" s="549"/>
    </row>
    <row r="311" spans="16:61" s="254" customFormat="1" ht="9.9">
      <c r="P311" s="549"/>
      <c r="Q311" s="549"/>
      <c r="R311" s="549"/>
      <c r="S311" s="549"/>
      <c r="T311" s="549"/>
      <c r="U311" s="549"/>
      <c r="V311" s="549"/>
      <c r="W311" s="549"/>
      <c r="X311" s="549"/>
      <c r="Y311" s="549"/>
      <c r="Z311" s="549"/>
      <c r="AA311" s="549"/>
      <c r="AB311" s="549"/>
      <c r="AC311" s="549"/>
      <c r="AD311" s="549"/>
      <c r="AE311" s="549"/>
      <c r="AF311" s="549"/>
      <c r="AG311" s="549"/>
      <c r="AH311" s="549"/>
      <c r="AI311" s="549"/>
      <c r="AJ311" s="549"/>
      <c r="AK311" s="549"/>
      <c r="AL311" s="549"/>
      <c r="AM311" s="549"/>
      <c r="AN311" s="549"/>
      <c r="AO311" s="549"/>
      <c r="AP311" s="549"/>
      <c r="AQ311" s="549"/>
      <c r="AR311" s="549"/>
      <c r="AS311" s="549"/>
      <c r="AT311" s="549"/>
      <c r="AU311" s="549"/>
      <c r="AV311" s="549"/>
      <c r="AW311" s="549"/>
      <c r="AX311" s="549"/>
      <c r="AY311" s="549"/>
      <c r="AZ311" s="549"/>
      <c r="BA311" s="549"/>
      <c r="BB311" s="549"/>
      <c r="BC311" s="549"/>
      <c r="BD311" s="549"/>
      <c r="BE311" s="549"/>
      <c r="BF311" s="549"/>
      <c r="BG311" s="549"/>
      <c r="BH311" s="549"/>
      <c r="BI311" s="549"/>
    </row>
    <row r="312" spans="16:61" s="254" customFormat="1" ht="9.9">
      <c r="P312" s="549"/>
      <c r="Q312" s="549"/>
      <c r="R312" s="549"/>
      <c r="S312" s="549"/>
      <c r="T312" s="549"/>
      <c r="U312" s="549"/>
      <c r="V312" s="549"/>
      <c r="W312" s="549"/>
      <c r="X312" s="549"/>
      <c r="Y312" s="549"/>
      <c r="Z312" s="549"/>
      <c r="AA312" s="549"/>
      <c r="AB312" s="549"/>
      <c r="AC312" s="549"/>
      <c r="AD312" s="549"/>
      <c r="AE312" s="549"/>
      <c r="AF312" s="549"/>
      <c r="AG312" s="549"/>
      <c r="AH312" s="549"/>
      <c r="AI312" s="549"/>
      <c r="AJ312" s="549"/>
      <c r="AK312" s="549"/>
      <c r="AL312" s="549"/>
      <c r="AM312" s="549"/>
      <c r="AN312" s="549"/>
      <c r="AO312" s="549"/>
      <c r="AP312" s="549"/>
      <c r="AQ312" s="549"/>
      <c r="AR312" s="549"/>
      <c r="AS312" s="549"/>
      <c r="AT312" s="549"/>
      <c r="AU312" s="549"/>
      <c r="AV312" s="549"/>
      <c r="AW312" s="549"/>
      <c r="AX312" s="549"/>
      <c r="AY312" s="549"/>
      <c r="AZ312" s="549"/>
      <c r="BA312" s="549"/>
      <c r="BB312" s="549"/>
      <c r="BC312" s="549"/>
      <c r="BD312" s="549"/>
      <c r="BE312" s="549"/>
      <c r="BF312" s="549"/>
      <c r="BG312" s="549"/>
      <c r="BH312" s="549"/>
      <c r="BI312" s="549"/>
    </row>
    <row r="313" spans="16:61" s="254" customFormat="1" ht="9.9">
      <c r="P313" s="549"/>
      <c r="Q313" s="549"/>
      <c r="R313" s="549"/>
      <c r="S313" s="549"/>
      <c r="T313" s="549"/>
      <c r="U313" s="549"/>
      <c r="V313" s="549"/>
      <c r="W313" s="549"/>
      <c r="X313" s="549"/>
      <c r="Y313" s="549"/>
      <c r="Z313" s="549"/>
      <c r="AA313" s="549"/>
      <c r="AB313" s="549"/>
      <c r="AC313" s="549"/>
      <c r="AD313" s="549"/>
      <c r="AE313" s="549"/>
      <c r="AF313" s="549"/>
      <c r="AG313" s="549"/>
      <c r="AH313" s="549"/>
      <c r="AI313" s="549"/>
      <c r="AJ313" s="549"/>
      <c r="AK313" s="549"/>
      <c r="AL313" s="549"/>
      <c r="AM313" s="549"/>
      <c r="AN313" s="549"/>
      <c r="AO313" s="549"/>
      <c r="AP313" s="549"/>
      <c r="AQ313" s="549"/>
      <c r="AR313" s="549"/>
      <c r="AS313" s="549"/>
      <c r="AT313" s="549"/>
      <c r="AU313" s="549"/>
      <c r="AV313" s="549"/>
      <c r="AW313" s="549"/>
      <c r="AX313" s="549"/>
      <c r="AY313" s="549"/>
      <c r="AZ313" s="549"/>
      <c r="BA313" s="549"/>
      <c r="BB313" s="549"/>
      <c r="BC313" s="549"/>
      <c r="BD313" s="549"/>
      <c r="BE313" s="549"/>
      <c r="BF313" s="549"/>
      <c r="BG313" s="549"/>
      <c r="BH313" s="549"/>
      <c r="BI313" s="549"/>
    </row>
    <row r="314" spans="16:61" s="254" customFormat="1" ht="9.9">
      <c r="P314" s="549"/>
      <c r="Q314" s="549"/>
      <c r="R314" s="549"/>
      <c r="S314" s="549"/>
      <c r="T314" s="549"/>
      <c r="U314" s="549"/>
      <c r="V314" s="549"/>
      <c r="W314" s="549"/>
      <c r="X314" s="549"/>
      <c r="Y314" s="549"/>
      <c r="Z314" s="549"/>
      <c r="AA314" s="549"/>
      <c r="AB314" s="549"/>
      <c r="AC314" s="549"/>
      <c r="AD314" s="549"/>
      <c r="AE314" s="549"/>
      <c r="AF314" s="549"/>
      <c r="AG314" s="549"/>
      <c r="AH314" s="549"/>
      <c r="AI314" s="549"/>
      <c r="AJ314" s="549"/>
      <c r="AK314" s="549"/>
      <c r="AL314" s="549"/>
      <c r="AM314" s="549"/>
      <c r="AN314" s="549"/>
      <c r="AO314" s="549"/>
      <c r="AP314" s="549"/>
      <c r="AQ314" s="549"/>
      <c r="AR314" s="549"/>
      <c r="AS314" s="549"/>
      <c r="AT314" s="549"/>
      <c r="AU314" s="549"/>
      <c r="AV314" s="549"/>
      <c r="AW314" s="549"/>
      <c r="AX314" s="549"/>
      <c r="AY314" s="549"/>
      <c r="AZ314" s="549"/>
      <c r="BA314" s="549"/>
      <c r="BB314" s="549"/>
      <c r="BC314" s="549"/>
      <c r="BD314" s="549"/>
      <c r="BE314" s="549"/>
      <c r="BF314" s="549"/>
      <c r="BG314" s="549"/>
      <c r="BH314" s="549"/>
      <c r="BI314" s="549"/>
    </row>
    <row r="315" spans="16:61" s="254" customFormat="1" ht="9.9">
      <c r="P315" s="549"/>
      <c r="Q315" s="549"/>
      <c r="R315" s="549"/>
      <c r="S315" s="549"/>
      <c r="T315" s="549"/>
      <c r="U315" s="549"/>
      <c r="V315" s="549"/>
      <c r="W315" s="549"/>
      <c r="X315" s="549"/>
      <c r="Y315" s="549"/>
      <c r="Z315" s="549"/>
      <c r="AA315" s="549"/>
      <c r="AB315" s="549"/>
      <c r="AC315" s="549"/>
      <c r="AD315" s="549"/>
      <c r="AE315" s="549"/>
      <c r="AF315" s="549"/>
      <c r="AG315" s="549"/>
      <c r="AH315" s="549"/>
      <c r="AI315" s="549"/>
      <c r="AJ315" s="549"/>
      <c r="AK315" s="549"/>
      <c r="AL315" s="549"/>
      <c r="AM315" s="549"/>
      <c r="AN315" s="549"/>
      <c r="AO315" s="549"/>
      <c r="AP315" s="549"/>
      <c r="AQ315" s="549"/>
      <c r="AR315" s="549"/>
      <c r="AS315" s="549"/>
      <c r="AT315" s="549"/>
      <c r="AU315" s="549"/>
      <c r="AV315" s="549"/>
      <c r="AW315" s="549"/>
      <c r="AX315" s="549"/>
      <c r="AY315" s="549"/>
      <c r="AZ315" s="549"/>
      <c r="BA315" s="549"/>
      <c r="BB315" s="549"/>
      <c r="BC315" s="549"/>
      <c r="BD315" s="549"/>
      <c r="BE315" s="549"/>
      <c r="BF315" s="549"/>
      <c r="BG315" s="549"/>
      <c r="BH315" s="549"/>
      <c r="BI315" s="549"/>
    </row>
    <row r="316" spans="16:61" s="254" customFormat="1" ht="9.9">
      <c r="P316" s="549"/>
      <c r="Q316" s="549"/>
      <c r="R316" s="549"/>
      <c r="S316" s="549"/>
      <c r="T316" s="549"/>
      <c r="U316" s="549"/>
      <c r="V316" s="549"/>
      <c r="W316" s="549"/>
      <c r="X316" s="549"/>
      <c r="Y316" s="549"/>
      <c r="Z316" s="549"/>
      <c r="AA316" s="549"/>
      <c r="AB316" s="549"/>
      <c r="AC316" s="549"/>
      <c r="AD316" s="549"/>
      <c r="AE316" s="549"/>
      <c r="AF316" s="549"/>
      <c r="AG316" s="549"/>
      <c r="AH316" s="549"/>
      <c r="AI316" s="549"/>
      <c r="AJ316" s="549"/>
      <c r="AK316" s="549"/>
      <c r="AL316" s="549"/>
      <c r="AM316" s="549"/>
      <c r="AN316" s="549"/>
      <c r="AO316" s="549"/>
      <c r="AP316" s="549"/>
      <c r="AQ316" s="549"/>
      <c r="AR316" s="549"/>
      <c r="AS316" s="549"/>
      <c r="AT316" s="549"/>
      <c r="AU316" s="549"/>
      <c r="AV316" s="549"/>
      <c r="AW316" s="549"/>
      <c r="AX316" s="549"/>
      <c r="AY316" s="549"/>
      <c r="AZ316" s="549"/>
      <c r="BA316" s="549"/>
      <c r="BB316" s="549"/>
      <c r="BC316" s="549"/>
      <c r="BD316" s="549"/>
      <c r="BE316" s="549"/>
      <c r="BF316" s="549"/>
      <c r="BG316" s="549"/>
      <c r="BH316" s="549"/>
      <c r="BI316" s="549"/>
    </row>
    <row r="317" spans="16:61" s="254" customFormat="1" ht="9.9">
      <c r="P317" s="549"/>
      <c r="Q317" s="549"/>
      <c r="R317" s="549"/>
      <c r="S317" s="549"/>
      <c r="T317" s="549"/>
      <c r="U317" s="549"/>
      <c r="V317" s="549"/>
      <c r="W317" s="549"/>
      <c r="X317" s="549"/>
      <c r="Y317" s="549"/>
      <c r="Z317" s="549"/>
      <c r="AA317" s="549"/>
      <c r="AB317" s="549"/>
      <c r="AC317" s="549"/>
      <c r="AD317" s="549"/>
      <c r="AE317" s="549"/>
      <c r="AF317" s="549"/>
      <c r="AG317" s="549"/>
      <c r="AH317" s="549"/>
      <c r="AI317" s="549"/>
      <c r="AJ317" s="549"/>
      <c r="AK317" s="549"/>
      <c r="AL317" s="549"/>
      <c r="AM317" s="549"/>
      <c r="AN317" s="549"/>
      <c r="AO317" s="549"/>
      <c r="AP317" s="549"/>
      <c r="AQ317" s="549"/>
      <c r="AR317" s="549"/>
      <c r="AS317" s="549"/>
      <c r="AT317" s="549"/>
      <c r="AU317" s="549"/>
      <c r="AV317" s="549"/>
      <c r="AW317" s="549"/>
      <c r="AX317" s="549"/>
      <c r="AY317" s="549"/>
      <c r="AZ317" s="549"/>
      <c r="BA317" s="549"/>
      <c r="BB317" s="549"/>
      <c r="BC317" s="549"/>
      <c r="BD317" s="549"/>
      <c r="BE317" s="549"/>
      <c r="BF317" s="549"/>
      <c r="BG317" s="549"/>
      <c r="BH317" s="549"/>
      <c r="BI317" s="549"/>
    </row>
    <row r="318" spans="16:61" s="254" customFormat="1" ht="9.9">
      <c r="P318" s="549"/>
      <c r="Q318" s="549"/>
      <c r="R318" s="549"/>
      <c r="S318" s="549"/>
      <c r="T318" s="549"/>
      <c r="U318" s="549"/>
      <c r="V318" s="549"/>
      <c r="W318" s="549"/>
      <c r="X318" s="549"/>
      <c r="Y318" s="549"/>
      <c r="Z318" s="549"/>
      <c r="AA318" s="549"/>
      <c r="AB318" s="549"/>
      <c r="AC318" s="549"/>
      <c r="AD318" s="549"/>
      <c r="AE318" s="549"/>
      <c r="AF318" s="549"/>
      <c r="AG318" s="549"/>
      <c r="AH318" s="549"/>
      <c r="AI318" s="549"/>
      <c r="AJ318" s="549"/>
      <c r="AK318" s="549"/>
      <c r="AL318" s="549"/>
      <c r="AM318" s="549"/>
      <c r="AN318" s="549"/>
      <c r="AO318" s="549"/>
      <c r="AP318" s="549"/>
      <c r="AQ318" s="549"/>
      <c r="AR318" s="549"/>
      <c r="AS318" s="549"/>
      <c r="AT318" s="549"/>
      <c r="AU318" s="549"/>
      <c r="AV318" s="549"/>
      <c r="AW318" s="549"/>
      <c r="AX318" s="549"/>
      <c r="AY318" s="549"/>
      <c r="AZ318" s="549"/>
      <c r="BA318" s="549"/>
      <c r="BB318" s="549"/>
      <c r="BC318" s="549"/>
      <c r="BD318" s="549"/>
      <c r="BE318" s="549"/>
      <c r="BF318" s="549"/>
      <c r="BG318" s="549"/>
      <c r="BH318" s="549"/>
      <c r="BI318" s="549"/>
    </row>
    <row r="319" spans="16:61" s="254" customFormat="1" ht="9.9">
      <c r="P319" s="549"/>
      <c r="Q319" s="549"/>
      <c r="R319" s="549"/>
      <c r="S319" s="549"/>
      <c r="T319" s="549"/>
      <c r="U319" s="549"/>
      <c r="V319" s="549"/>
      <c r="W319" s="549"/>
      <c r="X319" s="549"/>
      <c r="Y319" s="549"/>
      <c r="Z319" s="549"/>
      <c r="AA319" s="549"/>
      <c r="AB319" s="549"/>
      <c r="AC319" s="549"/>
      <c r="AD319" s="549"/>
      <c r="AE319" s="549"/>
      <c r="AF319" s="549"/>
      <c r="AG319" s="549"/>
      <c r="AH319" s="549"/>
      <c r="AI319" s="549"/>
      <c r="AJ319" s="549"/>
      <c r="AK319" s="549"/>
      <c r="AL319" s="549"/>
      <c r="AM319" s="549"/>
      <c r="AN319" s="549"/>
      <c r="AO319" s="549"/>
      <c r="AP319" s="549"/>
      <c r="AQ319" s="549"/>
      <c r="AR319" s="549"/>
      <c r="AS319" s="549"/>
      <c r="AT319" s="549"/>
      <c r="AU319" s="549"/>
      <c r="AV319" s="549"/>
      <c r="AW319" s="549"/>
      <c r="AX319" s="549"/>
      <c r="AY319" s="549"/>
      <c r="AZ319" s="549"/>
      <c r="BA319" s="549"/>
      <c r="BB319" s="549"/>
      <c r="BC319" s="549"/>
      <c r="BD319" s="549"/>
      <c r="BE319" s="549"/>
      <c r="BF319" s="549"/>
      <c r="BG319" s="549"/>
      <c r="BH319" s="549"/>
      <c r="BI319" s="549"/>
    </row>
    <row r="320" spans="16:61" s="254" customFormat="1" ht="9.9">
      <c r="P320" s="549"/>
      <c r="Q320" s="549"/>
      <c r="R320" s="549"/>
      <c r="S320" s="549"/>
      <c r="T320" s="549"/>
      <c r="U320" s="549"/>
      <c r="V320" s="549"/>
      <c r="W320" s="549"/>
      <c r="X320" s="549"/>
      <c r="Y320" s="549"/>
      <c r="Z320" s="549"/>
      <c r="AA320" s="549"/>
      <c r="AB320" s="549"/>
      <c r="AC320" s="549"/>
      <c r="AD320" s="549"/>
      <c r="AE320" s="549"/>
      <c r="AF320" s="549"/>
      <c r="AG320" s="549"/>
      <c r="AH320" s="549"/>
      <c r="AI320" s="549"/>
      <c r="AJ320" s="549"/>
      <c r="AK320" s="549"/>
      <c r="AL320" s="549"/>
      <c r="AM320" s="549"/>
      <c r="AN320" s="549"/>
      <c r="AO320" s="549"/>
      <c r="AP320" s="549"/>
      <c r="AQ320" s="549"/>
      <c r="AR320" s="549"/>
      <c r="AS320" s="549"/>
      <c r="AT320" s="549"/>
      <c r="AU320" s="549"/>
      <c r="AV320" s="549"/>
      <c r="AW320" s="549"/>
      <c r="AX320" s="549"/>
      <c r="AY320" s="549"/>
      <c r="AZ320" s="549"/>
      <c r="BA320" s="549"/>
      <c r="BB320" s="549"/>
      <c r="BC320" s="549"/>
      <c r="BD320" s="549"/>
      <c r="BE320" s="549"/>
      <c r="BF320" s="549"/>
      <c r="BG320" s="549"/>
      <c r="BH320" s="549"/>
      <c r="BI320" s="549"/>
    </row>
    <row r="321" spans="16:61" s="254" customFormat="1" ht="9.9">
      <c r="P321" s="549"/>
      <c r="Q321" s="549"/>
      <c r="R321" s="549"/>
      <c r="S321" s="549"/>
      <c r="T321" s="549"/>
      <c r="U321" s="549"/>
      <c r="V321" s="549"/>
      <c r="W321" s="549"/>
      <c r="X321" s="549"/>
      <c r="Y321" s="549"/>
      <c r="Z321" s="549"/>
      <c r="AA321" s="549"/>
      <c r="AB321" s="549"/>
      <c r="AC321" s="549"/>
      <c r="AD321" s="549"/>
      <c r="AE321" s="549"/>
      <c r="AF321" s="549"/>
      <c r="AG321" s="549"/>
      <c r="AH321" s="549"/>
      <c r="AI321" s="549"/>
      <c r="AJ321" s="549"/>
      <c r="AK321" s="549"/>
      <c r="AL321" s="549"/>
      <c r="AM321" s="549"/>
      <c r="AN321" s="549"/>
      <c r="AO321" s="549"/>
      <c r="AP321" s="549"/>
      <c r="AQ321" s="549"/>
      <c r="AR321" s="549"/>
      <c r="AS321" s="549"/>
      <c r="AT321" s="549"/>
      <c r="AU321" s="549"/>
      <c r="AV321" s="549"/>
      <c r="AW321" s="549"/>
      <c r="AX321" s="549"/>
      <c r="AY321" s="549"/>
      <c r="AZ321" s="549"/>
      <c r="BA321" s="549"/>
      <c r="BB321" s="549"/>
      <c r="BC321" s="549"/>
      <c r="BD321" s="549"/>
      <c r="BE321" s="549"/>
      <c r="BF321" s="549"/>
      <c r="BG321" s="549"/>
      <c r="BH321" s="549"/>
      <c r="BI321" s="549"/>
    </row>
    <row r="322" spans="16:61" s="254" customFormat="1" ht="9.9">
      <c r="P322" s="549"/>
      <c r="Q322" s="549"/>
      <c r="R322" s="549"/>
      <c r="S322" s="549"/>
      <c r="T322" s="549"/>
      <c r="U322" s="549"/>
      <c r="V322" s="549"/>
      <c r="W322" s="549"/>
      <c r="X322" s="549"/>
      <c r="Y322" s="549"/>
      <c r="Z322" s="549"/>
      <c r="AA322" s="549"/>
      <c r="AB322" s="549"/>
      <c r="AC322" s="549"/>
      <c r="AD322" s="549"/>
      <c r="AE322" s="549"/>
      <c r="AF322" s="549"/>
      <c r="AG322" s="549"/>
      <c r="AH322" s="549"/>
      <c r="AI322" s="549"/>
      <c r="AJ322" s="549"/>
      <c r="AK322" s="549"/>
      <c r="AL322" s="549"/>
      <c r="AM322" s="549"/>
      <c r="AN322" s="549"/>
      <c r="AO322" s="549"/>
      <c r="AP322" s="549"/>
      <c r="AQ322" s="549"/>
      <c r="AR322" s="549"/>
      <c r="AS322" s="549"/>
      <c r="AT322" s="549"/>
      <c r="AU322" s="549"/>
      <c r="AV322" s="549"/>
      <c r="AW322" s="549"/>
      <c r="AX322" s="549"/>
      <c r="AY322" s="549"/>
      <c r="AZ322" s="549"/>
      <c r="BA322" s="549"/>
      <c r="BB322" s="549"/>
      <c r="BC322" s="549"/>
      <c r="BD322" s="549"/>
      <c r="BE322" s="549"/>
      <c r="BF322" s="549"/>
      <c r="BG322" s="549"/>
      <c r="BH322" s="549"/>
      <c r="BI322" s="549"/>
    </row>
    <row r="323" spans="16:61" s="254" customFormat="1" ht="9.9">
      <c r="P323" s="549"/>
      <c r="Q323" s="549"/>
      <c r="R323" s="549"/>
      <c r="S323" s="549"/>
      <c r="T323" s="549"/>
      <c r="U323" s="549"/>
      <c r="V323" s="549"/>
      <c r="W323" s="549"/>
      <c r="X323" s="549"/>
      <c r="Y323" s="549"/>
      <c r="Z323" s="549"/>
      <c r="AA323" s="549"/>
      <c r="AB323" s="549"/>
      <c r="AC323" s="549"/>
      <c r="AD323" s="549"/>
      <c r="AE323" s="549"/>
      <c r="AF323" s="549"/>
      <c r="AG323" s="549"/>
      <c r="AH323" s="549"/>
      <c r="AI323" s="549"/>
      <c r="AJ323" s="549"/>
      <c r="AK323" s="549"/>
      <c r="AL323" s="549"/>
      <c r="AM323" s="549"/>
      <c r="AN323" s="549"/>
      <c r="AO323" s="549"/>
      <c r="AP323" s="549"/>
      <c r="AQ323" s="549"/>
      <c r="AR323" s="549"/>
      <c r="AS323" s="549"/>
      <c r="AT323" s="549"/>
      <c r="AU323" s="549"/>
      <c r="AV323" s="549"/>
      <c r="AW323" s="549"/>
      <c r="AX323" s="549"/>
      <c r="AY323" s="549"/>
      <c r="AZ323" s="549"/>
      <c r="BA323" s="549"/>
      <c r="BB323" s="549"/>
      <c r="BC323" s="549"/>
      <c r="BD323" s="549"/>
      <c r="BE323" s="549"/>
      <c r="BF323" s="549"/>
      <c r="BG323" s="549"/>
      <c r="BH323" s="549"/>
      <c r="BI323" s="549"/>
    </row>
    <row r="324" spans="16:61" s="254" customFormat="1" ht="9.9">
      <c r="P324" s="549"/>
      <c r="Q324" s="549"/>
      <c r="R324" s="549"/>
      <c r="S324" s="549"/>
      <c r="T324" s="549"/>
      <c r="U324" s="549"/>
      <c r="V324" s="549"/>
      <c r="W324" s="549"/>
      <c r="X324" s="549"/>
      <c r="Y324" s="549"/>
      <c r="Z324" s="549"/>
      <c r="AA324" s="549"/>
      <c r="AB324" s="549"/>
      <c r="AC324" s="549"/>
      <c r="AD324" s="549"/>
      <c r="AE324" s="549"/>
      <c r="AF324" s="549"/>
      <c r="AG324" s="549"/>
      <c r="AH324" s="549"/>
      <c r="AI324" s="549"/>
      <c r="AJ324" s="549"/>
      <c r="AK324" s="549"/>
      <c r="AL324" s="549"/>
      <c r="AM324" s="549"/>
      <c r="AN324" s="549"/>
      <c r="AO324" s="549"/>
      <c r="AP324" s="549"/>
      <c r="AQ324" s="549"/>
      <c r="AR324" s="549"/>
      <c r="AS324" s="549"/>
      <c r="AT324" s="549"/>
      <c r="AU324" s="549"/>
      <c r="AV324" s="549"/>
      <c r="AW324" s="549"/>
      <c r="AX324" s="549"/>
      <c r="AY324" s="549"/>
      <c r="AZ324" s="549"/>
      <c r="BA324" s="549"/>
      <c r="BB324" s="549"/>
      <c r="BC324" s="549"/>
      <c r="BD324" s="549"/>
      <c r="BE324" s="549"/>
      <c r="BF324" s="549"/>
      <c r="BG324" s="549"/>
      <c r="BH324" s="549"/>
      <c r="BI324" s="549"/>
    </row>
    <row r="325" spans="16:61" s="254" customFormat="1" ht="9.9">
      <c r="P325" s="549"/>
      <c r="Q325" s="549"/>
      <c r="R325" s="549"/>
      <c r="S325" s="549"/>
      <c r="T325" s="549"/>
      <c r="U325" s="549"/>
      <c r="V325" s="549"/>
      <c r="W325" s="549"/>
      <c r="X325" s="549"/>
      <c r="Y325" s="549"/>
      <c r="Z325" s="549"/>
      <c r="AA325" s="549"/>
      <c r="AB325" s="549"/>
      <c r="AC325" s="549"/>
      <c r="AD325" s="549"/>
      <c r="AE325" s="549"/>
      <c r="AF325" s="549"/>
      <c r="AG325" s="549"/>
      <c r="AH325" s="549"/>
      <c r="AI325" s="549"/>
      <c r="AJ325" s="549"/>
      <c r="AK325" s="549"/>
      <c r="AL325" s="549"/>
      <c r="AM325" s="549"/>
      <c r="AN325" s="549"/>
      <c r="AO325" s="549"/>
      <c r="AP325" s="549"/>
      <c r="AQ325" s="549"/>
      <c r="AR325" s="549"/>
      <c r="AS325" s="549"/>
      <c r="AT325" s="549"/>
      <c r="AU325" s="549"/>
      <c r="AV325" s="549"/>
      <c r="AW325" s="549"/>
      <c r="AX325" s="549"/>
      <c r="AY325" s="549"/>
      <c r="AZ325" s="549"/>
      <c r="BA325" s="549"/>
      <c r="BB325" s="549"/>
      <c r="BC325" s="549"/>
      <c r="BD325" s="549"/>
      <c r="BE325" s="549"/>
      <c r="BF325" s="549"/>
      <c r="BG325" s="549"/>
      <c r="BH325" s="549"/>
      <c r="BI325" s="549"/>
    </row>
    <row r="326" spans="16:61" s="254" customFormat="1" ht="9.9">
      <c r="P326" s="549"/>
      <c r="Q326" s="549"/>
      <c r="R326" s="549"/>
      <c r="S326" s="549"/>
      <c r="T326" s="549"/>
      <c r="U326" s="549"/>
      <c r="V326" s="549"/>
      <c r="W326" s="549"/>
      <c r="X326" s="549"/>
      <c r="Y326" s="549"/>
      <c r="Z326" s="549"/>
      <c r="AA326" s="549"/>
      <c r="AB326" s="549"/>
      <c r="AC326" s="549"/>
      <c r="AD326" s="549"/>
      <c r="AE326" s="549"/>
      <c r="AF326" s="549"/>
      <c r="AG326" s="549"/>
      <c r="AH326" s="549"/>
      <c r="AI326" s="549"/>
      <c r="AJ326" s="549"/>
      <c r="AK326" s="549"/>
      <c r="AL326" s="549"/>
      <c r="AM326" s="549"/>
      <c r="AN326" s="549"/>
      <c r="AO326" s="549"/>
      <c r="AP326" s="549"/>
      <c r="AQ326" s="549"/>
      <c r="AR326" s="549"/>
      <c r="AS326" s="549"/>
      <c r="AT326" s="549"/>
      <c r="AU326" s="549"/>
      <c r="AV326" s="549"/>
      <c r="AW326" s="549"/>
      <c r="AX326" s="549"/>
      <c r="AY326" s="549"/>
      <c r="AZ326" s="549"/>
      <c r="BA326" s="549"/>
      <c r="BB326" s="549"/>
      <c r="BC326" s="549"/>
      <c r="BD326" s="549"/>
      <c r="BE326" s="549"/>
      <c r="BF326" s="549"/>
      <c r="BG326" s="549"/>
      <c r="BH326" s="549"/>
      <c r="BI326" s="549"/>
    </row>
    <row r="327" spans="16:61" s="254" customFormat="1" ht="9.9">
      <c r="P327" s="549"/>
      <c r="Q327" s="549"/>
      <c r="R327" s="549"/>
      <c r="S327" s="549"/>
      <c r="T327" s="549"/>
      <c r="U327" s="549"/>
      <c r="V327" s="549"/>
      <c r="W327" s="549"/>
      <c r="X327" s="549"/>
      <c r="Y327" s="549"/>
      <c r="Z327" s="549"/>
      <c r="AA327" s="549"/>
      <c r="AB327" s="549"/>
      <c r="AC327" s="549"/>
      <c r="AD327" s="549"/>
      <c r="AE327" s="549"/>
      <c r="AF327" s="549"/>
      <c r="AG327" s="549"/>
      <c r="AH327" s="549"/>
      <c r="AI327" s="549"/>
      <c r="AJ327" s="549"/>
      <c r="AK327" s="549"/>
      <c r="AL327" s="549"/>
      <c r="AM327" s="549"/>
      <c r="AN327" s="549"/>
      <c r="AO327" s="549"/>
      <c r="AP327" s="549"/>
      <c r="AQ327" s="549"/>
      <c r="AR327" s="549"/>
      <c r="AS327" s="549"/>
      <c r="AT327" s="549"/>
      <c r="AU327" s="549"/>
      <c r="AV327" s="549"/>
      <c r="AW327" s="549"/>
      <c r="AX327" s="549"/>
      <c r="AY327" s="549"/>
      <c r="AZ327" s="549"/>
      <c r="BA327" s="549"/>
      <c r="BB327" s="549"/>
      <c r="BC327" s="549"/>
      <c r="BD327" s="549"/>
      <c r="BE327" s="549"/>
      <c r="BF327" s="549"/>
      <c r="BG327" s="549"/>
      <c r="BH327" s="549"/>
      <c r="BI327" s="549"/>
    </row>
    <row r="328" spans="16:61" s="254" customFormat="1" ht="9.9">
      <c r="P328" s="549"/>
      <c r="Q328" s="549"/>
      <c r="R328" s="549"/>
      <c r="S328" s="549"/>
      <c r="T328" s="549"/>
      <c r="U328" s="549"/>
      <c r="V328" s="549"/>
      <c r="W328" s="549"/>
      <c r="X328" s="549"/>
      <c r="Y328" s="549"/>
      <c r="Z328" s="549"/>
      <c r="AA328" s="549"/>
      <c r="AB328" s="549"/>
      <c r="AC328" s="549"/>
      <c r="AD328" s="549"/>
      <c r="AE328" s="549"/>
      <c r="AF328" s="549"/>
      <c r="AG328" s="549"/>
      <c r="AH328" s="549"/>
      <c r="AI328" s="549"/>
      <c r="AJ328" s="549"/>
      <c r="AK328" s="549"/>
      <c r="AL328" s="549"/>
      <c r="AM328" s="549"/>
      <c r="AN328" s="549"/>
      <c r="AO328" s="549"/>
      <c r="AP328" s="549"/>
      <c r="AQ328" s="549"/>
      <c r="AR328" s="549"/>
      <c r="AS328" s="549"/>
      <c r="AT328" s="549"/>
      <c r="AU328" s="549"/>
      <c r="AV328" s="549"/>
      <c r="AW328" s="549"/>
      <c r="AX328" s="549"/>
      <c r="AY328" s="549"/>
      <c r="AZ328" s="549"/>
      <c r="BA328" s="549"/>
      <c r="BB328" s="549"/>
      <c r="BC328" s="549"/>
      <c r="BD328" s="549"/>
      <c r="BE328" s="549"/>
      <c r="BF328" s="549"/>
      <c r="BG328" s="549"/>
      <c r="BH328" s="549"/>
      <c r="BI328" s="549"/>
    </row>
    <row r="329" spans="16:61" s="254" customFormat="1" ht="9.9">
      <c r="P329" s="549"/>
      <c r="Q329" s="549"/>
      <c r="R329" s="549"/>
      <c r="S329" s="549"/>
      <c r="T329" s="549"/>
      <c r="U329" s="549"/>
      <c r="V329" s="549"/>
      <c r="W329" s="549"/>
      <c r="X329" s="549"/>
      <c r="Y329" s="549"/>
      <c r="Z329" s="549"/>
      <c r="AA329" s="549"/>
      <c r="AB329" s="549"/>
      <c r="AC329" s="549"/>
      <c r="AD329" s="549"/>
      <c r="AE329" s="549"/>
      <c r="AF329" s="549"/>
      <c r="AG329" s="549"/>
      <c r="AH329" s="549"/>
      <c r="AI329" s="549"/>
      <c r="AJ329" s="549"/>
      <c r="AK329" s="549"/>
      <c r="AL329" s="549"/>
      <c r="AM329" s="549"/>
      <c r="AN329" s="549"/>
      <c r="AO329" s="549"/>
      <c r="AP329" s="549"/>
      <c r="AQ329" s="549"/>
      <c r="AR329" s="549"/>
      <c r="AS329" s="549"/>
      <c r="AT329" s="549"/>
      <c r="AU329" s="549"/>
      <c r="AV329" s="549"/>
      <c r="AW329" s="549"/>
      <c r="AX329" s="549"/>
      <c r="AY329" s="549"/>
      <c r="AZ329" s="549"/>
      <c r="BA329" s="549"/>
      <c r="BB329" s="549"/>
      <c r="BC329" s="549"/>
      <c r="BD329" s="549"/>
      <c r="BE329" s="549"/>
      <c r="BF329" s="549"/>
      <c r="BG329" s="549"/>
      <c r="BH329" s="549"/>
      <c r="BI329" s="549"/>
    </row>
    <row r="330" spans="16:61" s="254" customFormat="1" ht="9.9">
      <c r="P330" s="549"/>
      <c r="Q330" s="549"/>
      <c r="R330" s="549"/>
      <c r="S330" s="549"/>
      <c r="T330" s="549"/>
      <c r="U330" s="549"/>
      <c r="V330" s="549"/>
      <c r="W330" s="549"/>
      <c r="X330" s="549"/>
      <c r="Y330" s="549"/>
      <c r="Z330" s="549"/>
      <c r="AA330" s="549"/>
      <c r="AB330" s="549"/>
      <c r="AC330" s="549"/>
      <c r="AD330" s="549"/>
      <c r="AE330" s="549"/>
      <c r="AF330" s="549"/>
      <c r="AG330" s="549"/>
      <c r="AH330" s="549"/>
      <c r="AI330" s="549"/>
      <c r="AJ330" s="549"/>
      <c r="AK330" s="549"/>
      <c r="AL330" s="549"/>
      <c r="AM330" s="549"/>
      <c r="AN330" s="549"/>
      <c r="AO330" s="549"/>
      <c r="AP330" s="549"/>
      <c r="AQ330" s="549"/>
      <c r="AR330" s="549"/>
      <c r="AS330" s="549"/>
      <c r="AT330" s="549"/>
      <c r="AU330" s="549"/>
      <c r="AV330" s="549"/>
      <c r="AW330" s="549"/>
      <c r="AX330" s="549"/>
      <c r="AY330" s="549"/>
      <c r="AZ330" s="549"/>
      <c r="BA330" s="549"/>
      <c r="BB330" s="549"/>
      <c r="BC330" s="549"/>
      <c r="BD330" s="549"/>
      <c r="BE330" s="549"/>
      <c r="BF330" s="549"/>
      <c r="BG330" s="549"/>
      <c r="BH330" s="549"/>
      <c r="BI330" s="549"/>
    </row>
    <row r="331" spans="16:61" s="254" customFormat="1" ht="9.9">
      <c r="P331" s="549"/>
      <c r="Q331" s="549"/>
      <c r="R331" s="549"/>
      <c r="S331" s="549"/>
      <c r="T331" s="549"/>
      <c r="U331" s="549"/>
      <c r="V331" s="549"/>
      <c r="W331" s="549"/>
      <c r="X331" s="549"/>
      <c r="Y331" s="549"/>
      <c r="Z331" s="549"/>
      <c r="AA331" s="549"/>
      <c r="AB331" s="549"/>
      <c r="AC331" s="549"/>
      <c r="AD331" s="549"/>
      <c r="AE331" s="549"/>
      <c r="AF331" s="549"/>
      <c r="AG331" s="549"/>
      <c r="AH331" s="549"/>
      <c r="AI331" s="549"/>
      <c r="AJ331" s="549"/>
      <c r="AK331" s="549"/>
      <c r="AL331" s="549"/>
      <c r="AM331" s="549"/>
      <c r="AN331" s="549"/>
      <c r="AO331" s="549"/>
      <c r="AP331" s="549"/>
      <c r="AQ331" s="549"/>
      <c r="AR331" s="549"/>
      <c r="AS331" s="549"/>
      <c r="AT331" s="549"/>
      <c r="AU331" s="549"/>
      <c r="AV331" s="549"/>
      <c r="AW331" s="549"/>
      <c r="AX331" s="549"/>
      <c r="AY331" s="549"/>
      <c r="AZ331" s="549"/>
      <c r="BA331" s="549"/>
      <c r="BB331" s="549"/>
      <c r="BC331" s="549"/>
      <c r="BD331" s="549"/>
      <c r="BE331" s="549"/>
      <c r="BF331" s="549"/>
      <c r="BG331" s="549"/>
      <c r="BH331" s="549"/>
      <c r="BI331" s="549"/>
    </row>
    <row r="332" spans="16:61" s="254" customFormat="1" ht="9.9">
      <c r="P332" s="549"/>
      <c r="Q332" s="549"/>
      <c r="R332" s="549"/>
      <c r="S332" s="549"/>
      <c r="T332" s="549"/>
      <c r="U332" s="549"/>
      <c r="V332" s="549"/>
      <c r="W332" s="549"/>
      <c r="X332" s="549"/>
      <c r="Y332" s="549"/>
      <c r="Z332" s="549"/>
      <c r="AA332" s="549"/>
      <c r="AB332" s="549"/>
      <c r="AC332" s="549"/>
      <c r="AD332" s="549"/>
      <c r="AE332" s="549"/>
      <c r="AF332" s="549"/>
      <c r="AG332" s="549"/>
      <c r="AH332" s="549"/>
      <c r="AI332" s="549"/>
      <c r="AJ332" s="549"/>
      <c r="AK332" s="549"/>
      <c r="AL332" s="549"/>
      <c r="AM332" s="549"/>
      <c r="AN332" s="549"/>
      <c r="AO332" s="549"/>
      <c r="AP332" s="549"/>
      <c r="AQ332" s="549"/>
      <c r="AR332" s="549"/>
      <c r="AS332" s="549"/>
      <c r="AT332" s="549"/>
      <c r="AU332" s="549"/>
      <c r="AV332" s="549"/>
      <c r="AW332" s="549"/>
      <c r="AX332" s="549"/>
      <c r="AY332" s="549"/>
      <c r="AZ332" s="549"/>
      <c r="BA332" s="549"/>
      <c r="BB332" s="549"/>
      <c r="BC332" s="549"/>
      <c r="BD332" s="549"/>
      <c r="BE332" s="549"/>
      <c r="BF332" s="549"/>
      <c r="BG332" s="549"/>
      <c r="BH332" s="549"/>
      <c r="BI332" s="549"/>
    </row>
    <row r="333" spans="16:61" s="254" customFormat="1" ht="9.9">
      <c r="P333" s="549"/>
      <c r="Q333" s="549"/>
      <c r="R333" s="549"/>
      <c r="S333" s="549"/>
      <c r="T333" s="549"/>
      <c r="U333" s="549"/>
      <c r="V333" s="549"/>
      <c r="W333" s="549"/>
      <c r="X333" s="549"/>
      <c r="Y333" s="549"/>
      <c r="Z333" s="549"/>
      <c r="AA333" s="549"/>
      <c r="AB333" s="549"/>
      <c r="AC333" s="549"/>
      <c r="AD333" s="549"/>
      <c r="AE333" s="549"/>
      <c r="AF333" s="549"/>
      <c r="AG333" s="549"/>
      <c r="AH333" s="549"/>
      <c r="AI333" s="549"/>
      <c r="AJ333" s="549"/>
      <c r="AK333" s="549"/>
      <c r="AL333" s="549"/>
      <c r="AM333" s="549"/>
      <c r="AN333" s="549"/>
      <c r="AO333" s="549"/>
      <c r="AP333" s="549"/>
      <c r="AQ333" s="549"/>
      <c r="AR333" s="549"/>
      <c r="AS333" s="549"/>
      <c r="AT333" s="549"/>
      <c r="AU333" s="549"/>
      <c r="AV333" s="549"/>
      <c r="AW333" s="549"/>
      <c r="AX333" s="549"/>
      <c r="AY333" s="549"/>
      <c r="AZ333" s="549"/>
      <c r="BA333" s="549"/>
      <c r="BB333" s="549"/>
      <c r="BC333" s="549"/>
      <c r="BD333" s="549"/>
      <c r="BE333" s="549"/>
      <c r="BF333" s="549"/>
      <c r="BG333" s="549"/>
      <c r="BH333" s="549"/>
      <c r="BI333" s="549"/>
    </row>
    <row r="334" spans="16:61" s="254" customFormat="1" ht="9.9">
      <c r="P334" s="549"/>
      <c r="Q334" s="549"/>
      <c r="R334" s="549"/>
      <c r="S334" s="549"/>
      <c r="T334" s="549"/>
      <c r="U334" s="549"/>
      <c r="V334" s="549"/>
      <c r="W334" s="549"/>
      <c r="X334" s="549"/>
      <c r="Y334" s="549"/>
      <c r="Z334" s="549"/>
      <c r="AA334" s="549"/>
      <c r="AB334" s="549"/>
      <c r="AC334" s="549"/>
      <c r="AD334" s="549"/>
      <c r="AE334" s="549"/>
      <c r="AF334" s="549"/>
      <c r="AG334" s="549"/>
      <c r="AH334" s="549"/>
      <c r="AI334" s="549"/>
      <c r="AJ334" s="549"/>
      <c r="AK334" s="549"/>
      <c r="AL334" s="549"/>
      <c r="AM334" s="549"/>
      <c r="AN334" s="549"/>
      <c r="AO334" s="549"/>
      <c r="AP334" s="549"/>
      <c r="AQ334" s="549"/>
      <c r="AR334" s="549"/>
      <c r="AS334" s="549"/>
      <c r="AT334" s="549"/>
      <c r="AU334" s="549"/>
      <c r="AV334" s="549"/>
      <c r="AW334" s="549"/>
      <c r="AX334" s="549"/>
      <c r="AY334" s="549"/>
      <c r="AZ334" s="549"/>
      <c r="BA334" s="549"/>
      <c r="BB334" s="549"/>
      <c r="BC334" s="549"/>
      <c r="BD334" s="549"/>
      <c r="BE334" s="549"/>
      <c r="BF334" s="549"/>
      <c r="BG334" s="549"/>
      <c r="BH334" s="549"/>
      <c r="BI334" s="549"/>
    </row>
    <row r="335" spans="16:61" s="254" customFormat="1" ht="9.9">
      <c r="P335" s="549"/>
      <c r="Q335" s="549"/>
      <c r="R335" s="549"/>
      <c r="S335" s="549"/>
      <c r="T335" s="549"/>
      <c r="U335" s="549"/>
      <c r="V335" s="549"/>
      <c r="W335" s="549"/>
      <c r="X335" s="549"/>
      <c r="Y335" s="549"/>
      <c r="Z335" s="549"/>
      <c r="AA335" s="549"/>
      <c r="AB335" s="549"/>
      <c r="AC335" s="549"/>
      <c r="AD335" s="549"/>
      <c r="AE335" s="549"/>
      <c r="AF335" s="549"/>
      <c r="AG335" s="549"/>
      <c r="AH335" s="549"/>
      <c r="AI335" s="549"/>
      <c r="AJ335" s="549"/>
      <c r="AK335" s="549"/>
      <c r="AL335" s="549"/>
      <c r="AM335" s="549"/>
      <c r="AN335" s="549"/>
      <c r="AO335" s="549"/>
      <c r="AP335" s="549"/>
      <c r="AQ335" s="549"/>
      <c r="AR335" s="549"/>
      <c r="AS335" s="549"/>
      <c r="AT335" s="549"/>
      <c r="AU335" s="549"/>
      <c r="AV335" s="549"/>
      <c r="AW335" s="549"/>
      <c r="AX335" s="549"/>
      <c r="AY335" s="549"/>
      <c r="AZ335" s="549"/>
      <c r="BA335" s="549"/>
      <c r="BB335" s="549"/>
      <c r="BC335" s="549"/>
      <c r="BD335" s="549"/>
      <c r="BE335" s="549"/>
      <c r="BF335" s="549"/>
      <c r="BG335" s="549"/>
      <c r="BH335" s="549"/>
      <c r="BI335" s="549"/>
    </row>
    <row r="336" spans="16:61" s="254" customFormat="1" ht="9.9">
      <c r="P336" s="549"/>
      <c r="Q336" s="549"/>
      <c r="R336" s="549"/>
      <c r="S336" s="549"/>
      <c r="T336" s="549"/>
      <c r="U336" s="549"/>
      <c r="V336" s="549"/>
      <c r="W336" s="549"/>
      <c r="X336" s="549"/>
      <c r="Y336" s="549"/>
      <c r="Z336" s="549"/>
      <c r="AA336" s="549"/>
      <c r="AB336" s="549"/>
      <c r="AC336" s="549"/>
      <c r="AD336" s="549"/>
      <c r="AE336" s="549"/>
      <c r="AF336" s="549"/>
      <c r="AG336" s="549"/>
      <c r="AH336" s="549"/>
      <c r="AI336" s="549"/>
      <c r="AJ336" s="549"/>
      <c r="AK336" s="549"/>
      <c r="AL336" s="549"/>
      <c r="AM336" s="549"/>
      <c r="AN336" s="549"/>
      <c r="AO336" s="549"/>
      <c r="AP336" s="549"/>
      <c r="AQ336" s="549"/>
      <c r="AR336" s="549"/>
      <c r="AS336" s="549"/>
      <c r="AT336" s="549"/>
      <c r="AU336" s="549"/>
      <c r="AV336" s="549"/>
      <c r="AW336" s="549"/>
      <c r="AX336" s="549"/>
      <c r="AY336" s="549"/>
      <c r="AZ336" s="549"/>
      <c r="BA336" s="549"/>
      <c r="BB336" s="549"/>
      <c r="BC336" s="549"/>
      <c r="BD336" s="549"/>
      <c r="BE336" s="549"/>
      <c r="BF336" s="549"/>
      <c r="BG336" s="549"/>
      <c r="BH336" s="549"/>
      <c r="BI336" s="549"/>
    </row>
    <row r="337" spans="16:61" s="254" customFormat="1" ht="9.9">
      <c r="P337" s="549"/>
      <c r="Q337" s="549"/>
      <c r="R337" s="549"/>
      <c r="S337" s="549"/>
      <c r="T337" s="549"/>
      <c r="U337" s="549"/>
      <c r="V337" s="549"/>
      <c r="W337" s="549"/>
      <c r="X337" s="549"/>
      <c r="Y337" s="549"/>
      <c r="Z337" s="549"/>
      <c r="AA337" s="549"/>
      <c r="AB337" s="549"/>
      <c r="AC337" s="549"/>
      <c r="AD337" s="549"/>
      <c r="AE337" s="549"/>
      <c r="AF337" s="549"/>
      <c r="AG337" s="549"/>
      <c r="AH337" s="549"/>
      <c r="AI337" s="549"/>
      <c r="AJ337" s="549"/>
      <c r="AK337" s="549"/>
      <c r="AL337" s="549"/>
      <c r="AM337" s="549"/>
      <c r="AN337" s="549"/>
      <c r="AO337" s="549"/>
      <c r="AP337" s="549"/>
      <c r="AQ337" s="549"/>
      <c r="AR337" s="549"/>
      <c r="AS337" s="549"/>
      <c r="AT337" s="549"/>
      <c r="AU337" s="549"/>
      <c r="AV337" s="549"/>
      <c r="AW337" s="549"/>
      <c r="AX337" s="549"/>
      <c r="AY337" s="549"/>
      <c r="AZ337" s="549"/>
      <c r="BA337" s="549"/>
      <c r="BB337" s="549"/>
      <c r="BC337" s="549"/>
      <c r="BD337" s="549"/>
      <c r="BE337" s="549"/>
      <c r="BF337" s="549"/>
      <c r="BG337" s="549"/>
      <c r="BH337" s="549"/>
      <c r="BI337" s="549"/>
    </row>
    <row r="338" spans="16:61" s="254" customFormat="1" ht="9.9">
      <c r="P338" s="549"/>
      <c r="Q338" s="549"/>
      <c r="R338" s="549"/>
      <c r="S338" s="549"/>
      <c r="T338" s="549"/>
      <c r="U338" s="549"/>
      <c r="V338" s="549"/>
      <c r="W338" s="549"/>
      <c r="X338" s="549"/>
      <c r="Y338" s="549"/>
      <c r="Z338" s="549"/>
      <c r="AA338" s="549"/>
      <c r="AB338" s="549"/>
      <c r="AC338" s="549"/>
      <c r="AD338" s="549"/>
      <c r="AE338" s="549"/>
      <c r="AF338" s="549"/>
      <c r="AG338" s="549"/>
      <c r="AH338" s="549"/>
      <c r="AI338" s="549"/>
      <c r="AJ338" s="549"/>
      <c r="AK338" s="549"/>
      <c r="AL338" s="549"/>
      <c r="AM338" s="549"/>
      <c r="AN338" s="549"/>
      <c r="AO338" s="549"/>
      <c r="AP338" s="549"/>
      <c r="AQ338" s="549"/>
      <c r="AR338" s="549"/>
      <c r="AS338" s="549"/>
      <c r="AT338" s="549"/>
      <c r="AU338" s="549"/>
      <c r="AV338" s="549"/>
      <c r="AW338" s="549"/>
      <c r="AX338" s="549"/>
      <c r="AY338" s="549"/>
      <c r="AZ338" s="549"/>
      <c r="BA338" s="549"/>
      <c r="BB338" s="549"/>
      <c r="BC338" s="549"/>
      <c r="BD338" s="549"/>
      <c r="BE338" s="549"/>
      <c r="BF338" s="549"/>
      <c r="BG338" s="549"/>
      <c r="BH338" s="549"/>
      <c r="BI338" s="549"/>
    </row>
    <row r="339" spans="16:61" s="254" customFormat="1" ht="9.9">
      <c r="P339" s="549"/>
      <c r="Q339" s="549"/>
      <c r="R339" s="549"/>
      <c r="S339" s="549"/>
      <c r="T339" s="549"/>
      <c r="U339" s="549"/>
      <c r="V339" s="549"/>
      <c r="W339" s="549"/>
      <c r="X339" s="549"/>
      <c r="Y339" s="549"/>
      <c r="Z339" s="549"/>
      <c r="AA339" s="549"/>
      <c r="AB339" s="549"/>
      <c r="AC339" s="549"/>
      <c r="AD339" s="549"/>
      <c r="AE339" s="549"/>
      <c r="AF339" s="549"/>
      <c r="AG339" s="549"/>
      <c r="AH339" s="549"/>
      <c r="AI339" s="549"/>
      <c r="AJ339" s="549"/>
      <c r="AK339" s="549"/>
      <c r="AL339" s="549"/>
      <c r="AM339" s="549"/>
      <c r="AN339" s="549"/>
      <c r="AO339" s="549"/>
      <c r="AP339" s="549"/>
      <c r="AQ339" s="549"/>
      <c r="AR339" s="549"/>
      <c r="AS339" s="549"/>
      <c r="AT339" s="549"/>
      <c r="AU339" s="549"/>
      <c r="AV339" s="549"/>
      <c r="AW339" s="549"/>
      <c r="AX339" s="549"/>
      <c r="AY339" s="549"/>
      <c r="AZ339" s="549"/>
      <c r="BA339" s="549"/>
      <c r="BB339" s="549"/>
      <c r="BC339" s="549"/>
      <c r="BD339" s="549"/>
      <c r="BE339" s="549"/>
      <c r="BF339" s="549"/>
      <c r="BG339" s="549"/>
      <c r="BH339" s="549"/>
      <c r="BI339" s="549"/>
    </row>
    <row r="340" spans="16:61" s="254" customFormat="1" ht="9.9">
      <c r="P340" s="549"/>
      <c r="Q340" s="549"/>
      <c r="R340" s="549"/>
      <c r="S340" s="549"/>
      <c r="T340" s="549"/>
      <c r="U340" s="549"/>
      <c r="V340" s="549"/>
      <c r="W340" s="549"/>
      <c r="X340" s="549"/>
      <c r="Y340" s="549"/>
      <c r="Z340" s="549"/>
      <c r="AA340" s="549"/>
      <c r="AB340" s="549"/>
      <c r="AC340" s="549"/>
      <c r="AD340" s="549"/>
      <c r="AE340" s="549"/>
      <c r="AF340" s="549"/>
      <c r="AG340" s="549"/>
      <c r="AH340" s="549"/>
      <c r="AI340" s="549"/>
      <c r="AJ340" s="549"/>
      <c r="AK340" s="549"/>
      <c r="AL340" s="549"/>
      <c r="AM340" s="549"/>
      <c r="AN340" s="549"/>
      <c r="AO340" s="549"/>
      <c r="AP340" s="549"/>
      <c r="AQ340" s="549"/>
      <c r="AR340" s="549"/>
      <c r="AS340" s="549"/>
      <c r="AT340" s="549"/>
      <c r="AU340" s="549"/>
      <c r="AV340" s="549"/>
      <c r="AW340" s="549"/>
      <c r="AX340" s="549"/>
      <c r="AY340" s="549"/>
      <c r="AZ340" s="549"/>
      <c r="BA340" s="549"/>
      <c r="BB340" s="549"/>
      <c r="BC340" s="549"/>
      <c r="BD340" s="549"/>
      <c r="BE340" s="549"/>
      <c r="BF340" s="549"/>
      <c r="BG340" s="549"/>
      <c r="BH340" s="549"/>
      <c r="BI340" s="549"/>
    </row>
    <row r="341" spans="16:61" s="254" customFormat="1" ht="9.9">
      <c r="P341" s="549"/>
      <c r="Q341" s="549"/>
      <c r="R341" s="549"/>
      <c r="S341" s="549"/>
      <c r="T341" s="549"/>
      <c r="U341" s="549"/>
      <c r="V341" s="549"/>
      <c r="W341" s="549"/>
      <c r="X341" s="549"/>
      <c r="Y341" s="549"/>
      <c r="Z341" s="549"/>
      <c r="AA341" s="549"/>
      <c r="AB341" s="549"/>
      <c r="AC341" s="549"/>
      <c r="AD341" s="549"/>
      <c r="AE341" s="549"/>
      <c r="AF341" s="549"/>
      <c r="AG341" s="549"/>
      <c r="AH341" s="549"/>
      <c r="AI341" s="549"/>
      <c r="AJ341" s="549"/>
      <c r="AK341" s="549"/>
      <c r="AL341" s="549"/>
      <c r="AM341" s="549"/>
      <c r="AN341" s="549"/>
      <c r="AO341" s="549"/>
      <c r="AP341" s="549"/>
      <c r="AQ341" s="549"/>
      <c r="AR341" s="549"/>
      <c r="AS341" s="549"/>
      <c r="AT341" s="549"/>
      <c r="AU341" s="549"/>
      <c r="AV341" s="549"/>
      <c r="AW341" s="549"/>
      <c r="AX341" s="549"/>
      <c r="AY341" s="549"/>
      <c r="AZ341" s="549"/>
      <c r="BA341" s="549"/>
      <c r="BB341" s="549"/>
      <c r="BC341" s="549"/>
      <c r="BD341" s="549"/>
      <c r="BE341" s="549"/>
      <c r="BF341" s="549"/>
      <c r="BG341" s="549"/>
      <c r="BH341" s="549"/>
      <c r="BI341" s="549"/>
    </row>
    <row r="342" spans="16:61" s="254" customFormat="1" ht="9.9">
      <c r="P342" s="549"/>
      <c r="Q342" s="549"/>
      <c r="R342" s="549"/>
      <c r="S342" s="549"/>
      <c r="T342" s="549"/>
      <c r="U342" s="549"/>
      <c r="V342" s="549"/>
      <c r="W342" s="549"/>
      <c r="X342" s="549"/>
      <c r="Y342" s="549"/>
      <c r="Z342" s="549"/>
      <c r="AA342" s="549"/>
      <c r="AB342" s="549"/>
      <c r="AC342" s="549"/>
      <c r="AD342" s="549"/>
      <c r="AE342" s="549"/>
      <c r="AF342" s="549"/>
      <c r="AG342" s="549"/>
      <c r="AH342" s="549"/>
      <c r="AI342" s="549"/>
      <c r="AJ342" s="549"/>
      <c r="AK342" s="549"/>
      <c r="AL342" s="549"/>
      <c r="AM342" s="549"/>
      <c r="AN342" s="549"/>
      <c r="AO342" s="549"/>
      <c r="AP342" s="549"/>
      <c r="AQ342" s="549"/>
      <c r="AR342" s="549"/>
      <c r="AS342" s="549"/>
      <c r="AT342" s="549"/>
      <c r="AU342" s="549"/>
      <c r="AV342" s="549"/>
      <c r="AW342" s="549"/>
      <c r="AX342" s="549"/>
      <c r="AY342" s="549"/>
      <c r="AZ342" s="549"/>
      <c r="BA342" s="549"/>
      <c r="BB342" s="549"/>
      <c r="BC342" s="549"/>
      <c r="BD342" s="549"/>
      <c r="BE342" s="549"/>
      <c r="BF342" s="549"/>
      <c r="BG342" s="549"/>
      <c r="BH342" s="549"/>
      <c r="BI342" s="549"/>
    </row>
    <row r="343" spans="16:61" s="254" customFormat="1" ht="9.9">
      <c r="P343" s="549"/>
      <c r="Q343" s="549"/>
      <c r="R343" s="549"/>
      <c r="S343" s="549"/>
      <c r="T343" s="549"/>
      <c r="U343" s="549"/>
      <c r="V343" s="549"/>
      <c r="W343" s="549"/>
      <c r="X343" s="549"/>
      <c r="Y343" s="549"/>
      <c r="Z343" s="549"/>
      <c r="AA343" s="549"/>
      <c r="AB343" s="549"/>
      <c r="AC343" s="549"/>
      <c r="AD343" s="549"/>
      <c r="AE343" s="549"/>
      <c r="AF343" s="549"/>
      <c r="AG343" s="549"/>
      <c r="AH343" s="549"/>
      <c r="AI343" s="549"/>
      <c r="AJ343" s="549"/>
      <c r="AK343" s="549"/>
      <c r="AL343" s="549"/>
      <c r="AM343" s="549"/>
      <c r="AN343" s="549"/>
      <c r="AO343" s="549"/>
      <c r="AP343" s="549"/>
      <c r="AQ343" s="549"/>
      <c r="AR343" s="549"/>
      <c r="AS343" s="549"/>
      <c r="AT343" s="549"/>
      <c r="AU343" s="549"/>
      <c r="AV343" s="549"/>
      <c r="AW343" s="549"/>
      <c r="AX343" s="549"/>
      <c r="AY343" s="549"/>
      <c r="AZ343" s="549"/>
      <c r="BA343" s="549"/>
      <c r="BB343" s="549"/>
      <c r="BC343" s="549"/>
      <c r="BD343" s="549"/>
      <c r="BE343" s="549"/>
      <c r="BF343" s="549"/>
      <c r="BG343" s="549"/>
      <c r="BH343" s="549"/>
      <c r="BI343" s="549"/>
    </row>
    <row r="344" spans="16:61" s="254" customFormat="1" ht="9.9">
      <c r="P344" s="549"/>
      <c r="Q344" s="549"/>
      <c r="R344" s="549"/>
      <c r="S344" s="549"/>
      <c r="T344" s="549"/>
      <c r="U344" s="549"/>
      <c r="V344" s="549"/>
      <c r="W344" s="549"/>
      <c r="X344" s="549"/>
      <c r="Y344" s="549"/>
      <c r="Z344" s="549"/>
      <c r="AA344" s="549"/>
      <c r="AB344" s="549"/>
      <c r="AC344" s="549"/>
      <c r="AD344" s="549"/>
      <c r="AE344" s="549"/>
      <c r="AF344" s="549"/>
      <c r="AG344" s="549"/>
      <c r="AH344" s="549"/>
      <c r="AI344" s="549"/>
      <c r="AJ344" s="549"/>
      <c r="AK344" s="549"/>
      <c r="AL344" s="549"/>
      <c r="AM344" s="549"/>
      <c r="AN344" s="549"/>
      <c r="AO344" s="549"/>
      <c r="AP344" s="549"/>
      <c r="AQ344" s="549"/>
      <c r="AR344" s="549"/>
      <c r="AS344" s="549"/>
      <c r="AT344" s="549"/>
      <c r="AU344" s="549"/>
      <c r="AV344" s="549"/>
      <c r="AW344" s="549"/>
      <c r="AX344" s="549"/>
      <c r="AY344" s="549"/>
      <c r="AZ344" s="549"/>
      <c r="BA344" s="549"/>
      <c r="BB344" s="549"/>
      <c r="BC344" s="549"/>
      <c r="BD344" s="549"/>
      <c r="BE344" s="549"/>
      <c r="BF344" s="549"/>
      <c r="BG344" s="549"/>
      <c r="BH344" s="549"/>
      <c r="BI344" s="549"/>
    </row>
    <row r="345" spans="16:61" s="254" customFormat="1" ht="9.9">
      <c r="P345" s="549"/>
      <c r="Q345" s="549"/>
      <c r="R345" s="549"/>
      <c r="S345" s="549"/>
      <c r="T345" s="549"/>
      <c r="U345" s="549"/>
      <c r="V345" s="549"/>
      <c r="W345" s="549"/>
      <c r="X345" s="549"/>
      <c r="Y345" s="549"/>
      <c r="Z345" s="549"/>
      <c r="AA345" s="549"/>
      <c r="AB345" s="549"/>
      <c r="AC345" s="549"/>
      <c r="AD345" s="549"/>
      <c r="AE345" s="549"/>
      <c r="AF345" s="549"/>
      <c r="AG345" s="549"/>
      <c r="AH345" s="549"/>
      <c r="AI345" s="549"/>
      <c r="AJ345" s="549"/>
      <c r="AK345" s="549"/>
      <c r="AL345" s="549"/>
      <c r="AM345" s="549"/>
      <c r="AN345" s="549"/>
      <c r="AO345" s="549"/>
      <c r="AP345" s="549"/>
      <c r="AQ345" s="549"/>
      <c r="AR345" s="549"/>
      <c r="AS345" s="549"/>
      <c r="AT345" s="549"/>
      <c r="AU345" s="549"/>
      <c r="AV345" s="549"/>
      <c r="AW345" s="549"/>
      <c r="AX345" s="549"/>
      <c r="AY345" s="549"/>
      <c r="AZ345" s="549"/>
      <c r="BA345" s="549"/>
      <c r="BB345" s="549"/>
      <c r="BC345" s="549"/>
      <c r="BD345" s="549"/>
      <c r="BE345" s="549"/>
      <c r="BF345" s="549"/>
      <c r="BG345" s="549"/>
      <c r="BH345" s="549"/>
      <c r="BI345" s="549"/>
    </row>
    <row r="346" spans="16:61" s="254" customFormat="1" ht="9.9">
      <c r="P346" s="549"/>
      <c r="Q346" s="549"/>
      <c r="R346" s="549"/>
      <c r="S346" s="549"/>
      <c r="T346" s="549"/>
      <c r="U346" s="549"/>
      <c r="V346" s="549"/>
      <c r="W346" s="549"/>
      <c r="X346" s="549"/>
      <c r="Y346" s="549"/>
      <c r="Z346" s="549"/>
      <c r="AA346" s="549"/>
      <c r="AB346" s="549"/>
      <c r="AC346" s="549"/>
      <c r="AD346" s="549"/>
      <c r="AE346" s="549"/>
      <c r="AF346" s="549"/>
      <c r="AG346" s="549"/>
      <c r="AH346" s="549"/>
      <c r="AI346" s="549"/>
      <c r="AJ346" s="549"/>
      <c r="AK346" s="549"/>
      <c r="AL346" s="549"/>
      <c r="AM346" s="549"/>
      <c r="AN346" s="549"/>
      <c r="AO346" s="549"/>
      <c r="AP346" s="549"/>
      <c r="AQ346" s="549"/>
      <c r="AR346" s="549"/>
      <c r="AS346" s="549"/>
      <c r="AT346" s="549"/>
      <c r="AU346" s="549"/>
      <c r="AV346" s="549"/>
      <c r="AW346" s="549"/>
      <c r="AX346" s="549"/>
      <c r="AY346" s="549"/>
      <c r="AZ346" s="549"/>
      <c r="BA346" s="549"/>
      <c r="BB346" s="549"/>
      <c r="BC346" s="549"/>
      <c r="BD346" s="549"/>
      <c r="BE346" s="549"/>
      <c r="BF346" s="549"/>
      <c r="BG346" s="549"/>
      <c r="BH346" s="549"/>
      <c r="BI346" s="549"/>
    </row>
    <row r="347" spans="16:61" s="254" customFormat="1" ht="9.9">
      <c r="P347" s="549"/>
      <c r="Q347" s="549"/>
      <c r="R347" s="549"/>
      <c r="S347" s="549"/>
      <c r="T347" s="549"/>
      <c r="U347" s="549"/>
      <c r="V347" s="549"/>
      <c r="W347" s="549"/>
      <c r="X347" s="549"/>
      <c r="Y347" s="549"/>
      <c r="Z347" s="549"/>
      <c r="AA347" s="549"/>
      <c r="AB347" s="549"/>
      <c r="AC347" s="549"/>
      <c r="AD347" s="549"/>
      <c r="AE347" s="549"/>
      <c r="AF347" s="549"/>
      <c r="AG347" s="549"/>
      <c r="AH347" s="549"/>
      <c r="AI347" s="549"/>
      <c r="AJ347" s="549"/>
      <c r="AK347" s="549"/>
      <c r="AL347" s="549"/>
      <c r="AM347" s="549"/>
      <c r="AN347" s="549"/>
      <c r="AO347" s="549"/>
      <c r="AP347" s="549"/>
      <c r="AQ347" s="549"/>
      <c r="AR347" s="549"/>
      <c r="AS347" s="549"/>
      <c r="AT347" s="549"/>
      <c r="AU347" s="549"/>
      <c r="AV347" s="549"/>
      <c r="AW347" s="549"/>
      <c r="AX347" s="549"/>
      <c r="AY347" s="549"/>
      <c r="AZ347" s="549"/>
      <c r="BA347" s="549"/>
      <c r="BB347" s="549"/>
      <c r="BC347" s="549"/>
      <c r="BD347" s="549"/>
      <c r="BE347" s="549"/>
      <c r="BF347" s="549"/>
      <c r="BG347" s="549"/>
      <c r="BH347" s="549"/>
      <c r="BI347" s="549"/>
    </row>
    <row r="348" spans="16:61" s="254" customFormat="1" ht="9.9">
      <c r="P348" s="549"/>
      <c r="Q348" s="549"/>
      <c r="R348" s="549"/>
      <c r="S348" s="549"/>
      <c r="T348" s="549"/>
      <c r="U348" s="549"/>
      <c r="V348" s="549"/>
      <c r="W348" s="549"/>
      <c r="X348" s="549"/>
      <c r="Y348" s="549"/>
      <c r="Z348" s="549"/>
      <c r="AA348" s="549"/>
      <c r="AB348" s="549"/>
      <c r="AC348" s="549"/>
      <c r="AD348" s="549"/>
      <c r="AE348" s="549"/>
      <c r="AF348" s="549"/>
      <c r="AG348" s="549"/>
      <c r="AH348" s="549"/>
      <c r="AI348" s="549"/>
      <c r="AJ348" s="549"/>
      <c r="AK348" s="549"/>
      <c r="AL348" s="549"/>
      <c r="AM348" s="549"/>
      <c r="AN348" s="549"/>
      <c r="AO348" s="549"/>
      <c r="AP348" s="549"/>
      <c r="AQ348" s="549"/>
      <c r="AR348" s="549"/>
      <c r="AS348" s="549"/>
      <c r="AT348" s="549"/>
      <c r="AU348" s="549"/>
      <c r="AV348" s="549"/>
      <c r="AW348" s="549"/>
      <c r="AX348" s="549"/>
      <c r="AY348" s="549"/>
      <c r="AZ348" s="549"/>
      <c r="BA348" s="549"/>
      <c r="BB348" s="549"/>
      <c r="BC348" s="549"/>
      <c r="BD348" s="549"/>
      <c r="BE348" s="549"/>
      <c r="BF348" s="549"/>
      <c r="BG348" s="549"/>
      <c r="BH348" s="549"/>
      <c r="BI348" s="549"/>
    </row>
    <row r="349" spans="16:61" s="254" customFormat="1" ht="9.9">
      <c r="P349" s="549"/>
      <c r="Q349" s="549"/>
      <c r="R349" s="549"/>
      <c r="S349" s="549"/>
      <c r="T349" s="549"/>
      <c r="U349" s="549"/>
      <c r="V349" s="549"/>
      <c r="W349" s="549"/>
      <c r="X349" s="549"/>
      <c r="Y349" s="549"/>
      <c r="Z349" s="549"/>
      <c r="AA349" s="549"/>
      <c r="AB349" s="549"/>
      <c r="AC349" s="549"/>
      <c r="AD349" s="549"/>
      <c r="AE349" s="549"/>
      <c r="AF349" s="549"/>
      <c r="AG349" s="549"/>
      <c r="AH349" s="549"/>
      <c r="AI349" s="549"/>
      <c r="AJ349" s="549"/>
      <c r="AK349" s="549"/>
      <c r="AL349" s="549"/>
      <c r="AM349" s="549"/>
      <c r="AN349" s="549"/>
      <c r="AO349" s="549"/>
      <c r="AP349" s="549"/>
      <c r="AQ349" s="549"/>
      <c r="AR349" s="549"/>
      <c r="AS349" s="549"/>
      <c r="AT349" s="549"/>
      <c r="AU349" s="549"/>
      <c r="AV349" s="549"/>
      <c r="AW349" s="549"/>
      <c r="AX349" s="549"/>
      <c r="AY349" s="549"/>
      <c r="AZ349" s="549"/>
      <c r="BA349" s="549"/>
      <c r="BB349" s="549"/>
      <c r="BC349" s="549"/>
      <c r="BD349" s="549"/>
      <c r="BE349" s="549"/>
      <c r="BF349" s="549"/>
      <c r="BG349" s="549"/>
      <c r="BH349" s="549"/>
      <c r="BI349" s="549"/>
    </row>
    <row r="350" spans="16:61" s="254" customFormat="1" ht="9.9">
      <c r="P350" s="549"/>
      <c r="Q350" s="549"/>
      <c r="R350" s="549"/>
      <c r="S350" s="549"/>
      <c r="T350" s="549"/>
      <c r="U350" s="549"/>
      <c r="V350" s="549"/>
      <c r="W350" s="549"/>
      <c r="X350" s="549"/>
      <c r="Y350" s="549"/>
      <c r="Z350" s="549"/>
      <c r="AA350" s="549"/>
      <c r="AB350" s="549"/>
      <c r="AC350" s="549"/>
      <c r="AD350" s="549"/>
      <c r="AE350" s="549"/>
      <c r="AF350" s="549"/>
      <c r="AG350" s="549"/>
      <c r="AH350" s="549"/>
      <c r="AI350" s="549"/>
      <c r="AJ350" s="549"/>
      <c r="AK350" s="549"/>
      <c r="AL350" s="549"/>
      <c r="AM350" s="549"/>
      <c r="AN350" s="549"/>
      <c r="AO350" s="549"/>
      <c r="AP350" s="549"/>
      <c r="AQ350" s="549"/>
      <c r="AR350" s="549"/>
      <c r="AS350" s="549"/>
      <c r="AT350" s="549"/>
      <c r="AU350" s="549"/>
      <c r="AV350" s="549"/>
      <c r="AW350" s="549"/>
      <c r="AX350" s="549"/>
      <c r="AY350" s="549"/>
      <c r="AZ350" s="549"/>
      <c r="BA350" s="549"/>
      <c r="BB350" s="549"/>
      <c r="BC350" s="549"/>
      <c r="BD350" s="549"/>
      <c r="BE350" s="549"/>
      <c r="BF350" s="549"/>
      <c r="BG350" s="549"/>
      <c r="BH350" s="549"/>
      <c r="BI350" s="549"/>
    </row>
    <row r="351" spans="16:61" s="254" customFormat="1" ht="9.9">
      <c r="P351" s="549"/>
      <c r="Q351" s="549"/>
      <c r="R351" s="549"/>
      <c r="S351" s="549"/>
      <c r="T351" s="549"/>
      <c r="U351" s="549"/>
      <c r="V351" s="549"/>
      <c r="W351" s="549"/>
      <c r="X351" s="549"/>
      <c r="Y351" s="549"/>
      <c r="Z351" s="549"/>
      <c r="AA351" s="549"/>
      <c r="AB351" s="549"/>
      <c r="AC351" s="549"/>
      <c r="AD351" s="549"/>
      <c r="AE351" s="549"/>
      <c r="AF351" s="549"/>
      <c r="AG351" s="549"/>
      <c r="AH351" s="549"/>
      <c r="AI351" s="549"/>
      <c r="AJ351" s="549"/>
      <c r="AK351" s="549"/>
      <c r="AL351" s="549"/>
      <c r="AM351" s="549"/>
      <c r="AN351" s="549"/>
      <c r="AO351" s="549"/>
      <c r="AP351" s="549"/>
      <c r="AQ351" s="549"/>
      <c r="AR351" s="549"/>
      <c r="AS351" s="549"/>
      <c r="AT351" s="549"/>
      <c r="AU351" s="549"/>
      <c r="AV351" s="549"/>
      <c r="AW351" s="549"/>
      <c r="AX351" s="549"/>
      <c r="AY351" s="549"/>
      <c r="AZ351" s="549"/>
      <c r="BA351" s="549"/>
      <c r="BB351" s="549"/>
      <c r="BC351" s="549"/>
      <c r="BD351" s="549"/>
      <c r="BE351" s="549"/>
      <c r="BF351" s="549"/>
      <c r="BG351" s="549"/>
      <c r="BH351" s="549"/>
      <c r="BI351" s="549"/>
    </row>
    <row r="352" spans="16:61" s="254" customFormat="1" ht="9.9">
      <c r="P352" s="549"/>
      <c r="Q352" s="549"/>
      <c r="R352" s="549"/>
      <c r="S352" s="549"/>
      <c r="T352" s="549"/>
      <c r="U352" s="549"/>
      <c r="V352" s="549"/>
      <c r="W352" s="549"/>
      <c r="X352" s="549"/>
      <c r="Y352" s="549"/>
      <c r="Z352" s="549"/>
      <c r="AA352" s="549"/>
      <c r="AB352" s="549"/>
      <c r="AC352" s="549"/>
      <c r="AD352" s="549"/>
      <c r="AE352" s="549"/>
      <c r="AF352" s="549"/>
      <c r="AG352" s="549"/>
      <c r="AH352" s="549"/>
      <c r="AI352" s="549"/>
      <c r="AJ352" s="549"/>
      <c r="AK352" s="549"/>
      <c r="AL352" s="549"/>
      <c r="AM352" s="549"/>
      <c r="AN352" s="549"/>
      <c r="AO352" s="549"/>
      <c r="AP352" s="549"/>
      <c r="AQ352" s="549"/>
      <c r="AR352" s="549"/>
      <c r="AS352" s="549"/>
      <c r="AT352" s="549"/>
      <c r="AU352" s="549"/>
      <c r="AV352" s="549"/>
      <c r="AW352" s="549"/>
      <c r="AX352" s="549"/>
      <c r="AY352" s="549"/>
      <c r="AZ352" s="549"/>
      <c r="BA352" s="549"/>
      <c r="BB352" s="549"/>
      <c r="BC352" s="549"/>
      <c r="BD352" s="549"/>
      <c r="BE352" s="549"/>
      <c r="BF352" s="549"/>
      <c r="BG352" s="549"/>
      <c r="BH352" s="549"/>
      <c r="BI352" s="549"/>
    </row>
    <row r="353" spans="16:61" s="254" customFormat="1" ht="9.9">
      <c r="P353" s="549"/>
      <c r="Q353" s="549"/>
      <c r="R353" s="549"/>
      <c r="S353" s="549"/>
      <c r="T353" s="549"/>
      <c r="U353" s="549"/>
      <c r="V353" s="549"/>
      <c r="W353" s="549"/>
      <c r="X353" s="549"/>
      <c r="Y353" s="549"/>
      <c r="Z353" s="549"/>
      <c r="AA353" s="549"/>
      <c r="AB353" s="549"/>
      <c r="AC353" s="549"/>
      <c r="AD353" s="549"/>
      <c r="AE353" s="549"/>
      <c r="AF353" s="549"/>
      <c r="AG353" s="549"/>
      <c r="AH353" s="549"/>
      <c r="AI353" s="549"/>
      <c r="AJ353" s="549"/>
      <c r="AK353" s="549"/>
      <c r="AL353" s="549"/>
      <c r="AM353" s="549"/>
      <c r="AN353" s="549"/>
      <c r="AO353" s="549"/>
      <c r="AP353" s="549"/>
      <c r="AQ353" s="549"/>
      <c r="AR353" s="549"/>
      <c r="AS353" s="549"/>
      <c r="AT353" s="549"/>
      <c r="AU353" s="549"/>
      <c r="AV353" s="549"/>
      <c r="AW353" s="549"/>
      <c r="AX353" s="549"/>
      <c r="AY353" s="549"/>
      <c r="AZ353" s="549"/>
      <c r="BA353" s="549"/>
      <c r="BB353" s="549"/>
      <c r="BC353" s="549"/>
      <c r="BD353" s="549"/>
      <c r="BE353" s="549"/>
      <c r="BF353" s="549"/>
      <c r="BG353" s="549"/>
      <c r="BH353" s="549"/>
      <c r="BI353" s="549"/>
    </row>
    <row r="354" spans="16:61" s="254" customFormat="1" ht="9.9">
      <c r="P354" s="549"/>
      <c r="Q354" s="549"/>
      <c r="R354" s="549"/>
      <c r="S354" s="549"/>
      <c r="T354" s="549"/>
      <c r="U354" s="549"/>
      <c r="V354" s="549"/>
      <c r="W354" s="549"/>
      <c r="X354" s="549"/>
      <c r="Y354" s="549"/>
      <c r="Z354" s="549"/>
      <c r="AA354" s="549"/>
      <c r="AB354" s="549"/>
      <c r="AC354" s="549"/>
      <c r="AD354" s="549"/>
      <c r="AE354" s="549"/>
      <c r="AF354" s="549"/>
      <c r="AG354" s="549"/>
      <c r="AH354" s="549"/>
      <c r="AI354" s="549"/>
      <c r="AJ354" s="549"/>
      <c r="AK354" s="549"/>
      <c r="AL354" s="549"/>
      <c r="AM354" s="549"/>
      <c r="AN354" s="549"/>
      <c r="AO354" s="549"/>
      <c r="AP354" s="549"/>
      <c r="AQ354" s="549"/>
      <c r="AR354" s="549"/>
      <c r="AS354" s="549"/>
      <c r="AT354" s="549"/>
      <c r="AU354" s="549"/>
      <c r="AV354" s="549"/>
      <c r="AW354" s="549"/>
      <c r="AX354" s="549"/>
      <c r="AY354" s="549"/>
      <c r="AZ354" s="549"/>
      <c r="BA354" s="549"/>
      <c r="BB354" s="549"/>
      <c r="BC354" s="549"/>
      <c r="BD354" s="549"/>
      <c r="BE354" s="549"/>
      <c r="BF354" s="549"/>
      <c r="BG354" s="549"/>
      <c r="BH354" s="549"/>
      <c r="BI354" s="549"/>
    </row>
    <row r="355" spans="16:61" s="254" customFormat="1" ht="9.9">
      <c r="P355" s="549"/>
      <c r="Q355" s="549"/>
      <c r="R355" s="549"/>
      <c r="S355" s="549"/>
      <c r="T355" s="549"/>
      <c r="U355" s="549"/>
      <c r="V355" s="549"/>
      <c r="W355" s="549"/>
      <c r="X355" s="549"/>
      <c r="Y355" s="549"/>
      <c r="Z355" s="549"/>
      <c r="AA355" s="549"/>
      <c r="AB355" s="549"/>
      <c r="AC355" s="549"/>
      <c r="AD355" s="549"/>
      <c r="AE355" s="549"/>
      <c r="AF355" s="549"/>
      <c r="AG355" s="549"/>
      <c r="AH355" s="549"/>
      <c r="AI355" s="549"/>
      <c r="AJ355" s="549"/>
      <c r="AK355" s="549"/>
      <c r="AL355" s="549"/>
      <c r="AM355" s="549"/>
      <c r="AN355" s="549"/>
      <c r="AO355" s="549"/>
      <c r="AP355" s="549"/>
      <c r="AQ355" s="549"/>
      <c r="AR355" s="549"/>
      <c r="AS355" s="549"/>
      <c r="AT355" s="549"/>
      <c r="AU355" s="549"/>
      <c r="AV355" s="549"/>
      <c r="AW355" s="549"/>
      <c r="AX355" s="549"/>
      <c r="AY355" s="549"/>
      <c r="AZ355" s="549"/>
      <c r="BA355" s="549"/>
      <c r="BB355" s="549"/>
      <c r="BC355" s="549"/>
      <c r="BD355" s="549"/>
      <c r="BE355" s="549"/>
      <c r="BF355" s="549"/>
      <c r="BG355" s="549"/>
      <c r="BH355" s="549"/>
      <c r="BI355" s="549"/>
    </row>
    <row r="356" spans="16:61" s="254" customFormat="1" ht="9.9">
      <c r="P356" s="549"/>
      <c r="Q356" s="549"/>
      <c r="R356" s="549"/>
      <c r="S356" s="549"/>
      <c r="T356" s="549"/>
      <c r="U356" s="549"/>
      <c r="V356" s="549"/>
      <c r="W356" s="549"/>
      <c r="X356" s="549"/>
      <c r="Y356" s="549"/>
      <c r="Z356" s="549"/>
      <c r="AA356" s="549"/>
      <c r="AB356" s="549"/>
      <c r="AC356" s="549"/>
      <c r="AD356" s="549"/>
      <c r="AE356" s="549"/>
      <c r="AF356" s="549"/>
      <c r="AG356" s="549"/>
      <c r="AH356" s="549"/>
      <c r="AI356" s="549"/>
      <c r="AJ356" s="549"/>
      <c r="AK356" s="549"/>
      <c r="AL356" s="549"/>
      <c r="AM356" s="549"/>
      <c r="AN356" s="549"/>
      <c r="AO356" s="549"/>
      <c r="AP356" s="549"/>
      <c r="AQ356" s="549"/>
      <c r="AR356" s="549"/>
      <c r="AS356" s="549"/>
      <c r="AT356" s="549"/>
      <c r="AU356" s="549"/>
      <c r="AV356" s="549"/>
      <c r="AW356" s="549"/>
      <c r="AX356" s="549"/>
      <c r="AY356" s="549"/>
      <c r="AZ356" s="549"/>
      <c r="BA356" s="549"/>
      <c r="BB356" s="549"/>
      <c r="BC356" s="549"/>
      <c r="BD356" s="549"/>
      <c r="BE356" s="549"/>
      <c r="BF356" s="549"/>
      <c r="BG356" s="549"/>
      <c r="BH356" s="549"/>
      <c r="BI356" s="549"/>
    </row>
    <row r="357" spans="16:61" s="254" customFormat="1" ht="9.9">
      <c r="P357" s="549"/>
      <c r="Q357" s="549"/>
      <c r="R357" s="549"/>
      <c r="S357" s="549"/>
      <c r="T357" s="549"/>
      <c r="U357" s="549"/>
      <c r="V357" s="549"/>
      <c r="W357" s="549"/>
      <c r="X357" s="549"/>
      <c r="Y357" s="549"/>
      <c r="Z357" s="549"/>
      <c r="AA357" s="549"/>
      <c r="AB357" s="549"/>
      <c r="AC357" s="549"/>
      <c r="AD357" s="549"/>
      <c r="AE357" s="549"/>
      <c r="AF357" s="549"/>
      <c r="AG357" s="549"/>
      <c r="AH357" s="549"/>
      <c r="AI357" s="549"/>
      <c r="AJ357" s="549"/>
      <c r="AK357" s="549"/>
      <c r="AL357" s="549"/>
      <c r="AM357" s="549"/>
      <c r="AN357" s="549"/>
      <c r="AO357" s="549"/>
      <c r="AP357" s="549"/>
      <c r="AQ357" s="549"/>
      <c r="AR357" s="549"/>
      <c r="AS357" s="549"/>
      <c r="AT357" s="549"/>
      <c r="AU357" s="549"/>
      <c r="AV357" s="549"/>
      <c r="AW357" s="549"/>
      <c r="AX357" s="549"/>
      <c r="AY357" s="549"/>
      <c r="AZ357" s="549"/>
      <c r="BA357" s="549"/>
      <c r="BB357" s="549"/>
      <c r="BC357" s="549"/>
      <c r="BD357" s="549"/>
      <c r="BE357" s="549"/>
      <c r="BF357" s="549"/>
      <c r="BG357" s="549"/>
      <c r="BH357" s="549"/>
      <c r="BI357" s="549"/>
    </row>
    <row r="358" spans="16:61" s="254" customFormat="1" ht="9.9">
      <c r="P358" s="549"/>
      <c r="Q358" s="549"/>
      <c r="R358" s="549"/>
      <c r="S358" s="549"/>
      <c r="T358" s="549"/>
      <c r="U358" s="549"/>
      <c r="V358" s="549"/>
      <c r="W358" s="549"/>
      <c r="X358" s="549"/>
      <c r="Y358" s="549"/>
      <c r="Z358" s="549"/>
      <c r="AA358" s="549"/>
      <c r="AB358" s="549"/>
      <c r="AC358" s="549"/>
      <c r="AD358" s="549"/>
      <c r="AE358" s="549"/>
      <c r="AF358" s="549"/>
      <c r="AG358" s="549"/>
      <c r="AH358" s="549"/>
      <c r="AI358" s="549"/>
      <c r="AJ358" s="549"/>
      <c r="AK358" s="549"/>
      <c r="AL358" s="549"/>
      <c r="AM358" s="549"/>
      <c r="AN358" s="549"/>
      <c r="AO358" s="549"/>
      <c r="AP358" s="549"/>
      <c r="AQ358" s="549"/>
      <c r="AR358" s="549"/>
      <c r="AS358" s="549"/>
      <c r="AT358" s="549"/>
      <c r="AU358" s="549"/>
      <c r="AV358" s="549"/>
      <c r="AW358" s="549"/>
      <c r="AX358" s="549"/>
      <c r="AY358" s="549"/>
      <c r="AZ358" s="549"/>
      <c r="BA358" s="549"/>
      <c r="BB358" s="549"/>
      <c r="BC358" s="549"/>
      <c r="BD358" s="549"/>
      <c r="BE358" s="549"/>
      <c r="BF358" s="549"/>
      <c r="BG358" s="549"/>
      <c r="BH358" s="549"/>
      <c r="BI358" s="549"/>
    </row>
    <row r="359" spans="16:61" s="254" customFormat="1" ht="9.9">
      <c r="P359" s="549"/>
      <c r="Q359" s="549"/>
      <c r="R359" s="549"/>
      <c r="S359" s="549"/>
      <c r="T359" s="549"/>
      <c r="U359" s="549"/>
      <c r="V359" s="549"/>
      <c r="W359" s="549"/>
      <c r="X359" s="549"/>
      <c r="Y359" s="549"/>
      <c r="Z359" s="549"/>
      <c r="AA359" s="549"/>
      <c r="AB359" s="549"/>
      <c r="AC359" s="549"/>
      <c r="AD359" s="549"/>
      <c r="AE359" s="549"/>
      <c r="AF359" s="549"/>
      <c r="AG359" s="549"/>
      <c r="AH359" s="549"/>
      <c r="AI359" s="549"/>
      <c r="AJ359" s="549"/>
      <c r="AK359" s="549"/>
      <c r="AL359" s="549"/>
      <c r="AM359" s="549"/>
      <c r="AN359" s="549"/>
      <c r="AO359" s="549"/>
      <c r="AP359" s="549"/>
      <c r="AQ359" s="549"/>
      <c r="AR359" s="549"/>
      <c r="AS359" s="549"/>
      <c r="AT359" s="549"/>
      <c r="AU359" s="549"/>
      <c r="AV359" s="549"/>
      <c r="AW359" s="549"/>
      <c r="AX359" s="549"/>
      <c r="AY359" s="549"/>
      <c r="AZ359" s="549"/>
      <c r="BA359" s="549"/>
      <c r="BB359" s="549"/>
      <c r="BC359" s="549"/>
      <c r="BD359" s="549"/>
      <c r="BE359" s="549"/>
      <c r="BF359" s="549"/>
      <c r="BG359" s="549"/>
      <c r="BH359" s="549"/>
      <c r="BI359" s="549"/>
    </row>
    <row r="360" spans="16:61" s="254" customFormat="1" ht="9.9">
      <c r="P360" s="549"/>
      <c r="Q360" s="549"/>
      <c r="R360" s="549"/>
      <c r="S360" s="549"/>
      <c r="T360" s="549"/>
      <c r="U360" s="549"/>
      <c r="V360" s="549"/>
      <c r="W360" s="549"/>
      <c r="X360" s="549"/>
      <c r="Y360" s="549"/>
      <c r="Z360" s="549"/>
      <c r="AA360" s="549"/>
      <c r="AB360" s="549"/>
      <c r="AC360" s="549"/>
      <c r="AD360" s="549"/>
      <c r="AE360" s="549"/>
      <c r="AF360" s="549"/>
      <c r="AG360" s="549"/>
      <c r="AH360" s="549"/>
      <c r="AI360" s="549"/>
      <c r="AJ360" s="549"/>
      <c r="AK360" s="549"/>
      <c r="AL360" s="549"/>
      <c r="AM360" s="549"/>
      <c r="AN360" s="549"/>
      <c r="AO360" s="549"/>
      <c r="AP360" s="549"/>
      <c r="AQ360" s="549"/>
      <c r="AR360" s="549"/>
      <c r="AS360" s="549"/>
      <c r="AT360" s="549"/>
      <c r="AU360" s="549"/>
      <c r="AV360" s="549"/>
      <c r="AW360" s="549"/>
      <c r="AX360" s="549"/>
      <c r="AY360" s="549"/>
      <c r="AZ360" s="549"/>
      <c r="BA360" s="549"/>
      <c r="BB360" s="549"/>
      <c r="BC360" s="549"/>
      <c r="BD360" s="549"/>
      <c r="BE360" s="549"/>
      <c r="BF360" s="549"/>
      <c r="BG360" s="549"/>
      <c r="BH360" s="549"/>
      <c r="BI360" s="549"/>
    </row>
    <row r="361" spans="16:61" s="254" customFormat="1" ht="9.9">
      <c r="P361" s="549"/>
      <c r="Q361" s="549"/>
      <c r="R361" s="549"/>
      <c r="S361" s="549"/>
      <c r="T361" s="549"/>
      <c r="U361" s="549"/>
      <c r="V361" s="549"/>
      <c r="W361" s="549"/>
      <c r="X361" s="549"/>
      <c r="Y361" s="549"/>
      <c r="Z361" s="549"/>
      <c r="AA361" s="549"/>
      <c r="AB361" s="549"/>
      <c r="AC361" s="549"/>
      <c r="AD361" s="549"/>
      <c r="AE361" s="549"/>
      <c r="AF361" s="549"/>
      <c r="AG361" s="549"/>
      <c r="AH361" s="549"/>
      <c r="AI361" s="549"/>
      <c r="AJ361" s="549"/>
      <c r="AK361" s="549"/>
      <c r="AL361" s="549"/>
      <c r="AM361" s="549"/>
      <c r="AN361" s="549"/>
      <c r="AO361" s="549"/>
      <c r="AP361" s="549"/>
      <c r="AQ361" s="549"/>
      <c r="AR361" s="549"/>
      <c r="AS361" s="549"/>
      <c r="AT361" s="549"/>
      <c r="AU361" s="549"/>
      <c r="AV361" s="549"/>
      <c r="AW361" s="549"/>
      <c r="AX361" s="549"/>
      <c r="AY361" s="549"/>
      <c r="AZ361" s="549"/>
      <c r="BA361" s="549"/>
      <c r="BB361" s="549"/>
      <c r="BC361" s="549"/>
      <c r="BD361" s="549"/>
      <c r="BE361" s="549"/>
      <c r="BF361" s="549"/>
      <c r="BG361" s="549"/>
      <c r="BH361" s="549"/>
      <c r="BI361" s="549"/>
    </row>
    <row r="362" spans="16:61" s="254" customFormat="1" ht="9.9">
      <c r="P362" s="549"/>
      <c r="Q362" s="549"/>
      <c r="R362" s="549"/>
      <c r="S362" s="549"/>
      <c r="T362" s="549"/>
      <c r="U362" s="549"/>
      <c r="V362" s="549"/>
      <c r="W362" s="549"/>
      <c r="X362" s="549"/>
      <c r="Y362" s="549"/>
      <c r="Z362" s="549"/>
      <c r="AA362" s="549"/>
      <c r="AB362" s="549"/>
      <c r="AC362" s="549"/>
      <c r="AD362" s="549"/>
      <c r="AE362" s="549"/>
      <c r="AF362" s="549"/>
      <c r="AG362" s="549"/>
      <c r="AH362" s="549"/>
      <c r="AI362" s="549"/>
      <c r="AJ362" s="549"/>
      <c r="AK362" s="549"/>
      <c r="AL362" s="549"/>
      <c r="AM362" s="549"/>
      <c r="AN362" s="549"/>
      <c r="AO362" s="549"/>
      <c r="AP362" s="549"/>
      <c r="AQ362" s="549"/>
      <c r="AR362" s="549"/>
      <c r="AS362" s="549"/>
      <c r="AT362" s="549"/>
      <c r="AU362" s="549"/>
      <c r="AV362" s="549"/>
      <c r="AW362" s="549"/>
      <c r="AX362" s="549"/>
      <c r="AY362" s="549"/>
      <c r="AZ362" s="549"/>
      <c r="BA362" s="549"/>
      <c r="BB362" s="549"/>
      <c r="BC362" s="549"/>
      <c r="BD362" s="549"/>
      <c r="BE362" s="549"/>
      <c r="BF362" s="549"/>
      <c r="BG362" s="549"/>
      <c r="BH362" s="549"/>
      <c r="BI362" s="549"/>
    </row>
    <row r="363" spans="16:61" s="254" customFormat="1" ht="9.9">
      <c r="P363" s="549"/>
      <c r="Q363" s="549"/>
      <c r="R363" s="549"/>
      <c r="S363" s="549"/>
      <c r="T363" s="549"/>
      <c r="U363" s="549"/>
      <c r="V363" s="549"/>
      <c r="W363" s="549"/>
      <c r="X363" s="549"/>
      <c r="Y363" s="549"/>
      <c r="Z363" s="549"/>
      <c r="AA363" s="549"/>
      <c r="AB363" s="549"/>
      <c r="AC363" s="549"/>
      <c r="AD363" s="549"/>
      <c r="AE363" s="549"/>
      <c r="AF363" s="549"/>
      <c r="AG363" s="549"/>
      <c r="AH363" s="549"/>
      <c r="AI363" s="549"/>
      <c r="AJ363" s="549"/>
      <c r="AK363" s="549"/>
      <c r="AL363" s="549"/>
      <c r="AM363" s="549"/>
      <c r="AN363" s="549"/>
      <c r="AO363" s="549"/>
      <c r="AP363" s="549"/>
      <c r="AQ363" s="549"/>
      <c r="AR363" s="549"/>
      <c r="AS363" s="549"/>
      <c r="AT363" s="549"/>
      <c r="AU363" s="549"/>
      <c r="AV363" s="549"/>
      <c r="AW363" s="549"/>
      <c r="AX363" s="549"/>
      <c r="AY363" s="549"/>
      <c r="AZ363" s="549"/>
      <c r="BA363" s="549"/>
      <c r="BB363" s="549"/>
      <c r="BC363" s="549"/>
      <c r="BD363" s="549"/>
      <c r="BE363" s="549"/>
      <c r="BF363" s="549"/>
      <c r="BG363" s="549"/>
      <c r="BH363" s="549"/>
      <c r="BI363" s="549"/>
    </row>
    <row r="364" spans="16:61" s="254" customFormat="1" ht="9.9">
      <c r="P364" s="549"/>
      <c r="Q364" s="549"/>
      <c r="R364" s="549"/>
      <c r="S364" s="549"/>
      <c r="T364" s="549"/>
      <c r="U364" s="549"/>
      <c r="V364" s="549"/>
      <c r="W364" s="549"/>
      <c r="X364" s="549"/>
      <c r="Y364" s="549"/>
      <c r="Z364" s="549"/>
      <c r="AA364" s="549"/>
      <c r="AB364" s="549"/>
      <c r="AC364" s="549"/>
      <c r="AD364" s="549"/>
      <c r="AE364" s="549"/>
      <c r="AF364" s="549"/>
      <c r="AG364" s="549"/>
      <c r="AH364" s="549"/>
      <c r="AI364" s="549"/>
      <c r="AJ364" s="549"/>
      <c r="AK364" s="549"/>
      <c r="AL364" s="549"/>
      <c r="AM364" s="549"/>
      <c r="AN364" s="549"/>
      <c r="AO364" s="549"/>
      <c r="AP364" s="549"/>
      <c r="AQ364" s="549"/>
      <c r="AR364" s="549"/>
      <c r="AS364" s="549"/>
      <c r="AT364" s="549"/>
      <c r="AU364" s="549"/>
      <c r="AV364" s="549"/>
      <c r="AW364" s="549"/>
      <c r="AX364" s="549"/>
      <c r="AY364" s="549"/>
      <c r="AZ364" s="549"/>
      <c r="BA364" s="549"/>
      <c r="BB364" s="549"/>
      <c r="BC364" s="549"/>
      <c r="BD364" s="549"/>
      <c r="BE364" s="549"/>
      <c r="BF364" s="549"/>
      <c r="BG364" s="549"/>
      <c r="BH364" s="549"/>
      <c r="BI364" s="549"/>
    </row>
    <row r="365" spans="16:61" s="254" customFormat="1" ht="9.9">
      <c r="P365" s="549"/>
      <c r="Q365" s="549"/>
      <c r="R365" s="549"/>
      <c r="S365" s="549"/>
      <c r="T365" s="549"/>
      <c r="U365" s="549"/>
      <c r="V365" s="549"/>
      <c r="W365" s="549"/>
      <c r="X365" s="549"/>
      <c r="Y365" s="549"/>
      <c r="Z365" s="549"/>
      <c r="AA365" s="549"/>
      <c r="AB365" s="549"/>
      <c r="AC365" s="549"/>
      <c r="AD365" s="549"/>
      <c r="AE365" s="549"/>
      <c r="AF365" s="549"/>
      <c r="AG365" s="549"/>
      <c r="AH365" s="549"/>
      <c r="AI365" s="549"/>
      <c r="AJ365" s="549"/>
      <c r="AK365" s="549"/>
      <c r="AL365" s="549"/>
      <c r="AM365" s="549"/>
      <c r="AN365" s="549"/>
      <c r="AO365" s="549"/>
      <c r="AP365" s="549"/>
      <c r="AQ365" s="549"/>
      <c r="AR365" s="549"/>
      <c r="AS365" s="549"/>
      <c r="AT365" s="549"/>
      <c r="AU365" s="549"/>
      <c r="AV365" s="549"/>
      <c r="AW365" s="549"/>
      <c r="AX365" s="549"/>
      <c r="AY365" s="549"/>
      <c r="AZ365" s="549"/>
      <c r="BA365" s="549"/>
      <c r="BB365" s="549"/>
      <c r="BC365" s="549"/>
      <c r="BD365" s="549"/>
      <c r="BE365" s="549"/>
      <c r="BF365" s="549"/>
      <c r="BG365" s="549"/>
      <c r="BH365" s="549"/>
      <c r="BI365" s="549"/>
    </row>
    <row r="366" spans="16:61" s="254" customFormat="1" ht="9.9">
      <c r="P366" s="549"/>
      <c r="Q366" s="549"/>
      <c r="R366" s="549"/>
      <c r="S366" s="549"/>
      <c r="T366" s="549"/>
      <c r="U366" s="549"/>
      <c r="V366" s="549"/>
      <c r="W366" s="549"/>
      <c r="X366" s="549"/>
      <c r="Y366" s="549"/>
      <c r="Z366" s="549"/>
      <c r="AA366" s="549"/>
      <c r="AB366" s="549"/>
      <c r="AC366" s="549"/>
      <c r="AD366" s="549"/>
      <c r="AE366" s="549"/>
      <c r="AF366" s="549"/>
      <c r="AG366" s="549"/>
      <c r="AH366" s="549"/>
      <c r="AI366" s="549"/>
      <c r="AJ366" s="549"/>
      <c r="AK366" s="549"/>
      <c r="AL366" s="549"/>
      <c r="AM366" s="549"/>
      <c r="AN366" s="549"/>
      <c r="AO366" s="549"/>
      <c r="AP366" s="549"/>
      <c r="AQ366" s="549"/>
      <c r="AR366" s="549"/>
      <c r="AS366" s="549"/>
      <c r="AT366" s="549"/>
      <c r="AU366" s="549"/>
      <c r="AV366" s="549"/>
      <c r="AW366" s="549"/>
      <c r="AX366" s="549"/>
      <c r="AY366" s="549"/>
      <c r="AZ366" s="549"/>
      <c r="BA366" s="549"/>
      <c r="BB366" s="549"/>
      <c r="BC366" s="549"/>
      <c r="BD366" s="549"/>
      <c r="BE366" s="549"/>
      <c r="BF366" s="549"/>
      <c r="BG366" s="549"/>
      <c r="BH366" s="549"/>
      <c r="BI366" s="549"/>
    </row>
    <row r="367" spans="16:61" s="254" customFormat="1" ht="9.9">
      <c r="P367" s="549"/>
      <c r="Q367" s="549"/>
      <c r="R367" s="549"/>
      <c r="S367" s="549"/>
      <c r="T367" s="549"/>
      <c r="U367" s="549"/>
      <c r="V367" s="549"/>
      <c r="W367" s="549"/>
      <c r="X367" s="549"/>
      <c r="Y367" s="549"/>
      <c r="Z367" s="549"/>
      <c r="AA367" s="549"/>
      <c r="AB367" s="549"/>
      <c r="AC367" s="549"/>
      <c r="AD367" s="549"/>
      <c r="AE367" s="549"/>
      <c r="AF367" s="549"/>
      <c r="AG367" s="549"/>
      <c r="AH367" s="549"/>
      <c r="AI367" s="549"/>
      <c r="AJ367" s="549"/>
      <c r="AK367" s="549"/>
      <c r="AL367" s="549"/>
      <c r="AM367" s="549"/>
      <c r="AN367" s="549"/>
      <c r="AO367" s="549"/>
      <c r="AP367" s="549"/>
      <c r="AQ367" s="549"/>
      <c r="AR367" s="549"/>
      <c r="AS367" s="549"/>
      <c r="AT367" s="549"/>
      <c r="AU367" s="549"/>
      <c r="AV367" s="549"/>
      <c r="AW367" s="549"/>
      <c r="AX367" s="549"/>
      <c r="AY367" s="549"/>
      <c r="AZ367" s="549"/>
      <c r="BA367" s="549"/>
      <c r="BB367" s="549"/>
      <c r="BC367" s="549"/>
      <c r="BD367" s="549"/>
      <c r="BE367" s="549"/>
      <c r="BF367" s="549"/>
      <c r="BG367" s="549"/>
      <c r="BH367" s="549"/>
      <c r="BI367" s="549"/>
    </row>
    <row r="368" spans="16:61" s="254" customFormat="1" ht="9.9">
      <c r="P368" s="549"/>
      <c r="Q368" s="549"/>
      <c r="R368" s="549"/>
      <c r="S368" s="549"/>
      <c r="T368" s="549"/>
      <c r="U368" s="549"/>
      <c r="V368" s="549"/>
      <c r="W368" s="549"/>
      <c r="X368" s="549"/>
      <c r="Y368" s="549"/>
      <c r="Z368" s="549"/>
      <c r="AA368" s="549"/>
      <c r="AB368" s="549"/>
      <c r="AC368" s="549"/>
      <c r="AD368" s="549"/>
      <c r="AE368" s="549"/>
      <c r="AF368" s="549"/>
      <c r="AG368" s="549"/>
      <c r="AH368" s="549"/>
      <c r="AI368" s="549"/>
      <c r="AJ368" s="549"/>
      <c r="AK368" s="549"/>
      <c r="AL368" s="549"/>
      <c r="AM368" s="549"/>
      <c r="AN368" s="549"/>
      <c r="AO368" s="549"/>
      <c r="AP368" s="549"/>
      <c r="AQ368" s="549"/>
      <c r="AR368" s="549"/>
      <c r="AS368" s="549"/>
      <c r="AT368" s="549"/>
      <c r="AU368" s="549"/>
      <c r="AV368" s="549"/>
      <c r="AW368" s="549"/>
      <c r="AX368" s="549"/>
      <c r="AY368" s="549"/>
      <c r="AZ368" s="549"/>
      <c r="BA368" s="549"/>
      <c r="BB368" s="549"/>
      <c r="BC368" s="549"/>
      <c r="BD368" s="549"/>
      <c r="BE368" s="549"/>
      <c r="BF368" s="549"/>
      <c r="BG368" s="549"/>
      <c r="BH368" s="549"/>
      <c r="BI368" s="549"/>
    </row>
    <row r="369" spans="16:61" s="254" customFormat="1" ht="9.9">
      <c r="P369" s="549"/>
      <c r="Q369" s="549"/>
      <c r="R369" s="549"/>
      <c r="S369" s="549"/>
      <c r="T369" s="549"/>
      <c r="U369" s="549"/>
      <c r="V369" s="549"/>
      <c r="W369" s="549"/>
      <c r="X369" s="549"/>
      <c r="Y369" s="549"/>
      <c r="Z369" s="549"/>
      <c r="AA369" s="549"/>
      <c r="AB369" s="549"/>
      <c r="AC369" s="549"/>
      <c r="AD369" s="549"/>
      <c r="AE369" s="549"/>
      <c r="AF369" s="549"/>
      <c r="AG369" s="549"/>
      <c r="AH369" s="549"/>
      <c r="AI369" s="549"/>
      <c r="AJ369" s="549"/>
      <c r="AK369" s="549"/>
      <c r="AL369" s="549"/>
      <c r="AM369" s="549"/>
      <c r="AN369" s="549"/>
      <c r="AO369" s="549"/>
      <c r="AP369" s="549"/>
      <c r="AQ369" s="549"/>
      <c r="AR369" s="549"/>
      <c r="AS369" s="549"/>
      <c r="AT369" s="549"/>
      <c r="AU369" s="549"/>
      <c r="AV369" s="549"/>
      <c r="AW369" s="549"/>
      <c r="AX369" s="549"/>
      <c r="AY369" s="549"/>
      <c r="AZ369" s="549"/>
      <c r="BA369" s="549"/>
      <c r="BB369" s="549"/>
      <c r="BC369" s="549"/>
      <c r="BD369" s="549"/>
      <c r="BE369" s="549"/>
      <c r="BF369" s="549"/>
      <c r="BG369" s="549"/>
      <c r="BH369" s="549"/>
      <c r="BI369" s="549"/>
    </row>
    <row r="370" spans="16:61" s="254" customFormat="1" ht="9.9">
      <c r="P370" s="549"/>
      <c r="Q370" s="549"/>
      <c r="R370" s="549"/>
      <c r="S370" s="549"/>
      <c r="T370" s="549"/>
      <c r="U370" s="549"/>
      <c r="V370" s="549"/>
      <c r="W370" s="549"/>
      <c r="X370" s="549"/>
      <c r="Y370" s="549"/>
      <c r="Z370" s="549"/>
      <c r="AA370" s="549"/>
      <c r="AB370" s="549"/>
      <c r="AC370" s="549"/>
      <c r="AD370" s="549"/>
      <c r="AE370" s="549"/>
      <c r="AF370" s="549"/>
      <c r="AG370" s="549"/>
      <c r="AH370" s="549"/>
      <c r="AI370" s="549"/>
      <c r="AJ370" s="549"/>
      <c r="AK370" s="549"/>
      <c r="AL370" s="549"/>
      <c r="AM370" s="549"/>
      <c r="AN370" s="549"/>
      <c r="AO370" s="549"/>
      <c r="AP370" s="549"/>
      <c r="AQ370" s="549"/>
      <c r="AR370" s="549"/>
      <c r="AS370" s="549"/>
      <c r="AT370" s="549"/>
      <c r="AU370" s="549"/>
      <c r="AV370" s="549"/>
      <c r="AW370" s="549"/>
      <c r="AX370" s="549"/>
      <c r="AY370" s="549"/>
      <c r="AZ370" s="549"/>
      <c r="BA370" s="549"/>
      <c r="BB370" s="549"/>
      <c r="BC370" s="549"/>
      <c r="BD370" s="549"/>
      <c r="BE370" s="549"/>
      <c r="BF370" s="549"/>
      <c r="BG370" s="549"/>
      <c r="BH370" s="549"/>
      <c r="BI370" s="549"/>
    </row>
    <row r="371" spans="16:61" s="254" customFormat="1" ht="9.9">
      <c r="P371" s="549"/>
      <c r="Q371" s="549"/>
      <c r="R371" s="549"/>
      <c r="S371" s="549"/>
      <c r="T371" s="549"/>
      <c r="U371" s="549"/>
      <c r="V371" s="549"/>
      <c r="W371" s="549"/>
      <c r="X371" s="549"/>
      <c r="Y371" s="549"/>
      <c r="Z371" s="549"/>
      <c r="AA371" s="549"/>
      <c r="AB371" s="549"/>
      <c r="AC371" s="549"/>
      <c r="AD371" s="549"/>
      <c r="AE371" s="549"/>
      <c r="AF371" s="549"/>
      <c r="AG371" s="549"/>
      <c r="AH371" s="549"/>
      <c r="AI371" s="549"/>
      <c r="AJ371" s="549"/>
      <c r="AK371" s="549"/>
      <c r="AL371" s="549"/>
      <c r="AM371" s="549"/>
      <c r="AN371" s="549"/>
      <c r="AO371" s="549"/>
      <c r="AP371" s="549"/>
      <c r="AQ371" s="549"/>
      <c r="AR371" s="549"/>
      <c r="AS371" s="549"/>
      <c r="AT371" s="549"/>
      <c r="AU371" s="549"/>
      <c r="AV371" s="549"/>
      <c r="AW371" s="549"/>
      <c r="AX371" s="549"/>
      <c r="AY371" s="549"/>
      <c r="AZ371" s="549"/>
      <c r="BA371" s="549"/>
      <c r="BB371" s="549"/>
      <c r="BC371" s="549"/>
      <c r="BD371" s="549"/>
      <c r="BE371" s="549"/>
      <c r="BF371" s="549"/>
      <c r="BG371" s="549"/>
      <c r="BH371" s="549"/>
      <c r="BI371" s="549"/>
    </row>
    <row r="372" spans="16:61" s="254" customFormat="1" ht="9.9">
      <c r="P372" s="549"/>
      <c r="Q372" s="549"/>
      <c r="R372" s="549"/>
      <c r="S372" s="549"/>
      <c r="T372" s="549"/>
      <c r="U372" s="549"/>
      <c r="V372" s="549"/>
      <c r="W372" s="549"/>
      <c r="X372" s="549"/>
      <c r="Y372" s="549"/>
      <c r="Z372" s="549"/>
      <c r="AA372" s="549"/>
      <c r="AB372" s="549"/>
      <c r="AC372" s="549"/>
      <c r="AD372" s="549"/>
      <c r="AE372" s="549"/>
      <c r="AF372" s="549"/>
      <c r="AG372" s="549"/>
      <c r="AH372" s="549"/>
      <c r="AI372" s="549"/>
      <c r="AJ372" s="549"/>
      <c r="AK372" s="549"/>
      <c r="AL372" s="549"/>
      <c r="AM372" s="549"/>
      <c r="AN372" s="549"/>
      <c r="AO372" s="549"/>
      <c r="AP372" s="549"/>
      <c r="AQ372" s="549"/>
      <c r="AR372" s="549"/>
      <c r="AS372" s="549"/>
      <c r="AT372" s="549"/>
      <c r="AU372" s="549"/>
      <c r="AV372" s="549"/>
      <c r="AW372" s="549"/>
      <c r="AX372" s="549"/>
      <c r="AY372" s="549"/>
      <c r="AZ372" s="549"/>
      <c r="BA372" s="549"/>
      <c r="BB372" s="549"/>
      <c r="BC372" s="549"/>
      <c r="BD372" s="549"/>
      <c r="BE372" s="549"/>
      <c r="BF372" s="549"/>
      <c r="BG372" s="549"/>
      <c r="BH372" s="549"/>
      <c r="BI372" s="549"/>
    </row>
    <row r="373" spans="16:61" s="254" customFormat="1" ht="9.9">
      <c r="P373" s="549"/>
      <c r="Q373" s="549"/>
      <c r="R373" s="549"/>
      <c r="S373" s="549"/>
      <c r="T373" s="549"/>
      <c r="U373" s="549"/>
      <c r="V373" s="549"/>
      <c r="W373" s="549"/>
      <c r="X373" s="549"/>
      <c r="Y373" s="549"/>
      <c r="Z373" s="549"/>
      <c r="AA373" s="549"/>
      <c r="AB373" s="549"/>
      <c r="AC373" s="549"/>
      <c r="AD373" s="549"/>
      <c r="AE373" s="549"/>
      <c r="AF373" s="549"/>
      <c r="AG373" s="549"/>
      <c r="AH373" s="549"/>
      <c r="AI373" s="549"/>
      <c r="AJ373" s="549"/>
      <c r="AK373" s="549"/>
      <c r="AL373" s="549"/>
      <c r="AM373" s="549"/>
      <c r="AN373" s="549"/>
      <c r="AO373" s="549"/>
      <c r="AP373" s="549"/>
      <c r="AQ373" s="549"/>
      <c r="AR373" s="549"/>
      <c r="AS373" s="549"/>
      <c r="AT373" s="549"/>
      <c r="AU373" s="549"/>
      <c r="AV373" s="549"/>
      <c r="AW373" s="549"/>
      <c r="AX373" s="549"/>
      <c r="AY373" s="549"/>
      <c r="AZ373" s="549"/>
      <c r="BA373" s="549"/>
      <c r="BB373" s="549"/>
      <c r="BC373" s="549"/>
      <c r="BD373" s="549"/>
      <c r="BE373" s="549"/>
      <c r="BF373" s="549"/>
      <c r="BG373" s="549"/>
      <c r="BH373" s="549"/>
      <c r="BI373" s="549"/>
    </row>
    <row r="374" spans="16:61" s="254" customFormat="1" ht="9.9">
      <c r="P374" s="549"/>
      <c r="Q374" s="549"/>
      <c r="R374" s="549"/>
      <c r="S374" s="549"/>
      <c r="T374" s="549"/>
      <c r="U374" s="549"/>
      <c r="V374" s="549"/>
      <c r="W374" s="549"/>
      <c r="X374" s="549"/>
      <c r="Y374" s="549"/>
      <c r="Z374" s="549"/>
      <c r="AA374" s="549"/>
      <c r="AB374" s="549"/>
      <c r="AC374" s="549"/>
      <c r="AD374" s="549"/>
      <c r="AE374" s="549"/>
      <c r="AF374" s="549"/>
      <c r="AG374" s="549"/>
      <c r="AH374" s="549"/>
      <c r="AI374" s="549"/>
      <c r="AJ374" s="549"/>
      <c r="AK374" s="549"/>
      <c r="AL374" s="549"/>
      <c r="AM374" s="549"/>
      <c r="AN374" s="549"/>
      <c r="AO374" s="549"/>
      <c r="AP374" s="549"/>
      <c r="AQ374" s="549"/>
      <c r="AR374" s="549"/>
      <c r="AS374" s="549"/>
      <c r="AT374" s="549"/>
      <c r="AU374" s="549"/>
      <c r="AV374" s="549"/>
      <c r="AW374" s="549"/>
      <c r="AX374" s="549"/>
      <c r="AY374" s="549"/>
      <c r="AZ374" s="549"/>
      <c r="BA374" s="549"/>
      <c r="BB374" s="549"/>
      <c r="BC374" s="549"/>
      <c r="BD374" s="549"/>
      <c r="BE374" s="549"/>
      <c r="BF374" s="549"/>
      <c r="BG374" s="549"/>
      <c r="BH374" s="549"/>
      <c r="BI374" s="549"/>
    </row>
    <row r="375" spans="16:61" s="254" customFormat="1" ht="9.9">
      <c r="P375" s="549"/>
      <c r="Q375" s="549"/>
      <c r="R375" s="549"/>
      <c r="S375" s="549"/>
      <c r="T375" s="549"/>
      <c r="U375" s="549"/>
      <c r="V375" s="549"/>
      <c r="W375" s="549"/>
      <c r="X375" s="549"/>
      <c r="Y375" s="549"/>
      <c r="Z375" s="549"/>
      <c r="AA375" s="549"/>
      <c r="AB375" s="549"/>
      <c r="AC375" s="549"/>
      <c r="AD375" s="549"/>
      <c r="AE375" s="549"/>
      <c r="AF375" s="549"/>
      <c r="AG375" s="549"/>
      <c r="AH375" s="549"/>
      <c r="AI375" s="549"/>
      <c r="AJ375" s="549"/>
      <c r="AK375" s="549"/>
      <c r="AL375" s="549"/>
      <c r="AM375" s="549"/>
      <c r="AN375" s="549"/>
      <c r="AO375" s="549"/>
      <c r="AP375" s="549"/>
      <c r="AQ375" s="549"/>
      <c r="AR375" s="549"/>
      <c r="AS375" s="549"/>
      <c r="AT375" s="549"/>
      <c r="AU375" s="549"/>
      <c r="AV375" s="549"/>
      <c r="AW375" s="549"/>
      <c r="AX375" s="549"/>
      <c r="AY375" s="549"/>
      <c r="AZ375" s="549"/>
      <c r="BA375" s="549"/>
      <c r="BB375" s="549"/>
      <c r="BC375" s="549"/>
      <c r="BD375" s="549"/>
      <c r="BE375" s="549"/>
      <c r="BF375" s="549"/>
      <c r="BG375" s="549"/>
      <c r="BH375" s="549"/>
      <c r="BI375" s="549"/>
    </row>
    <row r="376" spans="16:61" s="254" customFormat="1" ht="9.9">
      <c r="P376" s="549"/>
      <c r="Q376" s="549"/>
      <c r="R376" s="549"/>
      <c r="S376" s="549"/>
      <c r="T376" s="549"/>
      <c r="U376" s="549"/>
      <c r="V376" s="549"/>
      <c r="W376" s="549"/>
      <c r="X376" s="549"/>
      <c r="Y376" s="549"/>
      <c r="Z376" s="549"/>
      <c r="AA376" s="549"/>
      <c r="AB376" s="549"/>
      <c r="AC376" s="549"/>
      <c r="AD376" s="549"/>
      <c r="AE376" s="549"/>
      <c r="AF376" s="549"/>
      <c r="AG376" s="549"/>
      <c r="AH376" s="549"/>
      <c r="AI376" s="549"/>
      <c r="AJ376" s="549"/>
      <c r="AK376" s="549"/>
      <c r="AL376" s="549"/>
      <c r="AM376" s="549"/>
      <c r="AN376" s="549"/>
      <c r="AO376" s="549"/>
      <c r="AP376" s="549"/>
      <c r="AQ376" s="549"/>
      <c r="AR376" s="549"/>
      <c r="AS376" s="549"/>
      <c r="AT376" s="549"/>
      <c r="AU376" s="549"/>
      <c r="AV376" s="549"/>
      <c r="AW376" s="549"/>
      <c r="AX376" s="549"/>
      <c r="AY376" s="549"/>
      <c r="AZ376" s="549"/>
      <c r="BA376" s="549"/>
      <c r="BB376" s="549"/>
      <c r="BC376" s="549"/>
      <c r="BD376" s="549"/>
      <c r="BE376" s="549"/>
      <c r="BF376" s="549"/>
      <c r="BG376" s="549"/>
      <c r="BH376" s="549"/>
      <c r="BI376" s="549"/>
    </row>
    <row r="377" spans="16:61" s="254" customFormat="1" ht="9.9">
      <c r="P377" s="549"/>
      <c r="Q377" s="549"/>
      <c r="R377" s="549"/>
      <c r="S377" s="549"/>
      <c r="T377" s="549"/>
      <c r="U377" s="549"/>
      <c r="V377" s="549"/>
      <c r="W377" s="549"/>
      <c r="X377" s="549"/>
      <c r="Y377" s="549"/>
      <c r="Z377" s="549"/>
      <c r="AA377" s="549"/>
      <c r="AB377" s="549"/>
      <c r="AC377" s="549"/>
      <c r="AD377" s="549"/>
      <c r="AE377" s="549"/>
      <c r="AF377" s="549"/>
      <c r="AG377" s="549"/>
      <c r="AH377" s="549"/>
      <c r="AI377" s="549"/>
      <c r="AJ377" s="549"/>
      <c r="AK377" s="549"/>
      <c r="AL377" s="549"/>
      <c r="AM377" s="549"/>
      <c r="AN377" s="549"/>
      <c r="AO377" s="549"/>
      <c r="AP377" s="549"/>
      <c r="AQ377" s="549"/>
      <c r="AR377" s="549"/>
      <c r="AS377" s="549"/>
      <c r="AT377" s="549"/>
      <c r="AU377" s="549"/>
      <c r="AV377" s="549"/>
      <c r="AW377" s="549"/>
      <c r="AX377" s="549"/>
      <c r="AY377" s="549"/>
      <c r="AZ377" s="549"/>
      <c r="BA377" s="549"/>
      <c r="BB377" s="549"/>
      <c r="BC377" s="549"/>
      <c r="BD377" s="549"/>
      <c r="BE377" s="549"/>
      <c r="BF377" s="549"/>
      <c r="BG377" s="549"/>
      <c r="BH377" s="549"/>
      <c r="BI377" s="549"/>
    </row>
    <row r="378" spans="16:61" s="254" customFormat="1" ht="9.9">
      <c r="P378" s="549"/>
      <c r="Q378" s="549"/>
      <c r="R378" s="549"/>
      <c r="S378" s="549"/>
      <c r="T378" s="549"/>
      <c r="U378" s="549"/>
      <c r="V378" s="549"/>
      <c r="W378" s="549"/>
      <c r="X378" s="549"/>
      <c r="Y378" s="549"/>
      <c r="Z378" s="549"/>
      <c r="AA378" s="549"/>
      <c r="AB378" s="549"/>
      <c r="AC378" s="549"/>
      <c r="AD378" s="549"/>
      <c r="AE378" s="549"/>
      <c r="AF378" s="549"/>
      <c r="AG378" s="549"/>
      <c r="AH378" s="549"/>
      <c r="AI378" s="549"/>
      <c r="AJ378" s="549"/>
      <c r="AK378" s="549"/>
      <c r="AL378" s="549"/>
      <c r="AM378" s="549"/>
      <c r="AN378" s="549"/>
      <c r="AO378" s="549"/>
      <c r="AP378" s="549"/>
      <c r="AQ378" s="549"/>
      <c r="AR378" s="549"/>
      <c r="AS378" s="549"/>
      <c r="AT378" s="549"/>
      <c r="AU378" s="549"/>
      <c r="AV378" s="549"/>
      <c r="AW378" s="549"/>
      <c r="AX378" s="549"/>
      <c r="AY378" s="549"/>
      <c r="AZ378" s="549"/>
      <c r="BA378" s="549"/>
      <c r="BB378" s="549"/>
      <c r="BC378" s="549"/>
      <c r="BD378" s="549"/>
      <c r="BE378" s="549"/>
      <c r="BF378" s="549"/>
      <c r="BG378" s="549"/>
      <c r="BH378" s="549"/>
      <c r="BI378" s="549"/>
    </row>
    <row r="379" spans="16:61" s="254" customFormat="1" ht="9.9">
      <c r="P379" s="549"/>
      <c r="Q379" s="549"/>
      <c r="R379" s="549"/>
      <c r="S379" s="549"/>
      <c r="T379" s="549"/>
      <c r="U379" s="549"/>
      <c r="V379" s="549"/>
      <c r="W379" s="549"/>
      <c r="X379" s="549"/>
      <c r="Y379" s="549"/>
      <c r="Z379" s="549"/>
      <c r="AA379" s="549"/>
      <c r="AB379" s="549"/>
      <c r="AC379" s="549"/>
      <c r="AD379" s="549"/>
      <c r="AE379" s="549"/>
      <c r="AF379" s="549"/>
      <c r="AG379" s="549"/>
      <c r="AH379" s="549"/>
      <c r="AI379" s="549"/>
      <c r="AJ379" s="549"/>
      <c r="AK379" s="549"/>
      <c r="AL379" s="549"/>
      <c r="AM379" s="549"/>
      <c r="AN379" s="549"/>
      <c r="AO379" s="549"/>
      <c r="AP379" s="549"/>
      <c r="AQ379" s="549"/>
      <c r="AR379" s="549"/>
      <c r="AS379" s="549"/>
      <c r="AT379" s="549"/>
      <c r="AU379" s="549"/>
      <c r="AV379" s="549"/>
      <c r="AW379" s="549"/>
      <c r="AX379" s="549"/>
      <c r="AY379" s="549"/>
      <c r="AZ379" s="549"/>
      <c r="BA379" s="549"/>
      <c r="BB379" s="549"/>
      <c r="BC379" s="549"/>
      <c r="BD379" s="549"/>
      <c r="BE379" s="549"/>
      <c r="BF379" s="549"/>
      <c r="BG379" s="549"/>
      <c r="BH379" s="549"/>
      <c r="BI379" s="549"/>
    </row>
    <row r="380" spans="16:61" s="254" customFormat="1" ht="9.9">
      <c r="P380" s="549"/>
      <c r="Q380" s="549"/>
      <c r="R380" s="549"/>
      <c r="S380" s="549"/>
      <c r="T380" s="549"/>
      <c r="U380" s="549"/>
      <c r="V380" s="549"/>
      <c r="W380" s="549"/>
      <c r="X380" s="549"/>
      <c r="Y380" s="549"/>
      <c r="Z380" s="549"/>
      <c r="AA380" s="549"/>
      <c r="AB380" s="549"/>
      <c r="AC380" s="549"/>
      <c r="AD380" s="549"/>
      <c r="AE380" s="549"/>
      <c r="AF380" s="549"/>
      <c r="AG380" s="549"/>
      <c r="AH380" s="549"/>
      <c r="AI380" s="549"/>
      <c r="AJ380" s="549"/>
      <c r="AK380" s="549"/>
      <c r="AL380" s="549"/>
      <c r="AM380" s="549"/>
      <c r="AN380" s="549"/>
      <c r="AO380" s="549"/>
      <c r="AP380" s="549"/>
      <c r="AQ380" s="549"/>
      <c r="AR380" s="549"/>
      <c r="AS380" s="549"/>
      <c r="AT380" s="549"/>
      <c r="AU380" s="549"/>
      <c r="AV380" s="549"/>
      <c r="AW380" s="549"/>
      <c r="AX380" s="549"/>
      <c r="AY380" s="549"/>
      <c r="AZ380" s="549"/>
      <c r="BA380" s="549"/>
      <c r="BB380" s="549"/>
      <c r="BC380" s="549"/>
      <c r="BD380" s="549"/>
      <c r="BE380" s="549"/>
      <c r="BF380" s="549"/>
      <c r="BG380" s="549"/>
      <c r="BH380" s="549"/>
      <c r="BI380" s="549"/>
    </row>
    <row r="381" spans="16:61" s="254" customFormat="1" ht="9.9">
      <c r="P381" s="549"/>
      <c r="Q381" s="549"/>
      <c r="R381" s="549"/>
      <c r="S381" s="549"/>
      <c r="T381" s="549"/>
      <c r="U381" s="549"/>
      <c r="V381" s="549"/>
      <c r="W381" s="549"/>
      <c r="X381" s="549"/>
      <c r="Y381" s="549"/>
      <c r="Z381" s="549"/>
      <c r="AA381" s="549"/>
      <c r="AB381" s="549"/>
      <c r="AC381" s="549"/>
      <c r="AD381" s="549"/>
      <c r="AE381" s="549"/>
      <c r="AF381" s="549"/>
      <c r="AG381" s="549"/>
      <c r="AH381" s="549"/>
      <c r="AI381" s="549"/>
      <c r="AJ381" s="549"/>
      <c r="AK381" s="549"/>
      <c r="AL381" s="549"/>
      <c r="AM381" s="549"/>
      <c r="AN381" s="549"/>
      <c r="AO381" s="549"/>
      <c r="AP381" s="549"/>
      <c r="AQ381" s="549"/>
      <c r="AR381" s="549"/>
      <c r="AS381" s="549"/>
      <c r="AT381" s="549"/>
      <c r="AU381" s="549"/>
      <c r="AV381" s="549"/>
      <c r="AW381" s="549"/>
      <c r="AX381" s="549"/>
      <c r="AY381" s="549"/>
      <c r="AZ381" s="549"/>
      <c r="BA381" s="549"/>
      <c r="BB381" s="549"/>
      <c r="BC381" s="549"/>
      <c r="BD381" s="549"/>
      <c r="BE381" s="549"/>
      <c r="BF381" s="549"/>
      <c r="BG381" s="549"/>
      <c r="BH381" s="549"/>
      <c r="BI381" s="549"/>
    </row>
    <row r="382" spans="16:61" s="254" customFormat="1" ht="9.9">
      <c r="P382" s="549"/>
      <c r="Q382" s="549"/>
      <c r="R382" s="549"/>
      <c r="S382" s="549"/>
      <c r="T382" s="549"/>
      <c r="U382" s="549"/>
      <c r="V382" s="549"/>
      <c r="W382" s="549"/>
      <c r="X382" s="549"/>
      <c r="Y382" s="549"/>
      <c r="Z382" s="549"/>
      <c r="AA382" s="549"/>
      <c r="AB382" s="549"/>
      <c r="AC382" s="549"/>
      <c r="AD382" s="549"/>
      <c r="AE382" s="549"/>
      <c r="AF382" s="549"/>
      <c r="AG382" s="549"/>
      <c r="AH382" s="549"/>
      <c r="AI382" s="549"/>
      <c r="AJ382" s="549"/>
      <c r="AK382" s="549"/>
      <c r="AL382" s="549"/>
      <c r="AM382" s="549"/>
      <c r="AN382" s="549"/>
      <c r="AO382" s="549"/>
      <c r="AP382" s="549"/>
      <c r="AQ382" s="549"/>
      <c r="AR382" s="549"/>
      <c r="AS382" s="549"/>
      <c r="AT382" s="549"/>
      <c r="AU382" s="549"/>
      <c r="AV382" s="549"/>
      <c r="AW382" s="549"/>
      <c r="AX382" s="549"/>
      <c r="AY382" s="549"/>
      <c r="AZ382" s="549"/>
      <c r="BA382" s="549"/>
      <c r="BB382" s="549"/>
      <c r="BC382" s="549"/>
      <c r="BD382" s="549"/>
      <c r="BE382" s="549"/>
      <c r="BF382" s="549"/>
      <c r="BG382" s="549"/>
      <c r="BH382" s="549"/>
      <c r="BI382" s="549"/>
    </row>
    <row r="383" spans="16:61" s="254" customFormat="1" ht="9.9">
      <c r="P383" s="549"/>
      <c r="Q383" s="549"/>
      <c r="R383" s="549"/>
      <c r="S383" s="549"/>
      <c r="T383" s="549"/>
      <c r="U383" s="549"/>
      <c r="V383" s="549"/>
      <c r="W383" s="549"/>
      <c r="X383" s="549"/>
      <c r="Y383" s="549"/>
      <c r="Z383" s="549"/>
      <c r="AA383" s="549"/>
      <c r="AB383" s="549"/>
      <c r="AC383" s="549"/>
      <c r="AD383" s="549"/>
      <c r="AE383" s="549"/>
      <c r="AF383" s="549"/>
      <c r="AG383" s="549"/>
      <c r="AH383" s="549"/>
      <c r="AI383" s="549"/>
      <c r="AJ383" s="549"/>
      <c r="AK383" s="549"/>
      <c r="AL383" s="549"/>
      <c r="AM383" s="549"/>
      <c r="AN383" s="549"/>
      <c r="AO383" s="549"/>
      <c r="AP383" s="549"/>
      <c r="AQ383" s="549"/>
      <c r="AR383" s="549"/>
      <c r="AS383" s="549"/>
      <c r="AT383" s="549"/>
      <c r="AU383" s="549"/>
      <c r="AV383" s="549"/>
      <c r="AW383" s="549"/>
      <c r="AX383" s="549"/>
      <c r="AY383" s="549"/>
      <c r="AZ383" s="549"/>
      <c r="BA383" s="549"/>
      <c r="BB383" s="549"/>
      <c r="BC383" s="549"/>
      <c r="BD383" s="549"/>
      <c r="BE383" s="549"/>
      <c r="BF383" s="549"/>
      <c r="BG383" s="549"/>
      <c r="BH383" s="549"/>
      <c r="BI383" s="549"/>
    </row>
    <row r="384" spans="16:61" s="254" customFormat="1" ht="9.9">
      <c r="P384" s="549"/>
      <c r="Q384" s="549"/>
      <c r="R384" s="549"/>
      <c r="S384" s="549"/>
      <c r="T384" s="549"/>
      <c r="U384" s="549"/>
      <c r="V384" s="549"/>
      <c r="W384" s="549"/>
      <c r="X384" s="549"/>
      <c r="Y384" s="549"/>
      <c r="Z384" s="549"/>
      <c r="AA384" s="549"/>
      <c r="AB384" s="549"/>
      <c r="AC384" s="549"/>
      <c r="AD384" s="549"/>
      <c r="AE384" s="549"/>
      <c r="AF384" s="549"/>
      <c r="AG384" s="549"/>
      <c r="AH384" s="549"/>
      <c r="AI384" s="549"/>
      <c r="AJ384" s="549"/>
      <c r="AK384" s="549"/>
      <c r="AL384" s="549"/>
      <c r="AM384" s="549"/>
      <c r="AN384" s="549"/>
      <c r="AO384" s="549"/>
      <c r="AP384" s="549"/>
      <c r="AQ384" s="549"/>
      <c r="AR384" s="549"/>
      <c r="AS384" s="549"/>
      <c r="AT384" s="549"/>
      <c r="AU384" s="549"/>
      <c r="AV384" s="549"/>
      <c r="AW384" s="549"/>
      <c r="AX384" s="549"/>
      <c r="AY384" s="549"/>
      <c r="AZ384" s="549"/>
      <c r="BA384" s="549"/>
      <c r="BB384" s="549"/>
      <c r="BC384" s="549"/>
      <c r="BD384" s="549"/>
      <c r="BE384" s="549"/>
      <c r="BF384" s="549"/>
      <c r="BG384" s="549"/>
      <c r="BH384" s="549"/>
      <c r="BI384" s="549"/>
    </row>
    <row r="385" spans="16:61" s="254" customFormat="1" ht="9.9">
      <c r="P385" s="549"/>
      <c r="Q385" s="549"/>
      <c r="R385" s="549"/>
      <c r="S385" s="549"/>
      <c r="T385" s="549"/>
      <c r="U385" s="549"/>
      <c r="V385" s="549"/>
      <c r="W385" s="549"/>
      <c r="X385" s="549"/>
      <c r="Y385" s="549"/>
      <c r="Z385" s="549"/>
      <c r="AA385" s="549"/>
      <c r="AB385" s="549"/>
      <c r="AC385" s="549"/>
      <c r="AD385" s="549"/>
      <c r="AE385" s="549"/>
      <c r="AF385" s="549"/>
      <c r="AG385" s="549"/>
      <c r="AH385" s="549"/>
      <c r="AI385" s="549"/>
      <c r="AJ385" s="549"/>
      <c r="AK385" s="549"/>
      <c r="AL385" s="549"/>
      <c r="AM385" s="549"/>
      <c r="AN385" s="549"/>
      <c r="AO385" s="549"/>
      <c r="AP385" s="549"/>
      <c r="AQ385" s="549"/>
      <c r="AR385" s="549"/>
      <c r="AS385" s="549"/>
      <c r="AT385" s="549"/>
      <c r="AU385" s="549"/>
      <c r="AV385" s="549"/>
      <c r="AW385" s="549"/>
      <c r="AX385" s="549"/>
      <c r="AY385" s="549"/>
      <c r="AZ385" s="549"/>
      <c r="BA385" s="549"/>
      <c r="BB385" s="549"/>
      <c r="BC385" s="549"/>
      <c r="BD385" s="549"/>
      <c r="BE385" s="549"/>
      <c r="BF385" s="549"/>
      <c r="BG385" s="549"/>
      <c r="BH385" s="549"/>
      <c r="BI385" s="549"/>
    </row>
    <row r="386" spans="16:61" s="254" customFormat="1" ht="9.9">
      <c r="P386" s="549"/>
      <c r="Q386" s="549"/>
      <c r="R386" s="549"/>
      <c r="S386" s="549"/>
      <c r="T386" s="549"/>
      <c r="U386" s="549"/>
      <c r="V386" s="549"/>
      <c r="W386" s="549"/>
      <c r="X386" s="549"/>
      <c r="Y386" s="549"/>
      <c r="Z386" s="549"/>
      <c r="AA386" s="549"/>
      <c r="AB386" s="549"/>
      <c r="AC386" s="549"/>
      <c r="AD386" s="549"/>
      <c r="AE386" s="549"/>
      <c r="AF386" s="549"/>
      <c r="AG386" s="549"/>
      <c r="AH386" s="549"/>
      <c r="AI386" s="549"/>
      <c r="AJ386" s="549"/>
      <c r="AK386" s="549"/>
      <c r="AL386" s="549"/>
      <c r="AM386" s="549"/>
      <c r="AN386" s="549"/>
      <c r="AO386" s="549"/>
      <c r="AP386" s="549"/>
      <c r="AQ386" s="549"/>
      <c r="AR386" s="549"/>
      <c r="AS386" s="549"/>
      <c r="AT386" s="549"/>
      <c r="AU386" s="549"/>
      <c r="AV386" s="549"/>
      <c r="AW386" s="549"/>
      <c r="AX386" s="549"/>
      <c r="AY386" s="549"/>
      <c r="AZ386" s="549"/>
      <c r="BA386" s="549"/>
      <c r="BB386" s="549"/>
      <c r="BC386" s="549"/>
      <c r="BD386" s="549"/>
      <c r="BE386" s="549"/>
      <c r="BF386" s="549"/>
      <c r="BG386" s="549"/>
      <c r="BH386" s="549"/>
      <c r="BI386" s="549"/>
    </row>
    <row r="387" spans="16:61" s="254" customFormat="1" ht="9.9">
      <c r="P387" s="549"/>
      <c r="Q387" s="549"/>
      <c r="R387" s="549"/>
      <c r="S387" s="549"/>
      <c r="T387" s="549"/>
      <c r="U387" s="549"/>
      <c r="V387" s="549"/>
      <c r="W387" s="549"/>
      <c r="X387" s="549"/>
      <c r="Y387" s="549"/>
      <c r="Z387" s="549"/>
      <c r="AA387" s="549"/>
      <c r="AB387" s="549"/>
      <c r="AC387" s="549"/>
      <c r="AD387" s="549"/>
      <c r="AE387" s="549"/>
      <c r="AF387" s="549"/>
      <c r="AG387" s="549"/>
      <c r="AH387" s="549"/>
      <c r="AI387" s="549"/>
      <c r="AJ387" s="549"/>
      <c r="AK387" s="549"/>
      <c r="AL387" s="549"/>
      <c r="AM387" s="549"/>
      <c r="AN387" s="549"/>
      <c r="AO387" s="549"/>
      <c r="AP387" s="549"/>
      <c r="AQ387" s="549"/>
      <c r="AR387" s="549"/>
      <c r="AS387" s="549"/>
      <c r="AT387" s="549"/>
      <c r="AU387" s="549"/>
      <c r="AV387" s="549"/>
      <c r="AW387" s="549"/>
      <c r="AX387" s="549"/>
      <c r="AY387" s="549"/>
      <c r="AZ387" s="549"/>
      <c r="BA387" s="549"/>
      <c r="BB387" s="549"/>
      <c r="BC387" s="549"/>
      <c r="BD387" s="549"/>
      <c r="BE387" s="549"/>
      <c r="BF387" s="549"/>
      <c r="BG387" s="549"/>
      <c r="BH387" s="549"/>
      <c r="BI387" s="549"/>
    </row>
    <row r="388" spans="16:61" s="254" customFormat="1" ht="9.9">
      <c r="P388" s="549"/>
      <c r="Q388" s="549"/>
      <c r="R388" s="549"/>
      <c r="S388" s="549"/>
      <c r="T388" s="549"/>
      <c r="U388" s="549"/>
      <c r="V388" s="549"/>
      <c r="W388" s="549"/>
      <c r="X388" s="549"/>
      <c r="Y388" s="549"/>
      <c r="Z388" s="549"/>
      <c r="AA388" s="549"/>
      <c r="AB388" s="549"/>
      <c r="AC388" s="549"/>
      <c r="AD388" s="549"/>
      <c r="AE388" s="549"/>
      <c r="AF388" s="549"/>
      <c r="AG388" s="549"/>
      <c r="AH388" s="549"/>
      <c r="AI388" s="549"/>
      <c r="AJ388" s="549"/>
      <c r="AK388" s="549"/>
      <c r="AL388" s="549"/>
      <c r="AM388" s="549"/>
      <c r="AN388" s="549"/>
      <c r="AO388" s="549"/>
      <c r="AP388" s="549"/>
      <c r="AQ388" s="549"/>
      <c r="AR388" s="549"/>
      <c r="AS388" s="549"/>
      <c r="AT388" s="549"/>
      <c r="AU388" s="549"/>
      <c r="AV388" s="549"/>
      <c r="AW388" s="549"/>
      <c r="AX388" s="549"/>
      <c r="AY388" s="549"/>
      <c r="AZ388" s="549"/>
      <c r="BA388" s="549"/>
      <c r="BB388" s="549"/>
      <c r="BC388" s="549"/>
      <c r="BD388" s="549"/>
      <c r="BE388" s="549"/>
      <c r="BF388" s="549"/>
      <c r="BG388" s="549"/>
      <c r="BH388" s="549"/>
      <c r="BI388" s="549"/>
    </row>
    <row r="389" spans="16:61" s="254" customFormat="1" ht="9.9">
      <c r="P389" s="549"/>
      <c r="Q389" s="549"/>
      <c r="R389" s="549"/>
      <c r="S389" s="549"/>
      <c r="T389" s="549"/>
      <c r="U389" s="549"/>
      <c r="V389" s="549"/>
      <c r="W389" s="549"/>
      <c r="X389" s="549"/>
      <c r="Y389" s="549"/>
      <c r="Z389" s="549"/>
      <c r="AA389" s="549"/>
      <c r="AB389" s="549"/>
      <c r="AC389" s="549"/>
      <c r="AD389" s="549"/>
      <c r="AE389" s="549"/>
      <c r="AF389" s="549"/>
      <c r="AG389" s="549"/>
      <c r="AH389" s="549"/>
      <c r="AI389" s="549"/>
      <c r="AJ389" s="549"/>
      <c r="AK389" s="549"/>
      <c r="AL389" s="549"/>
      <c r="AM389" s="549"/>
      <c r="AN389" s="549"/>
      <c r="AO389" s="549"/>
      <c r="AP389" s="549"/>
      <c r="AQ389" s="549"/>
      <c r="AR389" s="549"/>
      <c r="AS389" s="549"/>
      <c r="AT389" s="549"/>
      <c r="AU389" s="549"/>
      <c r="AV389" s="549"/>
      <c r="AW389" s="549"/>
      <c r="AX389" s="549"/>
      <c r="AY389" s="549"/>
      <c r="AZ389" s="549"/>
      <c r="BA389" s="549"/>
      <c r="BB389" s="549"/>
      <c r="BC389" s="549"/>
      <c r="BD389" s="549"/>
      <c r="BE389" s="549"/>
      <c r="BF389" s="549"/>
      <c r="BG389" s="549"/>
      <c r="BH389" s="549"/>
      <c r="BI389" s="549"/>
    </row>
    <row r="390" spans="16:61" s="254" customFormat="1" ht="9.9">
      <c r="P390" s="549"/>
      <c r="Q390" s="549"/>
      <c r="R390" s="549"/>
      <c r="S390" s="549"/>
      <c r="T390" s="549"/>
      <c r="U390" s="549"/>
      <c r="V390" s="549"/>
      <c r="W390" s="549"/>
      <c r="X390" s="549"/>
      <c r="Y390" s="549"/>
      <c r="Z390" s="549"/>
      <c r="AA390" s="549"/>
      <c r="AB390" s="549"/>
      <c r="AC390" s="549"/>
      <c r="AD390" s="549"/>
      <c r="AE390" s="549"/>
      <c r="AF390" s="549"/>
      <c r="AG390" s="549"/>
      <c r="AH390" s="549"/>
      <c r="AI390" s="549"/>
      <c r="AJ390" s="549"/>
      <c r="AK390" s="549"/>
      <c r="AL390" s="549"/>
      <c r="AM390" s="549"/>
      <c r="AN390" s="549"/>
      <c r="AO390" s="549"/>
      <c r="AP390" s="549"/>
      <c r="AQ390" s="549"/>
      <c r="AR390" s="549"/>
      <c r="AS390" s="549"/>
      <c r="AT390" s="549"/>
      <c r="AU390" s="549"/>
      <c r="AV390" s="549"/>
      <c r="AW390" s="549"/>
      <c r="AX390" s="549"/>
      <c r="AY390" s="549"/>
      <c r="AZ390" s="549"/>
      <c r="BA390" s="549"/>
      <c r="BB390" s="549"/>
      <c r="BC390" s="549"/>
      <c r="BD390" s="549"/>
      <c r="BE390" s="549"/>
      <c r="BF390" s="549"/>
      <c r="BG390" s="549"/>
      <c r="BH390" s="549"/>
      <c r="BI390" s="549"/>
    </row>
    <row r="391" spans="16:61" s="254" customFormat="1" ht="9.9">
      <c r="P391" s="549"/>
      <c r="Q391" s="549"/>
      <c r="R391" s="549"/>
      <c r="S391" s="549"/>
      <c r="T391" s="549"/>
      <c r="U391" s="549"/>
      <c r="V391" s="549"/>
      <c r="W391" s="549"/>
      <c r="X391" s="549"/>
      <c r="Y391" s="549"/>
      <c r="Z391" s="549"/>
      <c r="AA391" s="549"/>
      <c r="AB391" s="549"/>
      <c r="AC391" s="549"/>
      <c r="AD391" s="549"/>
      <c r="AE391" s="549"/>
      <c r="AF391" s="549"/>
      <c r="AG391" s="549"/>
      <c r="AH391" s="549"/>
      <c r="AI391" s="549"/>
      <c r="AJ391" s="549"/>
      <c r="AK391" s="549"/>
      <c r="AL391" s="549"/>
      <c r="AM391" s="549"/>
      <c r="AN391" s="549"/>
      <c r="AO391" s="549"/>
      <c r="AP391" s="549"/>
      <c r="AQ391" s="549"/>
      <c r="AR391" s="549"/>
      <c r="AS391" s="549"/>
      <c r="AT391" s="549"/>
      <c r="AU391" s="549"/>
      <c r="AV391" s="549"/>
      <c r="AW391" s="549"/>
      <c r="AX391" s="549"/>
      <c r="AY391" s="549"/>
      <c r="AZ391" s="549"/>
      <c r="BA391" s="549"/>
      <c r="BB391" s="549"/>
      <c r="BC391" s="549"/>
      <c r="BD391" s="549"/>
      <c r="BE391" s="549"/>
      <c r="BF391" s="549"/>
      <c r="BG391" s="549"/>
      <c r="BH391" s="549"/>
      <c r="BI391" s="549"/>
    </row>
    <row r="392" spans="16:61" s="254" customFormat="1" ht="9.9">
      <c r="P392" s="549"/>
      <c r="Q392" s="549"/>
      <c r="R392" s="549"/>
      <c r="S392" s="549"/>
      <c r="T392" s="549"/>
      <c r="U392" s="549"/>
      <c r="V392" s="549"/>
      <c r="W392" s="549"/>
      <c r="X392" s="549"/>
      <c r="Y392" s="549"/>
      <c r="Z392" s="549"/>
      <c r="AA392" s="549"/>
      <c r="AB392" s="549"/>
      <c r="AC392" s="549"/>
      <c r="AD392" s="549"/>
      <c r="AE392" s="549"/>
      <c r="AF392" s="549"/>
      <c r="AG392" s="549"/>
      <c r="AH392" s="549"/>
      <c r="AI392" s="549"/>
      <c r="AJ392" s="549"/>
      <c r="AK392" s="549"/>
      <c r="AL392" s="549"/>
      <c r="AM392" s="549"/>
      <c r="AN392" s="549"/>
      <c r="AO392" s="549"/>
      <c r="AP392" s="549"/>
      <c r="AQ392" s="549"/>
      <c r="AR392" s="549"/>
      <c r="AS392" s="549"/>
      <c r="AT392" s="549"/>
      <c r="AU392" s="549"/>
      <c r="AV392" s="549"/>
      <c r="AW392" s="549"/>
      <c r="AX392" s="549"/>
      <c r="AY392" s="549"/>
      <c r="AZ392" s="549"/>
      <c r="BA392" s="549"/>
      <c r="BB392" s="549"/>
      <c r="BC392" s="549"/>
      <c r="BD392" s="549"/>
      <c r="BE392" s="549"/>
      <c r="BF392" s="549"/>
      <c r="BG392" s="549"/>
      <c r="BH392" s="549"/>
      <c r="BI392" s="549"/>
    </row>
    <row r="393" spans="16:61" s="254" customFormat="1" ht="9.9">
      <c r="P393" s="549"/>
      <c r="Q393" s="549"/>
      <c r="R393" s="549"/>
      <c r="S393" s="549"/>
      <c r="T393" s="549"/>
      <c r="U393" s="549"/>
      <c r="V393" s="549"/>
      <c r="W393" s="549"/>
      <c r="X393" s="549"/>
      <c r="Y393" s="549"/>
      <c r="Z393" s="549"/>
      <c r="AA393" s="549"/>
      <c r="AB393" s="549"/>
      <c r="AC393" s="549"/>
      <c r="AD393" s="549"/>
      <c r="AE393" s="549"/>
      <c r="AF393" s="549"/>
      <c r="AG393" s="549"/>
      <c r="AH393" s="549"/>
      <c r="AI393" s="549"/>
      <c r="AJ393" s="549"/>
      <c r="AK393" s="549"/>
      <c r="AL393" s="549"/>
      <c r="AM393" s="549"/>
      <c r="AN393" s="549"/>
      <c r="AO393" s="549"/>
      <c r="AP393" s="549"/>
      <c r="AQ393" s="549"/>
      <c r="AR393" s="549"/>
      <c r="AS393" s="549"/>
      <c r="AT393" s="549"/>
      <c r="AU393" s="549"/>
      <c r="AV393" s="549"/>
      <c r="AW393" s="549"/>
      <c r="AX393" s="549"/>
      <c r="AY393" s="549"/>
      <c r="AZ393" s="549"/>
      <c r="BA393" s="549"/>
      <c r="BB393" s="549"/>
      <c r="BC393" s="549"/>
      <c r="BD393" s="549"/>
      <c r="BE393" s="549"/>
      <c r="BF393" s="549"/>
      <c r="BG393" s="549"/>
      <c r="BH393" s="549"/>
      <c r="BI393" s="549"/>
    </row>
    <row r="394" spans="16:61" s="254" customFormat="1" ht="9.9">
      <c r="P394" s="549"/>
      <c r="Q394" s="549"/>
      <c r="R394" s="549"/>
      <c r="S394" s="549"/>
      <c r="T394" s="549"/>
      <c r="U394" s="549"/>
      <c r="V394" s="549"/>
      <c r="W394" s="549"/>
      <c r="X394" s="549"/>
      <c r="Y394" s="549"/>
      <c r="Z394" s="549"/>
      <c r="AA394" s="549"/>
      <c r="AB394" s="549"/>
      <c r="AC394" s="549"/>
      <c r="AD394" s="549"/>
      <c r="AE394" s="549"/>
      <c r="AF394" s="549"/>
      <c r="AG394" s="549"/>
      <c r="AH394" s="549"/>
      <c r="AI394" s="549"/>
      <c r="AJ394" s="549"/>
      <c r="AK394" s="549"/>
      <c r="AL394" s="549"/>
      <c r="AM394" s="549"/>
      <c r="AN394" s="549"/>
      <c r="AO394" s="549"/>
      <c r="AP394" s="549"/>
      <c r="AQ394" s="549"/>
      <c r="AR394" s="549"/>
      <c r="AS394" s="549"/>
      <c r="AT394" s="549"/>
      <c r="AU394" s="549"/>
      <c r="AV394" s="549"/>
      <c r="AW394" s="549"/>
      <c r="AX394" s="549"/>
      <c r="AY394" s="549"/>
      <c r="AZ394" s="549"/>
      <c r="BA394" s="549"/>
      <c r="BB394" s="549"/>
      <c r="BC394" s="549"/>
      <c r="BD394" s="549"/>
      <c r="BE394" s="549"/>
      <c r="BF394" s="549"/>
      <c r="BG394" s="549"/>
      <c r="BH394" s="549"/>
      <c r="BI394" s="549"/>
    </row>
    <row r="395" spans="16:61" s="254" customFormat="1" ht="9.9">
      <c r="P395" s="549"/>
      <c r="Q395" s="549"/>
      <c r="R395" s="549"/>
      <c r="S395" s="549"/>
      <c r="T395" s="549"/>
      <c r="U395" s="549"/>
      <c r="V395" s="549"/>
      <c r="W395" s="549"/>
      <c r="X395" s="549"/>
      <c r="Y395" s="549"/>
      <c r="Z395" s="549"/>
      <c r="AA395" s="549"/>
      <c r="AB395" s="549"/>
      <c r="AC395" s="549"/>
      <c r="AD395" s="549"/>
      <c r="AE395" s="549"/>
      <c r="AF395" s="549"/>
      <c r="AG395" s="549"/>
      <c r="AH395" s="549"/>
      <c r="AI395" s="549"/>
      <c r="AJ395" s="549"/>
      <c r="AK395" s="549"/>
      <c r="AL395" s="549"/>
      <c r="AM395" s="549"/>
      <c r="AN395" s="549"/>
      <c r="AO395" s="549"/>
      <c r="AP395" s="549"/>
      <c r="AQ395" s="549"/>
      <c r="AR395" s="549"/>
      <c r="AS395" s="549"/>
      <c r="AT395" s="549"/>
      <c r="AU395" s="549"/>
      <c r="AV395" s="549"/>
      <c r="AW395" s="549"/>
      <c r="AX395" s="549"/>
      <c r="AY395" s="549"/>
      <c r="AZ395" s="549"/>
      <c r="BA395" s="549"/>
      <c r="BB395" s="549"/>
      <c r="BC395" s="549"/>
      <c r="BD395" s="549"/>
      <c r="BE395" s="549"/>
      <c r="BF395" s="549"/>
      <c r="BG395" s="549"/>
      <c r="BH395" s="549"/>
      <c r="BI395" s="549"/>
    </row>
    <row r="396" spans="16:61" s="254" customFormat="1" ht="9.9">
      <c r="P396" s="549"/>
      <c r="Q396" s="549"/>
      <c r="R396" s="549"/>
      <c r="S396" s="549"/>
      <c r="T396" s="549"/>
      <c r="U396" s="549"/>
      <c r="V396" s="549"/>
      <c r="W396" s="549"/>
      <c r="X396" s="549"/>
      <c r="Y396" s="549"/>
      <c r="Z396" s="549"/>
      <c r="AA396" s="549"/>
      <c r="AB396" s="549"/>
      <c r="AC396" s="549"/>
      <c r="AD396" s="549"/>
      <c r="AE396" s="549"/>
      <c r="AF396" s="549"/>
      <c r="AG396" s="549"/>
      <c r="AH396" s="549"/>
      <c r="AI396" s="549"/>
      <c r="AJ396" s="549"/>
      <c r="AK396" s="549"/>
      <c r="AL396" s="549"/>
      <c r="AM396" s="549"/>
      <c r="AN396" s="549"/>
      <c r="AO396" s="549"/>
      <c r="AP396" s="549"/>
      <c r="AQ396" s="549"/>
      <c r="AR396" s="549"/>
      <c r="AS396" s="549"/>
      <c r="AT396" s="549"/>
      <c r="AU396" s="549"/>
      <c r="AV396" s="549"/>
      <c r="AW396" s="549"/>
      <c r="AX396" s="549"/>
      <c r="AY396" s="549"/>
      <c r="AZ396" s="549"/>
      <c r="BA396" s="549"/>
      <c r="BB396" s="549"/>
      <c r="BC396" s="549"/>
      <c r="BD396" s="549"/>
      <c r="BE396" s="549"/>
      <c r="BF396" s="549"/>
      <c r="BG396" s="549"/>
      <c r="BH396" s="549"/>
      <c r="BI396" s="549"/>
    </row>
    <row r="397" spans="16:61" s="254" customFormat="1" ht="9.9">
      <c r="P397" s="549"/>
      <c r="Q397" s="549"/>
      <c r="R397" s="549"/>
      <c r="S397" s="549"/>
      <c r="T397" s="549"/>
      <c r="U397" s="549"/>
      <c r="V397" s="549"/>
      <c r="W397" s="549"/>
      <c r="X397" s="549"/>
      <c r="Y397" s="549"/>
      <c r="Z397" s="549"/>
      <c r="AA397" s="549"/>
      <c r="AB397" s="549"/>
      <c r="AC397" s="549"/>
      <c r="AD397" s="549"/>
      <c r="AE397" s="549"/>
      <c r="AF397" s="549"/>
      <c r="AG397" s="549"/>
      <c r="AH397" s="549"/>
      <c r="AI397" s="549"/>
      <c r="AJ397" s="549"/>
      <c r="AK397" s="549"/>
      <c r="AL397" s="549"/>
      <c r="AM397" s="549"/>
      <c r="AN397" s="549"/>
      <c r="AO397" s="549"/>
      <c r="AP397" s="549"/>
      <c r="AQ397" s="549"/>
      <c r="AR397" s="549"/>
      <c r="AS397" s="549"/>
      <c r="AT397" s="549"/>
      <c r="AU397" s="549"/>
      <c r="AV397" s="549"/>
      <c r="AW397" s="549"/>
      <c r="AX397" s="549"/>
      <c r="AY397" s="549"/>
      <c r="AZ397" s="549"/>
      <c r="BA397" s="549"/>
      <c r="BB397" s="549"/>
      <c r="BC397" s="549"/>
      <c r="BD397" s="549"/>
      <c r="BE397" s="549"/>
      <c r="BF397" s="549"/>
      <c r="BG397" s="549"/>
      <c r="BH397" s="549"/>
      <c r="BI397" s="549"/>
    </row>
    <row r="398" spans="16:61" s="254" customFormat="1" ht="9.9">
      <c r="P398" s="549"/>
      <c r="Q398" s="549"/>
      <c r="R398" s="549"/>
      <c r="S398" s="549"/>
      <c r="T398" s="549"/>
      <c r="U398" s="549"/>
      <c r="V398" s="549"/>
      <c r="W398" s="549"/>
      <c r="X398" s="549"/>
      <c r="Y398" s="549"/>
      <c r="Z398" s="549"/>
      <c r="AA398" s="549"/>
      <c r="AB398" s="549"/>
      <c r="AC398" s="549"/>
      <c r="AD398" s="549"/>
      <c r="AE398" s="549"/>
      <c r="AF398" s="549"/>
      <c r="AG398" s="549"/>
      <c r="AH398" s="549"/>
      <c r="AI398" s="549"/>
      <c r="AJ398" s="549"/>
      <c r="AK398" s="549"/>
      <c r="AL398" s="549"/>
      <c r="AM398" s="549"/>
      <c r="AN398" s="549"/>
      <c r="AO398" s="549"/>
      <c r="AP398" s="549"/>
      <c r="AQ398" s="549"/>
      <c r="AR398" s="549"/>
      <c r="AS398" s="549"/>
      <c r="AT398" s="549"/>
      <c r="AU398" s="549"/>
      <c r="AV398" s="549"/>
      <c r="AW398" s="549"/>
      <c r="AX398" s="549"/>
      <c r="AY398" s="549"/>
      <c r="AZ398" s="549"/>
      <c r="BA398" s="549"/>
      <c r="BB398" s="549"/>
      <c r="BC398" s="549"/>
      <c r="BD398" s="549"/>
      <c r="BE398" s="549"/>
      <c r="BF398" s="549"/>
      <c r="BG398" s="549"/>
      <c r="BH398" s="549"/>
      <c r="BI398" s="549"/>
    </row>
    <row r="399" spans="16:61" s="254" customFormat="1" ht="9.9">
      <c r="P399" s="549"/>
      <c r="Q399" s="549"/>
      <c r="R399" s="549"/>
      <c r="S399" s="549"/>
      <c r="T399" s="549"/>
      <c r="U399" s="549"/>
      <c r="V399" s="549"/>
      <c r="W399" s="549"/>
      <c r="X399" s="549"/>
      <c r="Y399" s="549"/>
      <c r="Z399" s="549"/>
      <c r="AA399" s="549"/>
      <c r="AB399" s="549"/>
      <c r="AC399" s="549"/>
      <c r="AD399" s="549"/>
      <c r="AE399" s="549"/>
      <c r="AF399" s="549"/>
      <c r="AG399" s="549"/>
      <c r="AH399" s="549"/>
      <c r="AI399" s="549"/>
      <c r="AJ399" s="549"/>
      <c r="AK399" s="549"/>
      <c r="AL399" s="549"/>
      <c r="AM399" s="549"/>
      <c r="AN399" s="549"/>
      <c r="AO399" s="549"/>
      <c r="AP399" s="549"/>
      <c r="AQ399" s="549"/>
      <c r="AR399" s="549"/>
      <c r="AS399" s="549"/>
      <c r="AT399" s="549"/>
      <c r="AU399" s="549"/>
      <c r="AV399" s="549"/>
      <c r="AW399" s="549"/>
      <c r="AX399" s="549"/>
      <c r="AY399" s="549"/>
      <c r="AZ399" s="549"/>
      <c r="BA399" s="549"/>
      <c r="BB399" s="549"/>
      <c r="BC399" s="549"/>
      <c r="BD399" s="549"/>
      <c r="BE399" s="549"/>
      <c r="BF399" s="549"/>
      <c r="BG399" s="549"/>
      <c r="BH399" s="549"/>
      <c r="BI399" s="549"/>
    </row>
    <row r="400" spans="16:61" s="254" customFormat="1" ht="9.9">
      <c r="P400" s="549"/>
      <c r="Q400" s="549"/>
      <c r="R400" s="549"/>
      <c r="S400" s="549"/>
      <c r="T400" s="549"/>
      <c r="U400" s="549"/>
      <c r="V400" s="549"/>
      <c r="W400" s="549"/>
      <c r="X400" s="549"/>
      <c r="Y400" s="549"/>
      <c r="Z400" s="549"/>
      <c r="AA400" s="549"/>
      <c r="AB400" s="549"/>
      <c r="AC400" s="549"/>
      <c r="AD400" s="549"/>
      <c r="AE400" s="549"/>
      <c r="AF400" s="549"/>
      <c r="AG400" s="549"/>
      <c r="AH400" s="549"/>
      <c r="AI400" s="549"/>
      <c r="AJ400" s="549"/>
      <c r="AK400" s="549"/>
      <c r="AL400" s="549"/>
      <c r="AM400" s="549"/>
      <c r="AN400" s="549"/>
      <c r="AO400" s="549"/>
      <c r="AP400" s="549"/>
      <c r="AQ400" s="549"/>
      <c r="AR400" s="549"/>
      <c r="AS400" s="549"/>
      <c r="AT400" s="549"/>
      <c r="AU400" s="549"/>
      <c r="AV400" s="549"/>
      <c r="AW400" s="549"/>
      <c r="AX400" s="549"/>
      <c r="AY400" s="549"/>
      <c r="AZ400" s="549"/>
      <c r="BA400" s="549"/>
      <c r="BB400" s="549"/>
      <c r="BC400" s="549"/>
      <c r="BD400" s="549"/>
      <c r="BE400" s="549"/>
      <c r="BF400" s="549"/>
      <c r="BG400" s="549"/>
      <c r="BH400" s="549"/>
      <c r="BI400" s="549"/>
    </row>
    <row r="401" spans="16:61" s="254" customFormat="1" ht="9.9">
      <c r="P401" s="549"/>
      <c r="Q401" s="549"/>
      <c r="R401" s="549"/>
      <c r="S401" s="549"/>
      <c r="T401" s="549"/>
      <c r="U401" s="549"/>
      <c r="V401" s="549"/>
      <c r="W401" s="549"/>
      <c r="X401" s="549"/>
      <c r="Y401" s="549"/>
      <c r="Z401" s="549"/>
      <c r="AA401" s="549"/>
      <c r="AB401" s="549"/>
      <c r="AC401" s="549"/>
      <c r="AD401" s="549"/>
      <c r="AE401" s="549"/>
      <c r="AF401" s="549"/>
      <c r="AG401" s="549"/>
      <c r="AH401" s="549"/>
      <c r="AI401" s="549"/>
      <c r="AJ401" s="549"/>
      <c r="AK401" s="549"/>
      <c r="AL401" s="549"/>
      <c r="AM401" s="549"/>
      <c r="AN401" s="549"/>
      <c r="AO401" s="549"/>
      <c r="AP401" s="549"/>
      <c r="AQ401" s="549"/>
      <c r="AR401" s="549"/>
      <c r="AS401" s="549"/>
      <c r="AT401" s="549"/>
      <c r="AU401" s="549"/>
      <c r="AV401" s="549"/>
      <c r="AW401" s="549"/>
      <c r="AX401" s="549"/>
      <c r="AY401" s="549"/>
      <c r="AZ401" s="549"/>
      <c r="BA401" s="549"/>
      <c r="BB401" s="549"/>
      <c r="BC401" s="549"/>
      <c r="BD401" s="549"/>
      <c r="BE401" s="549"/>
      <c r="BF401" s="549"/>
      <c r="BG401" s="549"/>
      <c r="BH401" s="549"/>
      <c r="BI401" s="549"/>
    </row>
    <row r="402" spans="16:61" s="254" customFormat="1" ht="9.9">
      <c r="P402" s="549"/>
      <c r="Q402" s="549"/>
      <c r="R402" s="549"/>
      <c r="S402" s="549"/>
      <c r="T402" s="549"/>
      <c r="U402" s="549"/>
      <c r="V402" s="549"/>
      <c r="W402" s="549"/>
      <c r="X402" s="549"/>
      <c r="Y402" s="549"/>
      <c r="Z402" s="549"/>
      <c r="AA402" s="549"/>
      <c r="AB402" s="549"/>
      <c r="AC402" s="549"/>
      <c r="AD402" s="549"/>
      <c r="AE402" s="549"/>
      <c r="AF402" s="549"/>
      <c r="AG402" s="549"/>
      <c r="AH402" s="549"/>
      <c r="AI402" s="549"/>
      <c r="AJ402" s="549"/>
      <c r="AK402" s="549"/>
      <c r="AL402" s="549"/>
      <c r="AM402" s="549"/>
      <c r="AN402" s="549"/>
      <c r="AO402" s="549"/>
      <c r="AP402" s="549"/>
      <c r="AQ402" s="549"/>
      <c r="AR402" s="549"/>
      <c r="AS402" s="549"/>
      <c r="AT402" s="549"/>
      <c r="AU402" s="549"/>
      <c r="AV402" s="549"/>
      <c r="AW402" s="549"/>
      <c r="AX402" s="549"/>
      <c r="AY402" s="549"/>
      <c r="AZ402" s="549"/>
      <c r="BA402" s="549"/>
      <c r="BB402" s="549"/>
      <c r="BC402" s="549"/>
      <c r="BD402" s="549"/>
      <c r="BE402" s="549"/>
      <c r="BF402" s="549"/>
      <c r="BG402" s="549"/>
      <c r="BH402" s="549"/>
      <c r="BI402" s="549"/>
    </row>
    <row r="403" spans="16:61" s="254" customFormat="1" ht="9.9">
      <c r="P403" s="549"/>
      <c r="Q403" s="549"/>
      <c r="R403" s="549"/>
      <c r="S403" s="549"/>
      <c r="T403" s="549"/>
      <c r="U403" s="549"/>
      <c r="V403" s="549"/>
      <c r="W403" s="549"/>
      <c r="X403" s="549"/>
      <c r="Y403" s="549"/>
      <c r="Z403" s="549"/>
      <c r="AA403" s="549"/>
      <c r="AB403" s="549"/>
      <c r="AC403" s="549"/>
      <c r="AD403" s="549"/>
      <c r="AE403" s="549"/>
      <c r="AF403" s="549"/>
      <c r="AG403" s="549"/>
      <c r="AH403" s="549"/>
      <c r="AI403" s="549"/>
      <c r="AJ403" s="549"/>
      <c r="AK403" s="549"/>
      <c r="AL403" s="549"/>
      <c r="AM403" s="549"/>
      <c r="AN403" s="549"/>
      <c r="AO403" s="549"/>
      <c r="AP403" s="549"/>
      <c r="AQ403" s="549"/>
      <c r="AR403" s="549"/>
      <c r="AS403" s="549"/>
      <c r="AT403" s="549"/>
      <c r="AU403" s="549"/>
      <c r="AV403" s="549"/>
      <c r="AW403" s="549"/>
      <c r="AX403" s="549"/>
      <c r="AY403" s="549"/>
      <c r="AZ403" s="549"/>
      <c r="BA403" s="549"/>
      <c r="BB403" s="549"/>
      <c r="BC403" s="549"/>
      <c r="BD403" s="549"/>
      <c r="BE403" s="549"/>
      <c r="BF403" s="549"/>
      <c r="BG403" s="549"/>
      <c r="BH403" s="549"/>
      <c r="BI403" s="549"/>
    </row>
    <row r="404" spans="16:61" s="254" customFormat="1" ht="9.9">
      <c r="P404" s="549"/>
      <c r="Q404" s="549"/>
      <c r="R404" s="549"/>
      <c r="S404" s="549"/>
      <c r="T404" s="549"/>
      <c r="U404" s="549"/>
      <c r="V404" s="549"/>
      <c r="W404" s="549"/>
      <c r="X404" s="549"/>
      <c r="Y404" s="549"/>
      <c r="Z404" s="549"/>
      <c r="AA404" s="549"/>
      <c r="AB404" s="549"/>
      <c r="AC404" s="549"/>
      <c r="AD404" s="549"/>
      <c r="AE404" s="549"/>
      <c r="AF404" s="549"/>
      <c r="AG404" s="549"/>
      <c r="AH404" s="549"/>
      <c r="AI404" s="549"/>
      <c r="AJ404" s="549"/>
      <c r="AK404" s="549"/>
      <c r="AL404" s="549"/>
      <c r="AM404" s="549"/>
      <c r="AN404" s="549"/>
      <c r="AO404" s="549"/>
      <c r="AP404" s="549"/>
      <c r="AQ404" s="549"/>
      <c r="AR404" s="549"/>
      <c r="AS404" s="549"/>
      <c r="AT404" s="549"/>
      <c r="AU404" s="549"/>
      <c r="AV404" s="549"/>
      <c r="AW404" s="549"/>
      <c r="AX404" s="549"/>
      <c r="AY404" s="549"/>
      <c r="AZ404" s="549"/>
      <c r="BA404" s="549"/>
      <c r="BB404" s="549"/>
      <c r="BC404" s="549"/>
      <c r="BD404" s="549"/>
      <c r="BE404" s="549"/>
      <c r="BF404" s="549"/>
      <c r="BG404" s="549"/>
      <c r="BH404" s="549"/>
      <c r="BI404" s="549"/>
    </row>
    <row r="405" spans="16:61" s="254" customFormat="1" ht="9.9">
      <c r="P405" s="549"/>
      <c r="Q405" s="549"/>
      <c r="R405" s="549"/>
      <c r="S405" s="549"/>
      <c r="T405" s="549"/>
      <c r="U405" s="549"/>
      <c r="V405" s="549"/>
      <c r="W405" s="549"/>
      <c r="X405" s="549"/>
      <c r="Y405" s="549"/>
      <c r="Z405" s="549"/>
      <c r="AA405" s="549"/>
      <c r="AB405" s="549"/>
      <c r="AC405" s="549"/>
      <c r="AD405" s="549"/>
      <c r="AE405" s="549"/>
      <c r="AF405" s="549"/>
      <c r="AG405" s="549"/>
      <c r="AH405" s="549"/>
      <c r="AI405" s="549"/>
      <c r="AJ405" s="549"/>
      <c r="AK405" s="549"/>
      <c r="AL405" s="549"/>
      <c r="AM405" s="549"/>
      <c r="AN405" s="549"/>
      <c r="AO405" s="549"/>
      <c r="AP405" s="549"/>
      <c r="AQ405" s="549"/>
      <c r="AR405" s="549"/>
      <c r="AS405" s="549"/>
      <c r="AT405" s="549"/>
      <c r="AU405" s="549"/>
      <c r="AV405" s="549"/>
      <c r="AW405" s="549"/>
      <c r="AX405" s="549"/>
      <c r="AY405" s="549"/>
      <c r="AZ405" s="549"/>
      <c r="BA405" s="549"/>
      <c r="BB405" s="549"/>
      <c r="BC405" s="549"/>
      <c r="BD405" s="549"/>
      <c r="BE405" s="549"/>
      <c r="BF405" s="549"/>
      <c r="BG405" s="549"/>
      <c r="BH405" s="549"/>
      <c r="BI405" s="549"/>
    </row>
    <row r="406" spans="16:61" s="254" customFormat="1" ht="9.9">
      <c r="P406" s="549"/>
      <c r="Q406" s="549"/>
      <c r="R406" s="549"/>
      <c r="S406" s="549"/>
      <c r="T406" s="549"/>
      <c r="U406" s="549"/>
      <c r="V406" s="549"/>
      <c r="W406" s="549"/>
      <c r="X406" s="549"/>
      <c r="Y406" s="549"/>
      <c r="Z406" s="549"/>
      <c r="AA406" s="549"/>
      <c r="AB406" s="549"/>
      <c r="AC406" s="549"/>
      <c r="AD406" s="549"/>
      <c r="AE406" s="549"/>
      <c r="AF406" s="549"/>
      <c r="AG406" s="549"/>
      <c r="AH406" s="549"/>
      <c r="AI406" s="549"/>
      <c r="AJ406" s="549"/>
      <c r="AK406" s="549"/>
      <c r="AL406" s="549"/>
      <c r="AM406" s="549"/>
      <c r="AN406" s="549"/>
      <c r="AO406" s="549"/>
      <c r="AP406" s="549"/>
      <c r="AQ406" s="549"/>
      <c r="AR406" s="549"/>
      <c r="AS406" s="549"/>
      <c r="AT406" s="549"/>
      <c r="AU406" s="549"/>
      <c r="AV406" s="549"/>
      <c r="AW406" s="549"/>
      <c r="AX406" s="549"/>
      <c r="AY406" s="549"/>
      <c r="AZ406" s="549"/>
      <c r="BA406" s="549"/>
      <c r="BB406" s="549"/>
      <c r="BC406" s="549"/>
      <c r="BD406" s="549"/>
      <c r="BE406" s="549"/>
      <c r="BF406" s="549"/>
      <c r="BG406" s="549"/>
      <c r="BH406" s="549"/>
      <c r="BI406" s="549"/>
    </row>
    <row r="407" spans="16:61" s="254" customFormat="1" ht="9.9">
      <c r="P407" s="549"/>
      <c r="Q407" s="549"/>
      <c r="R407" s="549"/>
      <c r="S407" s="549"/>
      <c r="T407" s="549"/>
      <c r="U407" s="549"/>
      <c r="V407" s="549"/>
      <c r="W407" s="549"/>
      <c r="X407" s="549"/>
      <c r="Y407" s="549"/>
      <c r="Z407" s="549"/>
      <c r="AA407" s="549"/>
      <c r="AB407" s="549"/>
      <c r="AC407" s="549"/>
      <c r="AD407" s="549"/>
      <c r="AE407" s="549"/>
      <c r="AF407" s="549"/>
      <c r="AG407" s="549"/>
      <c r="AH407" s="549"/>
      <c r="AI407" s="549"/>
      <c r="AJ407" s="549"/>
      <c r="AK407" s="549"/>
      <c r="AL407" s="549"/>
      <c r="AM407" s="549"/>
      <c r="AN407" s="549"/>
      <c r="AO407" s="549"/>
      <c r="AP407" s="549"/>
      <c r="AQ407" s="549"/>
      <c r="AR407" s="549"/>
      <c r="AS407" s="549"/>
      <c r="AT407" s="549"/>
      <c r="AU407" s="549"/>
      <c r="AV407" s="549"/>
      <c r="AW407" s="549"/>
      <c r="AX407" s="549"/>
      <c r="AY407" s="549"/>
      <c r="AZ407" s="549"/>
      <c r="BA407" s="549"/>
      <c r="BB407" s="549"/>
      <c r="BC407" s="549"/>
      <c r="BD407" s="549"/>
      <c r="BE407" s="549"/>
      <c r="BF407" s="549"/>
      <c r="BG407" s="549"/>
      <c r="BH407" s="549"/>
      <c r="BI407" s="549"/>
    </row>
    <row r="408" spans="16:61" s="254" customFormat="1" ht="9.9">
      <c r="P408" s="549"/>
      <c r="Q408" s="549"/>
      <c r="R408" s="549"/>
      <c r="S408" s="549"/>
      <c r="T408" s="549"/>
      <c r="U408" s="549"/>
      <c r="V408" s="549"/>
      <c r="W408" s="549"/>
      <c r="X408" s="549"/>
      <c r="Y408" s="549"/>
      <c r="Z408" s="549"/>
      <c r="AA408" s="549"/>
      <c r="AB408" s="549"/>
      <c r="AC408" s="549"/>
      <c r="AD408" s="549"/>
      <c r="AE408" s="549"/>
      <c r="AF408" s="549"/>
      <c r="AG408" s="549"/>
      <c r="AH408" s="549"/>
      <c r="AI408" s="549"/>
      <c r="AJ408" s="549"/>
      <c r="AK408" s="549"/>
      <c r="AL408" s="549"/>
      <c r="AM408" s="549"/>
      <c r="AN408" s="549"/>
      <c r="AO408" s="549"/>
      <c r="AP408" s="549"/>
      <c r="AQ408" s="549"/>
      <c r="AR408" s="549"/>
      <c r="AS408" s="549"/>
      <c r="AT408" s="549"/>
      <c r="AU408" s="549"/>
      <c r="AV408" s="549"/>
      <c r="AW408" s="549"/>
      <c r="AX408" s="549"/>
      <c r="AY408" s="549"/>
      <c r="AZ408" s="549"/>
      <c r="BA408" s="549"/>
      <c r="BB408" s="549"/>
      <c r="BC408" s="549"/>
      <c r="BD408" s="549"/>
      <c r="BE408" s="549"/>
      <c r="BF408" s="549"/>
      <c r="BG408" s="549"/>
      <c r="BH408" s="549"/>
      <c r="BI408" s="549"/>
    </row>
    <row r="409" spans="16:61" s="254" customFormat="1" ht="9.9">
      <c r="P409" s="549"/>
      <c r="Q409" s="549"/>
      <c r="R409" s="549"/>
      <c r="S409" s="549"/>
      <c r="T409" s="549"/>
      <c r="U409" s="549"/>
      <c r="V409" s="549"/>
      <c r="W409" s="549"/>
      <c r="X409" s="549"/>
      <c r="Y409" s="549"/>
      <c r="Z409" s="549"/>
      <c r="AA409" s="549"/>
      <c r="AB409" s="549"/>
      <c r="AC409" s="549"/>
      <c r="AD409" s="549"/>
      <c r="AE409" s="549"/>
      <c r="AF409" s="549"/>
      <c r="AG409" s="549"/>
      <c r="AH409" s="549"/>
      <c r="AI409" s="549"/>
      <c r="AJ409" s="549"/>
      <c r="AK409" s="549"/>
      <c r="AL409" s="549"/>
      <c r="AM409" s="549"/>
      <c r="AN409" s="549"/>
      <c r="AO409" s="549"/>
      <c r="AP409" s="549"/>
      <c r="AQ409" s="549"/>
      <c r="AR409" s="549"/>
      <c r="AS409" s="549"/>
      <c r="AT409" s="549"/>
      <c r="AU409" s="549"/>
      <c r="AV409" s="549"/>
      <c r="AW409" s="549"/>
      <c r="AX409" s="549"/>
      <c r="AY409" s="549"/>
      <c r="AZ409" s="549"/>
      <c r="BA409" s="549"/>
      <c r="BB409" s="549"/>
      <c r="BC409" s="549"/>
      <c r="BD409" s="549"/>
      <c r="BE409" s="549"/>
      <c r="BF409" s="549"/>
      <c r="BG409" s="549"/>
      <c r="BH409" s="549"/>
      <c r="BI409" s="549"/>
    </row>
    <row r="410" spans="16:61" s="254" customFormat="1" ht="9.9">
      <c r="P410" s="549"/>
      <c r="Q410" s="549"/>
      <c r="R410" s="549"/>
      <c r="S410" s="549"/>
      <c r="T410" s="549"/>
      <c r="U410" s="549"/>
      <c r="V410" s="549"/>
      <c r="W410" s="549"/>
      <c r="X410" s="549"/>
      <c r="Y410" s="549"/>
      <c r="Z410" s="549"/>
      <c r="AA410" s="549"/>
      <c r="AB410" s="549"/>
      <c r="AC410" s="549"/>
      <c r="AD410" s="549"/>
      <c r="AE410" s="549"/>
      <c r="AF410" s="549"/>
      <c r="AG410" s="549"/>
      <c r="AH410" s="549"/>
      <c r="AI410" s="549"/>
      <c r="AJ410" s="549"/>
      <c r="AK410" s="549"/>
      <c r="AL410" s="549"/>
      <c r="AM410" s="549"/>
      <c r="AN410" s="549"/>
      <c r="AO410" s="549"/>
      <c r="AP410" s="549"/>
      <c r="AQ410" s="549"/>
      <c r="AR410" s="549"/>
      <c r="AS410" s="549"/>
      <c r="AT410" s="549"/>
      <c r="AU410" s="549"/>
      <c r="AV410" s="549"/>
      <c r="AW410" s="549"/>
      <c r="AX410" s="549"/>
      <c r="AY410" s="549"/>
      <c r="AZ410" s="549"/>
      <c r="BA410" s="549"/>
      <c r="BB410" s="549"/>
      <c r="BC410" s="549"/>
      <c r="BD410" s="549"/>
      <c r="BE410" s="549"/>
      <c r="BF410" s="549"/>
      <c r="BG410" s="549"/>
      <c r="BH410" s="549"/>
      <c r="BI410" s="549"/>
    </row>
    <row r="411" spans="16:61" s="254" customFormat="1" ht="9.9">
      <c r="P411" s="549"/>
      <c r="Q411" s="549"/>
      <c r="R411" s="549"/>
      <c r="S411" s="549"/>
      <c r="T411" s="549"/>
      <c r="U411" s="549"/>
      <c r="V411" s="549"/>
      <c r="W411" s="549"/>
      <c r="X411" s="549"/>
      <c r="Y411" s="549"/>
      <c r="Z411" s="549"/>
      <c r="AA411" s="549"/>
      <c r="AB411" s="549"/>
      <c r="AC411" s="549"/>
      <c r="AD411" s="549"/>
      <c r="AE411" s="549"/>
      <c r="AF411" s="549"/>
      <c r="AG411" s="549"/>
      <c r="AH411" s="549"/>
      <c r="AI411" s="549"/>
      <c r="AJ411" s="549"/>
      <c r="AK411" s="549"/>
      <c r="AL411" s="549"/>
      <c r="AM411" s="549"/>
      <c r="AN411" s="549"/>
      <c r="AO411" s="549"/>
      <c r="AP411" s="549"/>
      <c r="AQ411" s="549"/>
      <c r="AR411" s="549"/>
      <c r="AS411" s="549"/>
      <c r="AT411" s="549"/>
      <c r="AU411" s="549"/>
      <c r="AV411" s="549"/>
      <c r="AW411" s="549"/>
      <c r="AX411" s="549"/>
      <c r="AY411" s="549"/>
      <c r="AZ411" s="549"/>
      <c r="BA411" s="549"/>
      <c r="BB411" s="549"/>
      <c r="BC411" s="549"/>
      <c r="BD411" s="549"/>
      <c r="BE411" s="549"/>
      <c r="BF411" s="549"/>
      <c r="BG411" s="549"/>
      <c r="BH411" s="549"/>
      <c r="BI411" s="549"/>
    </row>
    <row r="412" spans="16:61" s="254" customFormat="1" ht="9.9">
      <c r="P412" s="549"/>
      <c r="Q412" s="549"/>
      <c r="R412" s="549"/>
      <c r="S412" s="549"/>
      <c r="T412" s="549"/>
      <c r="U412" s="549"/>
      <c r="V412" s="549"/>
      <c r="W412" s="549"/>
      <c r="X412" s="549"/>
      <c r="Y412" s="549"/>
      <c r="Z412" s="549"/>
      <c r="AA412" s="549"/>
      <c r="AB412" s="549"/>
      <c r="AC412" s="549"/>
      <c r="AD412" s="549"/>
      <c r="AE412" s="549"/>
      <c r="AF412" s="549"/>
      <c r="AG412" s="549"/>
      <c r="AH412" s="549"/>
      <c r="AI412" s="549"/>
      <c r="AJ412" s="549"/>
      <c r="AK412" s="549"/>
      <c r="AL412" s="549"/>
      <c r="AM412" s="549"/>
      <c r="AN412" s="549"/>
      <c r="AO412" s="549"/>
      <c r="AP412" s="549"/>
      <c r="AQ412" s="549"/>
      <c r="AR412" s="549"/>
      <c r="AS412" s="549"/>
      <c r="AT412" s="549"/>
      <c r="AU412" s="549"/>
      <c r="AV412" s="549"/>
      <c r="AW412" s="549"/>
      <c r="AX412" s="549"/>
      <c r="AY412" s="549"/>
      <c r="AZ412" s="549"/>
      <c r="BA412" s="549"/>
      <c r="BB412" s="549"/>
      <c r="BC412" s="549"/>
      <c r="BD412" s="549"/>
      <c r="BE412" s="549"/>
      <c r="BF412" s="549"/>
      <c r="BG412" s="549"/>
      <c r="BH412" s="549"/>
      <c r="BI412" s="549"/>
    </row>
    <row r="413" spans="16:61" s="254" customFormat="1" ht="9.9">
      <c r="P413" s="549"/>
      <c r="Q413" s="549"/>
      <c r="R413" s="549"/>
      <c r="S413" s="549"/>
      <c r="T413" s="549"/>
      <c r="U413" s="549"/>
      <c r="V413" s="549"/>
      <c r="W413" s="549"/>
      <c r="X413" s="549"/>
      <c r="Y413" s="549"/>
      <c r="Z413" s="549"/>
      <c r="AA413" s="549"/>
      <c r="AB413" s="549"/>
      <c r="AC413" s="549"/>
      <c r="AD413" s="549"/>
      <c r="AE413" s="549"/>
      <c r="AF413" s="549"/>
      <c r="AG413" s="549"/>
      <c r="AH413" s="549"/>
      <c r="AI413" s="549"/>
      <c r="AJ413" s="549"/>
      <c r="AK413" s="549"/>
      <c r="AL413" s="549"/>
      <c r="AM413" s="549"/>
      <c r="AN413" s="549"/>
      <c r="AO413" s="549"/>
      <c r="AP413" s="549"/>
      <c r="AQ413" s="549"/>
      <c r="AR413" s="549"/>
      <c r="AS413" s="549"/>
      <c r="AT413" s="549"/>
      <c r="AU413" s="549"/>
      <c r="AV413" s="549"/>
      <c r="AW413" s="549"/>
      <c r="AX413" s="549"/>
      <c r="AY413" s="549"/>
      <c r="AZ413" s="549"/>
      <c r="BA413" s="549"/>
      <c r="BB413" s="549"/>
      <c r="BC413" s="549"/>
      <c r="BD413" s="549"/>
      <c r="BE413" s="549"/>
      <c r="BF413" s="549"/>
      <c r="BG413" s="549"/>
      <c r="BH413" s="549"/>
      <c r="BI413" s="549"/>
    </row>
    <row r="414" spans="16:61" s="254" customFormat="1" ht="9.9">
      <c r="P414" s="549"/>
      <c r="Q414" s="549"/>
      <c r="R414" s="549"/>
      <c r="S414" s="549"/>
      <c r="T414" s="549"/>
      <c r="U414" s="549"/>
      <c r="V414" s="549"/>
      <c r="W414" s="549"/>
      <c r="X414" s="549"/>
      <c r="Y414" s="549"/>
      <c r="Z414" s="549"/>
      <c r="AA414" s="549"/>
      <c r="AB414" s="549"/>
      <c r="AC414" s="549"/>
      <c r="AD414" s="549"/>
      <c r="AE414" s="549"/>
      <c r="AF414" s="549"/>
      <c r="AG414" s="549"/>
      <c r="AH414" s="549"/>
      <c r="AI414" s="549"/>
      <c r="AJ414" s="549"/>
      <c r="AK414" s="549"/>
      <c r="AL414" s="549"/>
      <c r="AM414" s="549"/>
      <c r="AN414" s="549"/>
      <c r="AO414" s="549"/>
      <c r="AP414" s="549"/>
      <c r="AQ414" s="549"/>
      <c r="AR414" s="549"/>
      <c r="AS414" s="549"/>
      <c r="AT414" s="549"/>
      <c r="AU414" s="549"/>
      <c r="AV414" s="549"/>
      <c r="AW414" s="549"/>
      <c r="AX414" s="549"/>
      <c r="AY414" s="549"/>
      <c r="AZ414" s="549"/>
      <c r="BA414" s="549"/>
      <c r="BB414" s="549"/>
      <c r="BC414" s="549"/>
      <c r="BD414" s="549"/>
      <c r="BE414" s="549"/>
      <c r="BF414" s="549"/>
      <c r="BG414" s="549"/>
      <c r="BH414" s="549"/>
      <c r="BI414" s="549"/>
    </row>
    <row r="415" spans="16:61" s="254" customFormat="1" ht="9.9">
      <c r="P415" s="549"/>
      <c r="Q415" s="549"/>
      <c r="R415" s="549"/>
      <c r="S415" s="549"/>
      <c r="T415" s="549"/>
      <c r="U415" s="549"/>
      <c r="V415" s="549"/>
      <c r="W415" s="549"/>
      <c r="X415" s="549"/>
      <c r="Y415" s="549"/>
      <c r="Z415" s="549"/>
      <c r="AA415" s="549"/>
      <c r="AB415" s="549"/>
      <c r="AC415" s="549"/>
      <c r="AD415" s="549"/>
      <c r="AE415" s="549"/>
      <c r="AF415" s="549"/>
      <c r="AG415" s="549"/>
      <c r="AH415" s="549"/>
      <c r="AI415" s="549"/>
      <c r="AJ415" s="549"/>
      <c r="AK415" s="549"/>
      <c r="AL415" s="549"/>
      <c r="AM415" s="549"/>
      <c r="AN415" s="549"/>
      <c r="AO415" s="549"/>
      <c r="AP415" s="549"/>
      <c r="AQ415" s="549"/>
      <c r="AR415" s="549"/>
      <c r="AS415" s="549"/>
      <c r="AT415" s="549"/>
      <c r="AU415" s="549"/>
      <c r="AV415" s="549"/>
      <c r="AW415" s="549"/>
      <c r="AX415" s="549"/>
      <c r="AY415" s="549"/>
      <c r="AZ415" s="549"/>
      <c r="BA415" s="549"/>
      <c r="BB415" s="549"/>
      <c r="BC415" s="549"/>
      <c r="BD415" s="549"/>
      <c r="BE415" s="549"/>
      <c r="BF415" s="549"/>
      <c r="BG415" s="549"/>
      <c r="BH415" s="549"/>
      <c r="BI415" s="549"/>
    </row>
    <row r="416" spans="16:61" s="254" customFormat="1" ht="9.9">
      <c r="P416" s="549"/>
      <c r="Q416" s="549"/>
      <c r="R416" s="549"/>
      <c r="S416" s="549"/>
      <c r="T416" s="549"/>
      <c r="U416" s="549"/>
      <c r="V416" s="549"/>
      <c r="W416" s="549"/>
      <c r="X416" s="549"/>
      <c r="Y416" s="549"/>
      <c r="Z416" s="549"/>
      <c r="AA416" s="549"/>
      <c r="AB416" s="549"/>
      <c r="AC416" s="549"/>
      <c r="AD416" s="549"/>
      <c r="AE416" s="549"/>
      <c r="AF416" s="549"/>
      <c r="AG416" s="549"/>
      <c r="AH416" s="549"/>
      <c r="AI416" s="549"/>
      <c r="AJ416" s="549"/>
      <c r="AK416" s="549"/>
      <c r="AL416" s="549"/>
      <c r="AM416" s="549"/>
      <c r="AN416" s="549"/>
      <c r="AO416" s="549"/>
      <c r="AP416" s="549"/>
      <c r="AQ416" s="549"/>
      <c r="AR416" s="549"/>
      <c r="AS416" s="549"/>
      <c r="AT416" s="549"/>
      <c r="AU416" s="549"/>
      <c r="AV416" s="549"/>
      <c r="AW416" s="549"/>
      <c r="AX416" s="549"/>
      <c r="AY416" s="549"/>
      <c r="AZ416" s="549"/>
      <c r="BA416" s="549"/>
      <c r="BB416" s="549"/>
      <c r="BC416" s="549"/>
      <c r="BD416" s="549"/>
      <c r="BE416" s="549"/>
      <c r="BF416" s="549"/>
      <c r="BG416" s="549"/>
      <c r="BH416" s="549"/>
      <c r="BI416" s="549"/>
    </row>
    <row r="417" spans="16:61" s="254" customFormat="1" ht="9.9">
      <c r="P417" s="549"/>
      <c r="Q417" s="549"/>
      <c r="R417" s="549"/>
      <c r="S417" s="549"/>
      <c r="T417" s="549"/>
      <c r="U417" s="549"/>
      <c r="V417" s="549"/>
      <c r="W417" s="549"/>
      <c r="X417" s="549"/>
      <c r="Y417" s="549"/>
      <c r="Z417" s="549"/>
      <c r="AA417" s="549"/>
      <c r="AB417" s="549"/>
      <c r="AC417" s="549"/>
      <c r="AD417" s="549"/>
      <c r="AE417" s="549"/>
      <c r="AF417" s="549"/>
      <c r="AG417" s="549"/>
      <c r="AH417" s="549"/>
      <c r="AI417" s="549"/>
      <c r="AJ417" s="549"/>
      <c r="AK417" s="549"/>
      <c r="AL417" s="549"/>
      <c r="AM417" s="549"/>
      <c r="AN417" s="549"/>
      <c r="AO417" s="549"/>
      <c r="AP417" s="549"/>
      <c r="AQ417" s="549"/>
      <c r="AR417" s="549"/>
      <c r="AS417" s="549"/>
      <c r="AT417" s="549"/>
      <c r="AU417" s="549"/>
      <c r="AV417" s="549"/>
      <c r="AW417" s="549"/>
      <c r="AX417" s="549"/>
      <c r="AY417" s="549"/>
      <c r="AZ417" s="549"/>
      <c r="BA417" s="549"/>
      <c r="BB417" s="549"/>
      <c r="BC417" s="549"/>
      <c r="BD417" s="549"/>
      <c r="BE417" s="549"/>
      <c r="BF417" s="549"/>
      <c r="BG417" s="549"/>
      <c r="BH417" s="549"/>
      <c r="BI417" s="549"/>
    </row>
    <row r="418" spans="16:61" s="254" customFormat="1" ht="9.9">
      <c r="P418" s="549"/>
      <c r="Q418" s="549"/>
      <c r="R418" s="549"/>
      <c r="S418" s="549"/>
      <c r="T418" s="549"/>
      <c r="U418" s="549"/>
      <c r="V418" s="549"/>
      <c r="W418" s="549"/>
      <c r="X418" s="549"/>
      <c r="Y418" s="549"/>
      <c r="Z418" s="549"/>
      <c r="AA418" s="549"/>
      <c r="AB418" s="549"/>
      <c r="AC418" s="549"/>
      <c r="AD418" s="549"/>
      <c r="AE418" s="549"/>
      <c r="AF418" s="549"/>
      <c r="AG418" s="549"/>
      <c r="AH418" s="549"/>
      <c r="AI418" s="549"/>
      <c r="AJ418" s="549"/>
      <c r="AK418" s="549"/>
      <c r="AL418" s="549"/>
      <c r="AM418" s="549"/>
      <c r="AN418" s="549"/>
      <c r="AO418" s="549"/>
      <c r="AP418" s="549"/>
      <c r="AQ418" s="549"/>
      <c r="AR418" s="549"/>
      <c r="AS418" s="549"/>
      <c r="AT418" s="549"/>
      <c r="AU418" s="549"/>
      <c r="AV418" s="549"/>
      <c r="AW418" s="549"/>
      <c r="AX418" s="549"/>
      <c r="AY418" s="549"/>
      <c r="AZ418" s="549"/>
      <c r="BA418" s="549"/>
      <c r="BB418" s="549"/>
      <c r="BC418" s="549"/>
      <c r="BD418" s="549"/>
      <c r="BE418" s="549"/>
      <c r="BF418" s="549"/>
      <c r="BG418" s="549"/>
      <c r="BH418" s="549"/>
      <c r="BI418" s="549"/>
    </row>
    <row r="419" spans="16:61" s="254" customFormat="1" ht="9.9">
      <c r="P419" s="549"/>
      <c r="Q419" s="549"/>
      <c r="R419" s="549"/>
      <c r="S419" s="549"/>
      <c r="T419" s="549"/>
      <c r="U419" s="549"/>
      <c r="V419" s="549"/>
      <c r="W419" s="549"/>
      <c r="X419" s="549"/>
      <c r="Y419" s="549"/>
      <c r="Z419" s="549"/>
      <c r="AA419" s="549"/>
      <c r="AB419" s="549"/>
      <c r="AC419" s="549"/>
      <c r="AD419" s="549"/>
      <c r="AE419" s="549"/>
      <c r="AF419" s="549"/>
      <c r="AG419" s="549"/>
      <c r="AH419" s="549"/>
      <c r="AI419" s="549"/>
      <c r="AJ419" s="549"/>
      <c r="AK419" s="549"/>
      <c r="AL419" s="549"/>
      <c r="AM419" s="549"/>
      <c r="AN419" s="549"/>
      <c r="AO419" s="549"/>
      <c r="AP419" s="549"/>
      <c r="AQ419" s="549"/>
      <c r="AR419" s="549"/>
      <c r="AS419" s="549"/>
      <c r="AT419" s="549"/>
      <c r="AU419" s="549"/>
      <c r="AV419" s="549"/>
      <c r="AW419" s="549"/>
      <c r="AX419" s="549"/>
      <c r="AY419" s="549"/>
      <c r="AZ419" s="549"/>
      <c r="BA419" s="549"/>
      <c r="BB419" s="549"/>
      <c r="BC419" s="549"/>
      <c r="BD419" s="549"/>
      <c r="BE419" s="549"/>
      <c r="BF419" s="549"/>
      <c r="BG419" s="549"/>
      <c r="BH419" s="549"/>
      <c r="BI419" s="549"/>
    </row>
    <row r="420" spans="16:61" s="254" customFormat="1" ht="9.9">
      <c r="P420" s="549"/>
      <c r="Q420" s="549"/>
      <c r="R420" s="549"/>
      <c r="S420" s="549"/>
      <c r="T420" s="549"/>
      <c r="U420" s="549"/>
      <c r="V420" s="549"/>
      <c r="W420" s="549"/>
      <c r="X420" s="549"/>
      <c r="Y420" s="549"/>
      <c r="Z420" s="549"/>
      <c r="AA420" s="549"/>
      <c r="AB420" s="549"/>
      <c r="AC420" s="549"/>
      <c r="AD420" s="549"/>
      <c r="AE420" s="549"/>
      <c r="AF420" s="549"/>
      <c r="AG420" s="549"/>
      <c r="AH420" s="549"/>
      <c r="AI420" s="549"/>
      <c r="AJ420" s="549"/>
      <c r="AK420" s="549"/>
      <c r="AL420" s="549"/>
      <c r="AM420" s="549"/>
      <c r="AN420" s="549"/>
      <c r="AO420" s="549"/>
      <c r="AP420" s="549"/>
      <c r="AQ420" s="549"/>
      <c r="AR420" s="549"/>
      <c r="AS420" s="549"/>
      <c r="AT420" s="549"/>
      <c r="AU420" s="549"/>
      <c r="AV420" s="549"/>
      <c r="AW420" s="549"/>
      <c r="AX420" s="549"/>
      <c r="AY420" s="549"/>
      <c r="AZ420" s="549"/>
      <c r="BA420" s="549"/>
      <c r="BB420" s="549"/>
      <c r="BC420" s="549"/>
      <c r="BD420" s="549"/>
      <c r="BE420" s="549"/>
      <c r="BF420" s="549"/>
      <c r="BG420" s="549"/>
      <c r="BH420" s="549"/>
      <c r="BI420" s="549"/>
    </row>
    <row r="421" spans="16:61" s="254" customFormat="1" ht="9.9">
      <c r="P421" s="549"/>
      <c r="Q421" s="549"/>
      <c r="R421" s="549"/>
      <c r="S421" s="549"/>
      <c r="T421" s="549"/>
      <c r="U421" s="549"/>
      <c r="V421" s="549"/>
      <c r="W421" s="549"/>
      <c r="X421" s="549"/>
      <c r="Y421" s="549"/>
      <c r="Z421" s="549"/>
      <c r="AA421" s="549"/>
      <c r="AB421" s="549"/>
      <c r="AC421" s="549"/>
      <c r="AD421" s="549"/>
      <c r="AE421" s="549"/>
      <c r="AF421" s="549"/>
      <c r="AG421" s="549"/>
      <c r="AH421" s="549"/>
      <c r="AI421" s="549"/>
      <c r="AJ421" s="549"/>
      <c r="AK421" s="549"/>
      <c r="AL421" s="549"/>
      <c r="AM421" s="549"/>
      <c r="AN421" s="549"/>
      <c r="AO421" s="549"/>
      <c r="AP421" s="549"/>
      <c r="AQ421" s="549"/>
      <c r="AR421" s="549"/>
      <c r="AS421" s="549"/>
      <c r="AT421" s="549"/>
      <c r="AU421" s="549"/>
      <c r="AV421" s="549"/>
      <c r="AW421" s="549"/>
      <c r="AX421" s="549"/>
      <c r="AY421" s="549"/>
      <c r="AZ421" s="549"/>
      <c r="BA421" s="549"/>
      <c r="BB421" s="549"/>
      <c r="BC421" s="549"/>
      <c r="BD421" s="549"/>
      <c r="BE421" s="549"/>
      <c r="BF421" s="549"/>
      <c r="BG421" s="549"/>
      <c r="BH421" s="549"/>
      <c r="BI421" s="549"/>
    </row>
    <row r="422" spans="16:61" s="254" customFormat="1" ht="9.9">
      <c r="P422" s="549"/>
      <c r="Q422" s="549"/>
      <c r="R422" s="549"/>
      <c r="S422" s="549"/>
      <c r="T422" s="549"/>
      <c r="U422" s="549"/>
      <c r="V422" s="549"/>
      <c r="W422" s="549"/>
      <c r="X422" s="549"/>
      <c r="Y422" s="549"/>
      <c r="Z422" s="549"/>
      <c r="AA422" s="549"/>
      <c r="AB422" s="549"/>
      <c r="AC422" s="549"/>
      <c r="AD422" s="549"/>
      <c r="AE422" s="549"/>
      <c r="AF422" s="549"/>
      <c r="AG422" s="549"/>
      <c r="AH422" s="549"/>
      <c r="AI422" s="549"/>
      <c r="AJ422" s="549"/>
      <c r="AK422" s="549"/>
      <c r="AL422" s="549"/>
      <c r="AM422" s="549"/>
      <c r="AN422" s="549"/>
      <c r="AO422" s="549"/>
      <c r="AP422" s="549"/>
      <c r="AQ422" s="549"/>
      <c r="AR422" s="549"/>
      <c r="AS422" s="549"/>
      <c r="AT422" s="549"/>
      <c r="AU422" s="549"/>
      <c r="AV422" s="549"/>
      <c r="AW422" s="549"/>
      <c r="AX422" s="549"/>
      <c r="AY422" s="549"/>
      <c r="AZ422" s="549"/>
      <c r="BA422" s="549"/>
      <c r="BB422" s="549"/>
      <c r="BC422" s="549"/>
      <c r="BD422" s="549"/>
      <c r="BE422" s="549"/>
      <c r="BF422" s="549"/>
      <c r="BG422" s="549"/>
      <c r="BH422" s="549"/>
      <c r="BI422" s="549"/>
    </row>
    <row r="423" spans="16:61" s="254" customFormat="1" ht="9.9">
      <c r="P423" s="549"/>
      <c r="Q423" s="549"/>
      <c r="R423" s="549"/>
      <c r="S423" s="549"/>
      <c r="T423" s="549"/>
      <c r="U423" s="549"/>
      <c r="V423" s="549"/>
      <c r="W423" s="549"/>
      <c r="X423" s="549"/>
      <c r="Y423" s="549"/>
      <c r="Z423" s="549"/>
      <c r="AA423" s="549"/>
      <c r="AB423" s="549"/>
      <c r="AC423" s="549"/>
      <c r="AD423" s="549"/>
      <c r="AE423" s="549"/>
      <c r="AF423" s="549"/>
      <c r="AG423" s="549"/>
      <c r="AH423" s="549"/>
      <c r="AI423" s="549"/>
      <c r="AJ423" s="549"/>
      <c r="AK423" s="549"/>
      <c r="AL423" s="549"/>
      <c r="AM423" s="549"/>
      <c r="AN423" s="549"/>
      <c r="AO423" s="549"/>
      <c r="AP423" s="549"/>
      <c r="AQ423" s="549"/>
      <c r="AR423" s="549"/>
      <c r="AS423" s="549"/>
      <c r="AT423" s="549"/>
      <c r="AU423" s="549"/>
      <c r="AV423" s="549"/>
      <c r="AW423" s="549"/>
      <c r="AX423" s="549"/>
      <c r="AY423" s="549"/>
      <c r="AZ423" s="549"/>
      <c r="BA423" s="549"/>
      <c r="BB423" s="549"/>
      <c r="BC423" s="549"/>
      <c r="BD423" s="549"/>
      <c r="BE423" s="549"/>
      <c r="BF423" s="549"/>
      <c r="BG423" s="549"/>
      <c r="BH423" s="549"/>
      <c r="BI423" s="549"/>
    </row>
    <row r="424" spans="16:61" s="254" customFormat="1" ht="9.9">
      <c r="P424" s="549"/>
      <c r="Q424" s="549"/>
      <c r="R424" s="549"/>
      <c r="S424" s="549"/>
      <c r="T424" s="549"/>
      <c r="U424" s="549"/>
      <c r="V424" s="549"/>
      <c r="W424" s="549"/>
      <c r="X424" s="549"/>
      <c r="Y424" s="549"/>
      <c r="Z424" s="549"/>
      <c r="AA424" s="549"/>
      <c r="AB424" s="549"/>
      <c r="AC424" s="549"/>
      <c r="AD424" s="549"/>
      <c r="AE424" s="549"/>
      <c r="AF424" s="549"/>
      <c r="AG424" s="549"/>
      <c r="AH424" s="549"/>
      <c r="AI424" s="549"/>
      <c r="AJ424" s="549"/>
      <c r="AK424" s="549"/>
      <c r="AL424" s="549"/>
      <c r="AM424" s="549"/>
      <c r="AN424" s="549"/>
      <c r="AO424" s="549"/>
      <c r="AP424" s="549"/>
      <c r="AQ424" s="549"/>
      <c r="AR424" s="549"/>
      <c r="AS424" s="549"/>
      <c r="AT424" s="549"/>
      <c r="AU424" s="549"/>
      <c r="AV424" s="549"/>
      <c r="AW424" s="549"/>
      <c r="AX424" s="549"/>
      <c r="AY424" s="549"/>
      <c r="AZ424" s="549"/>
      <c r="BA424" s="549"/>
      <c r="BB424" s="549"/>
      <c r="BC424" s="549"/>
      <c r="BD424" s="549"/>
      <c r="BE424" s="549"/>
      <c r="BF424" s="549"/>
      <c r="BG424" s="549"/>
      <c r="BH424" s="549"/>
      <c r="BI424" s="549"/>
    </row>
    <row r="425" spans="16:61" s="254" customFormat="1" ht="9.9">
      <c r="P425" s="549"/>
      <c r="Q425" s="549"/>
      <c r="R425" s="549"/>
      <c r="S425" s="549"/>
      <c r="T425" s="549"/>
      <c r="U425" s="549"/>
      <c r="V425" s="549"/>
      <c r="W425" s="549"/>
      <c r="X425" s="549"/>
      <c r="Y425" s="549"/>
      <c r="Z425" s="549"/>
      <c r="AA425" s="549"/>
      <c r="AB425" s="549"/>
      <c r="AC425" s="549"/>
      <c r="AD425" s="549"/>
      <c r="AE425" s="549"/>
      <c r="AF425" s="549"/>
      <c r="AG425" s="549"/>
      <c r="AH425" s="549"/>
      <c r="AI425" s="549"/>
      <c r="AJ425" s="549"/>
      <c r="AK425" s="549"/>
      <c r="AL425" s="549"/>
      <c r="AM425" s="549"/>
      <c r="AN425" s="549"/>
      <c r="AO425" s="549"/>
      <c r="AP425" s="549"/>
      <c r="AQ425" s="549"/>
      <c r="AR425" s="549"/>
      <c r="AS425" s="549"/>
      <c r="AT425" s="549"/>
      <c r="AU425" s="549"/>
      <c r="AV425" s="549"/>
      <c r="AW425" s="549"/>
      <c r="AX425" s="549"/>
      <c r="AY425" s="549"/>
      <c r="AZ425" s="549"/>
      <c r="BA425" s="549"/>
      <c r="BB425" s="549"/>
      <c r="BC425" s="549"/>
      <c r="BD425" s="549"/>
      <c r="BE425" s="549"/>
      <c r="BF425" s="549"/>
      <c r="BG425" s="549"/>
      <c r="BH425" s="549"/>
      <c r="BI425" s="549"/>
    </row>
    <row r="426" spans="16:61" s="254" customFormat="1" ht="9.9">
      <c r="P426" s="549"/>
      <c r="Q426" s="549"/>
      <c r="R426" s="549"/>
      <c r="S426" s="549"/>
      <c r="T426" s="549"/>
      <c r="U426" s="549"/>
      <c r="V426" s="549"/>
      <c r="W426" s="549"/>
      <c r="X426" s="549"/>
      <c r="Y426" s="549"/>
      <c r="Z426" s="549"/>
      <c r="AA426" s="549"/>
      <c r="AB426" s="549"/>
      <c r="AC426" s="549"/>
      <c r="AD426" s="549"/>
      <c r="AE426" s="549"/>
      <c r="AF426" s="549"/>
      <c r="AG426" s="549"/>
      <c r="AH426" s="549"/>
      <c r="AI426" s="549"/>
      <c r="AJ426" s="549"/>
      <c r="AK426" s="549"/>
      <c r="AL426" s="549"/>
      <c r="AM426" s="549"/>
      <c r="AN426" s="549"/>
      <c r="AO426" s="549"/>
      <c r="AP426" s="549"/>
      <c r="AQ426" s="549"/>
      <c r="AR426" s="549"/>
      <c r="AS426" s="549"/>
      <c r="AT426" s="549"/>
      <c r="AU426" s="549"/>
      <c r="AV426" s="549"/>
      <c r="AW426" s="549"/>
      <c r="AX426" s="549"/>
      <c r="AY426" s="549"/>
      <c r="AZ426" s="549"/>
      <c r="BA426" s="549"/>
      <c r="BB426" s="549"/>
      <c r="BC426" s="549"/>
      <c r="BD426" s="549"/>
      <c r="BE426" s="549"/>
      <c r="BF426" s="549"/>
      <c r="BG426" s="549"/>
      <c r="BH426" s="549"/>
      <c r="BI426" s="549"/>
    </row>
    <row r="427" spans="16:61" s="254" customFormat="1" ht="9.9">
      <c r="P427" s="549"/>
      <c r="Q427" s="549"/>
      <c r="R427" s="549"/>
      <c r="S427" s="549"/>
      <c r="T427" s="549"/>
      <c r="U427" s="549"/>
      <c r="V427" s="549"/>
      <c r="W427" s="549"/>
      <c r="X427" s="549"/>
      <c r="Y427" s="549"/>
      <c r="Z427" s="549"/>
      <c r="AA427" s="549"/>
      <c r="AB427" s="549"/>
      <c r="AC427" s="549"/>
      <c r="AD427" s="549"/>
      <c r="AE427" s="549"/>
      <c r="AF427" s="549"/>
      <c r="AG427" s="549"/>
      <c r="AH427" s="549"/>
      <c r="AI427" s="549"/>
      <c r="AJ427" s="549"/>
      <c r="AK427" s="549"/>
      <c r="AL427" s="549"/>
      <c r="AM427" s="549"/>
      <c r="AN427" s="549"/>
      <c r="AO427" s="549"/>
      <c r="AP427" s="549"/>
      <c r="AQ427" s="549"/>
      <c r="AR427" s="549"/>
      <c r="AS427" s="549"/>
      <c r="AT427" s="549"/>
      <c r="AU427" s="549"/>
      <c r="AV427" s="549"/>
      <c r="AW427" s="549"/>
      <c r="AX427" s="549"/>
      <c r="AY427" s="549"/>
      <c r="AZ427" s="549"/>
      <c r="BA427" s="549"/>
      <c r="BB427" s="549"/>
      <c r="BC427" s="549"/>
      <c r="BD427" s="549"/>
      <c r="BE427" s="549"/>
      <c r="BF427" s="549"/>
      <c r="BG427" s="549"/>
      <c r="BH427" s="549"/>
      <c r="BI427" s="549"/>
    </row>
    <row r="428" spans="16:61" s="254" customFormat="1" ht="9.9">
      <c r="P428" s="549"/>
      <c r="Q428" s="549"/>
      <c r="R428" s="549"/>
      <c r="S428" s="549"/>
      <c r="T428" s="549"/>
      <c r="U428" s="549"/>
      <c r="V428" s="549"/>
      <c r="W428" s="549"/>
      <c r="X428" s="549"/>
      <c r="Y428" s="549"/>
      <c r="Z428" s="549"/>
      <c r="AA428" s="549"/>
      <c r="AB428" s="549"/>
      <c r="AC428" s="549"/>
      <c r="AD428" s="549"/>
      <c r="AE428" s="549"/>
      <c r="AF428" s="549"/>
      <c r="AG428" s="549"/>
      <c r="AH428" s="549"/>
      <c r="AI428" s="549"/>
      <c r="AJ428" s="549"/>
      <c r="AK428" s="549"/>
      <c r="AL428" s="549"/>
      <c r="AM428" s="549"/>
      <c r="AN428" s="549"/>
      <c r="AO428" s="549"/>
      <c r="AP428" s="549"/>
      <c r="AQ428" s="549"/>
      <c r="AR428" s="549"/>
      <c r="AS428" s="549"/>
      <c r="AT428" s="549"/>
      <c r="AU428" s="549"/>
      <c r="AV428" s="549"/>
      <c r="AW428" s="549"/>
      <c r="AX428" s="549"/>
      <c r="AY428" s="549"/>
      <c r="AZ428" s="549"/>
      <c r="BA428" s="549"/>
      <c r="BB428" s="549"/>
      <c r="BC428" s="549"/>
      <c r="BD428" s="549"/>
      <c r="BE428" s="549"/>
      <c r="BF428" s="549"/>
      <c r="BG428" s="549"/>
      <c r="BH428" s="549"/>
      <c r="BI428" s="549"/>
    </row>
    <row r="429" spans="16:61" s="254" customFormat="1" ht="9.9">
      <c r="P429" s="549"/>
      <c r="Q429" s="549"/>
      <c r="R429" s="549"/>
      <c r="S429" s="549"/>
      <c r="T429" s="549"/>
      <c r="U429" s="549"/>
      <c r="V429" s="549"/>
      <c r="W429" s="549"/>
      <c r="X429" s="549"/>
      <c r="Y429" s="549"/>
      <c r="Z429" s="549"/>
      <c r="AA429" s="549"/>
      <c r="AB429" s="549"/>
      <c r="AC429" s="549"/>
      <c r="AD429" s="549"/>
      <c r="AE429" s="549"/>
      <c r="AF429" s="549"/>
      <c r="AG429" s="549"/>
      <c r="AH429" s="549"/>
      <c r="AI429" s="549"/>
      <c r="AJ429" s="549"/>
      <c r="AK429" s="549"/>
      <c r="AL429" s="549"/>
      <c r="AM429" s="549"/>
      <c r="AN429" s="549"/>
      <c r="AO429" s="549"/>
      <c r="AP429" s="549"/>
      <c r="AQ429" s="549"/>
      <c r="AR429" s="549"/>
      <c r="AS429" s="549"/>
      <c r="AT429" s="549"/>
      <c r="AU429" s="549"/>
      <c r="AV429" s="549"/>
      <c r="AW429" s="549"/>
      <c r="AX429" s="549"/>
      <c r="AY429" s="549"/>
      <c r="AZ429" s="549"/>
      <c r="BA429" s="549"/>
      <c r="BB429" s="549"/>
      <c r="BC429" s="549"/>
      <c r="BD429" s="549"/>
      <c r="BE429" s="549"/>
      <c r="BF429" s="549"/>
      <c r="BG429" s="549"/>
      <c r="BH429" s="549"/>
      <c r="BI429" s="549"/>
    </row>
    <row r="430" spans="16:61" s="254" customFormat="1" ht="9.9">
      <c r="P430" s="549"/>
      <c r="Q430" s="549"/>
      <c r="R430" s="549"/>
      <c r="S430" s="549"/>
      <c r="T430" s="549"/>
      <c r="U430" s="549"/>
      <c r="V430" s="549"/>
      <c r="W430" s="549"/>
      <c r="X430" s="549"/>
      <c r="Y430" s="549"/>
      <c r="Z430" s="549"/>
      <c r="AA430" s="549"/>
      <c r="AB430" s="549"/>
      <c r="AC430" s="549"/>
      <c r="AD430" s="549"/>
      <c r="AE430" s="549"/>
      <c r="AF430" s="549"/>
      <c r="AG430" s="549"/>
      <c r="AH430" s="549"/>
      <c r="AI430" s="549"/>
      <c r="AJ430" s="549"/>
      <c r="AK430" s="549"/>
      <c r="AL430" s="549"/>
      <c r="AM430" s="549"/>
      <c r="AN430" s="549"/>
      <c r="AO430" s="549"/>
      <c r="AP430" s="549"/>
      <c r="AQ430" s="549"/>
      <c r="AR430" s="549"/>
      <c r="AS430" s="549"/>
      <c r="AT430" s="549"/>
      <c r="AU430" s="549"/>
      <c r="AV430" s="549"/>
      <c r="AW430" s="549"/>
      <c r="AX430" s="549"/>
      <c r="AY430" s="549"/>
      <c r="AZ430" s="549"/>
      <c r="BA430" s="549"/>
      <c r="BB430" s="549"/>
      <c r="BC430" s="549"/>
      <c r="BD430" s="549"/>
      <c r="BE430" s="549"/>
      <c r="BF430" s="549"/>
      <c r="BG430" s="549"/>
      <c r="BH430" s="549"/>
      <c r="BI430" s="549"/>
    </row>
    <row r="431" spans="16:61" s="254" customFormat="1" ht="9.9">
      <c r="P431" s="549"/>
      <c r="Q431" s="549"/>
      <c r="R431" s="549"/>
      <c r="S431" s="549"/>
      <c r="T431" s="549"/>
      <c r="U431" s="549"/>
      <c r="V431" s="549"/>
      <c r="W431" s="549"/>
      <c r="X431" s="549"/>
      <c r="Y431" s="549"/>
      <c r="Z431" s="549"/>
      <c r="AA431" s="549"/>
      <c r="AB431" s="549"/>
      <c r="AC431" s="549"/>
      <c r="AD431" s="549"/>
      <c r="AE431" s="549"/>
      <c r="AF431" s="549"/>
      <c r="AG431" s="549"/>
      <c r="AH431" s="549"/>
      <c r="AI431" s="549"/>
      <c r="AJ431" s="549"/>
      <c r="AK431" s="549"/>
      <c r="AL431" s="549"/>
      <c r="AM431" s="549"/>
      <c r="AN431" s="549"/>
      <c r="AO431" s="549"/>
      <c r="AP431" s="549"/>
      <c r="AQ431" s="549"/>
      <c r="AR431" s="549"/>
      <c r="AS431" s="549"/>
      <c r="AT431" s="549"/>
      <c r="AU431" s="549"/>
      <c r="AV431" s="549"/>
      <c r="AW431" s="549"/>
      <c r="AX431" s="549"/>
      <c r="AY431" s="549"/>
      <c r="AZ431" s="549"/>
      <c r="BA431" s="549"/>
      <c r="BB431" s="549"/>
      <c r="BC431" s="549"/>
      <c r="BD431" s="549"/>
      <c r="BE431" s="549"/>
      <c r="BF431" s="549"/>
      <c r="BG431" s="549"/>
      <c r="BH431" s="549"/>
      <c r="BI431" s="549"/>
    </row>
    <row r="432" spans="16:61" s="254" customFormat="1" ht="9.9">
      <c r="P432" s="549"/>
      <c r="Q432" s="549"/>
      <c r="R432" s="549"/>
      <c r="S432" s="549"/>
      <c r="T432" s="549"/>
      <c r="U432" s="549"/>
      <c r="V432" s="549"/>
      <c r="W432" s="549"/>
      <c r="X432" s="549"/>
      <c r="Y432" s="549"/>
      <c r="Z432" s="549"/>
      <c r="AA432" s="549"/>
      <c r="AB432" s="549"/>
      <c r="AC432" s="549"/>
      <c r="AD432" s="549"/>
      <c r="AE432" s="549"/>
      <c r="AF432" s="549"/>
      <c r="AG432" s="549"/>
      <c r="AH432" s="549"/>
      <c r="AI432" s="549"/>
      <c r="AJ432" s="549"/>
      <c r="AK432" s="549"/>
      <c r="AL432" s="549"/>
      <c r="AM432" s="549"/>
      <c r="AN432" s="549"/>
      <c r="AO432" s="549"/>
      <c r="AP432" s="549"/>
      <c r="AQ432" s="549"/>
      <c r="AR432" s="549"/>
      <c r="AS432" s="549"/>
      <c r="AT432" s="549"/>
      <c r="AU432" s="549"/>
      <c r="AV432" s="549"/>
      <c r="AW432" s="549"/>
      <c r="AX432" s="549"/>
      <c r="AY432" s="549"/>
      <c r="AZ432" s="549"/>
      <c r="BA432" s="549"/>
      <c r="BB432" s="549"/>
      <c r="BC432" s="549"/>
      <c r="BD432" s="549"/>
      <c r="BE432" s="549"/>
      <c r="BF432" s="549"/>
      <c r="BG432" s="549"/>
      <c r="BH432" s="549"/>
      <c r="BI432" s="549"/>
    </row>
    <row r="433" spans="16:61" s="254" customFormat="1" ht="9.9">
      <c r="P433" s="549"/>
      <c r="Q433" s="549"/>
      <c r="R433" s="549"/>
      <c r="S433" s="549"/>
      <c r="T433" s="549"/>
      <c r="U433" s="549"/>
      <c r="V433" s="549"/>
      <c r="W433" s="549"/>
      <c r="X433" s="549"/>
      <c r="Y433" s="549"/>
      <c r="Z433" s="549"/>
      <c r="AA433" s="549"/>
      <c r="AB433" s="549"/>
      <c r="AC433" s="549"/>
      <c r="AD433" s="549"/>
      <c r="AE433" s="549"/>
      <c r="AF433" s="549"/>
      <c r="AG433" s="549"/>
      <c r="AH433" s="549"/>
      <c r="AI433" s="549"/>
      <c r="AJ433" s="549"/>
      <c r="AK433" s="549"/>
      <c r="AL433" s="549"/>
      <c r="AM433" s="549"/>
      <c r="AN433" s="549"/>
      <c r="AO433" s="549"/>
      <c r="AP433" s="549"/>
      <c r="AQ433" s="549"/>
      <c r="AR433" s="549"/>
      <c r="AS433" s="549"/>
      <c r="AT433" s="549"/>
      <c r="AU433" s="549"/>
      <c r="AV433" s="549"/>
      <c r="AW433" s="549"/>
      <c r="AX433" s="549"/>
      <c r="AY433" s="549"/>
      <c r="AZ433" s="549"/>
      <c r="BA433" s="549"/>
      <c r="BB433" s="549"/>
      <c r="BC433" s="549"/>
      <c r="BD433" s="549"/>
      <c r="BE433" s="549"/>
      <c r="BF433" s="549"/>
      <c r="BG433" s="549"/>
      <c r="BH433" s="549"/>
      <c r="BI433" s="549"/>
    </row>
    <row r="434" spans="16:61" s="254" customFormat="1" ht="9.9">
      <c r="P434" s="549"/>
      <c r="Q434" s="549"/>
      <c r="R434" s="549"/>
      <c r="S434" s="549"/>
      <c r="T434" s="549"/>
      <c r="U434" s="549"/>
      <c r="V434" s="549"/>
      <c r="W434" s="549"/>
      <c r="X434" s="549"/>
      <c r="Y434" s="549"/>
      <c r="Z434" s="549"/>
      <c r="AA434" s="549"/>
      <c r="AB434" s="549"/>
      <c r="AC434" s="549"/>
      <c r="AD434" s="549"/>
      <c r="AE434" s="549"/>
      <c r="AF434" s="549"/>
      <c r="AG434" s="549"/>
      <c r="AH434" s="549"/>
      <c r="AI434" s="549"/>
      <c r="AJ434" s="549"/>
      <c r="AK434" s="549"/>
      <c r="AL434" s="549"/>
      <c r="AM434" s="549"/>
      <c r="AN434" s="549"/>
      <c r="AO434" s="549"/>
      <c r="AP434" s="549"/>
      <c r="AQ434" s="549"/>
      <c r="AR434" s="549"/>
      <c r="AS434" s="549"/>
      <c r="AT434" s="549"/>
      <c r="AU434" s="549"/>
      <c r="AV434" s="549"/>
      <c r="AW434" s="549"/>
      <c r="AX434" s="549"/>
      <c r="AY434" s="549"/>
      <c r="AZ434" s="549"/>
      <c r="BA434" s="549"/>
      <c r="BB434" s="549"/>
      <c r="BC434" s="549"/>
      <c r="BD434" s="549"/>
      <c r="BE434" s="549"/>
      <c r="BF434" s="549"/>
      <c r="BG434" s="549"/>
      <c r="BH434" s="549"/>
      <c r="BI434" s="549"/>
    </row>
    <row r="435" spans="16:61" s="254" customFormat="1" ht="9.9">
      <c r="P435" s="549"/>
      <c r="Q435" s="549"/>
      <c r="R435" s="549"/>
      <c r="S435" s="549"/>
      <c r="T435" s="549"/>
      <c r="U435" s="549"/>
      <c r="V435" s="549"/>
      <c r="W435" s="549"/>
      <c r="X435" s="549"/>
      <c r="Y435" s="549"/>
      <c r="Z435" s="549"/>
      <c r="AA435" s="549"/>
      <c r="AB435" s="549"/>
      <c r="AC435" s="549"/>
      <c r="AD435" s="549"/>
      <c r="AE435" s="549"/>
      <c r="AF435" s="549"/>
      <c r="AG435" s="549"/>
      <c r="AH435" s="549"/>
      <c r="AI435" s="549"/>
      <c r="AJ435" s="549"/>
      <c r="AK435" s="549"/>
      <c r="AL435" s="549"/>
      <c r="AM435" s="549"/>
      <c r="AN435" s="549"/>
      <c r="AO435" s="549"/>
      <c r="AP435" s="549"/>
      <c r="AQ435" s="549"/>
      <c r="AR435" s="549"/>
      <c r="AS435" s="549"/>
      <c r="AT435" s="549"/>
      <c r="AU435" s="549"/>
      <c r="AV435" s="549"/>
      <c r="AW435" s="549"/>
      <c r="AX435" s="549"/>
      <c r="AY435" s="549"/>
      <c r="AZ435" s="549"/>
      <c r="BA435" s="549"/>
      <c r="BB435" s="549"/>
      <c r="BC435" s="549"/>
      <c r="BD435" s="549"/>
      <c r="BE435" s="549"/>
      <c r="BF435" s="549"/>
      <c r="BG435" s="549"/>
      <c r="BH435" s="549"/>
      <c r="BI435" s="549"/>
    </row>
    <row r="436" spans="16:61" s="254" customFormat="1" ht="9.9">
      <c r="P436" s="549"/>
      <c r="Q436" s="549"/>
      <c r="R436" s="549"/>
      <c r="S436" s="549"/>
      <c r="T436" s="549"/>
      <c r="U436" s="549"/>
      <c r="V436" s="549"/>
      <c r="W436" s="549"/>
      <c r="X436" s="549"/>
      <c r="Y436" s="549"/>
      <c r="Z436" s="549"/>
      <c r="AA436" s="549"/>
      <c r="AB436" s="549"/>
      <c r="AC436" s="549"/>
      <c r="AD436" s="549"/>
      <c r="AE436" s="549"/>
      <c r="AF436" s="549"/>
      <c r="AG436" s="549"/>
      <c r="AH436" s="549"/>
      <c r="AI436" s="549"/>
      <c r="AJ436" s="549"/>
      <c r="AK436" s="549"/>
      <c r="AL436" s="549"/>
      <c r="AM436" s="549"/>
      <c r="AN436" s="549"/>
      <c r="AO436" s="549"/>
      <c r="AP436" s="549"/>
      <c r="AQ436" s="549"/>
      <c r="AR436" s="549"/>
      <c r="AS436" s="549"/>
      <c r="AT436" s="549"/>
      <c r="AU436" s="549"/>
      <c r="AV436" s="549"/>
      <c r="AW436" s="549"/>
      <c r="AX436" s="549"/>
      <c r="AY436" s="549"/>
      <c r="AZ436" s="549"/>
      <c r="BA436" s="549"/>
      <c r="BB436" s="549"/>
      <c r="BC436" s="549"/>
      <c r="BD436" s="549"/>
      <c r="BE436" s="549"/>
      <c r="BF436" s="549"/>
      <c r="BG436" s="549"/>
      <c r="BH436" s="549"/>
      <c r="BI436" s="549"/>
    </row>
    <row r="437" spans="16:61" s="254" customFormat="1" ht="9.9">
      <c r="P437" s="549"/>
      <c r="Q437" s="549"/>
      <c r="R437" s="549"/>
      <c r="S437" s="549"/>
      <c r="T437" s="549"/>
      <c r="U437" s="549"/>
      <c r="V437" s="549"/>
      <c r="W437" s="549"/>
      <c r="X437" s="549"/>
      <c r="Y437" s="549"/>
      <c r="Z437" s="549"/>
      <c r="AA437" s="549"/>
      <c r="AB437" s="549"/>
      <c r="AC437" s="549"/>
      <c r="AD437" s="549"/>
      <c r="AE437" s="549"/>
      <c r="AF437" s="549"/>
      <c r="AG437" s="549"/>
      <c r="AH437" s="549"/>
      <c r="AI437" s="549"/>
      <c r="AJ437" s="549"/>
      <c r="AK437" s="549"/>
      <c r="AL437" s="549"/>
      <c r="AM437" s="549"/>
      <c r="AN437" s="549"/>
      <c r="AO437" s="549"/>
      <c r="AP437" s="549"/>
      <c r="AQ437" s="549"/>
      <c r="AR437" s="549"/>
      <c r="AS437" s="549"/>
      <c r="AT437" s="549"/>
      <c r="AU437" s="549"/>
      <c r="AV437" s="549"/>
      <c r="AW437" s="549"/>
      <c r="AX437" s="549"/>
      <c r="AY437" s="549"/>
      <c r="AZ437" s="549"/>
      <c r="BA437" s="549"/>
      <c r="BB437" s="549"/>
      <c r="BC437" s="549"/>
      <c r="BD437" s="549"/>
      <c r="BE437" s="549"/>
      <c r="BF437" s="549"/>
      <c r="BG437" s="549"/>
      <c r="BH437" s="549"/>
      <c r="BI437" s="549"/>
    </row>
    <row r="438" spans="16:61" s="254" customFormat="1" ht="9.9">
      <c r="P438" s="549"/>
      <c r="Q438" s="549"/>
      <c r="R438" s="549"/>
      <c r="S438" s="549"/>
      <c r="T438" s="549"/>
      <c r="U438" s="549"/>
      <c r="V438" s="549"/>
      <c r="W438" s="549"/>
      <c r="X438" s="549"/>
      <c r="Y438" s="549"/>
      <c r="Z438" s="549"/>
      <c r="AA438" s="549"/>
      <c r="AB438" s="549"/>
      <c r="AC438" s="549"/>
      <c r="AD438" s="549"/>
      <c r="AE438" s="549"/>
      <c r="AF438" s="549"/>
      <c r="AG438" s="549"/>
      <c r="AH438" s="549"/>
      <c r="AI438" s="549"/>
      <c r="AJ438" s="549"/>
      <c r="AK438" s="549"/>
      <c r="AL438" s="549"/>
      <c r="AM438" s="549"/>
      <c r="AN438" s="549"/>
      <c r="AO438" s="549"/>
      <c r="AP438" s="549"/>
      <c r="AQ438" s="549"/>
      <c r="AR438" s="549"/>
      <c r="AS438" s="549"/>
      <c r="AT438" s="549"/>
      <c r="AU438" s="549"/>
      <c r="AV438" s="549"/>
      <c r="AW438" s="549"/>
      <c r="AX438" s="549"/>
      <c r="AY438" s="549"/>
      <c r="AZ438" s="549"/>
      <c r="BA438" s="549"/>
      <c r="BB438" s="549"/>
      <c r="BC438" s="549"/>
      <c r="BD438" s="549"/>
      <c r="BE438" s="549"/>
      <c r="BF438" s="549"/>
      <c r="BG438" s="549"/>
      <c r="BH438" s="549"/>
      <c r="BI438" s="549"/>
    </row>
    <row r="439" spans="16:61" s="254" customFormat="1" ht="9.9">
      <c r="P439" s="549"/>
      <c r="Q439" s="549"/>
      <c r="R439" s="549"/>
      <c r="S439" s="549"/>
      <c r="T439" s="549"/>
      <c r="U439" s="549"/>
      <c r="V439" s="549"/>
      <c r="W439" s="549"/>
      <c r="X439" s="549"/>
      <c r="Y439" s="549"/>
      <c r="Z439" s="549"/>
      <c r="AA439" s="549"/>
      <c r="AB439" s="549"/>
      <c r="AC439" s="549"/>
      <c r="AD439" s="549"/>
      <c r="AE439" s="549"/>
      <c r="AF439" s="549"/>
      <c r="AG439" s="549"/>
      <c r="AH439" s="549"/>
      <c r="AI439" s="549"/>
      <c r="AJ439" s="549"/>
      <c r="AK439" s="549"/>
      <c r="AL439" s="549"/>
      <c r="AM439" s="549"/>
      <c r="AN439" s="549"/>
      <c r="AO439" s="549"/>
      <c r="AP439" s="549"/>
      <c r="AQ439" s="549"/>
      <c r="AR439" s="549"/>
      <c r="AS439" s="549"/>
      <c r="AT439" s="549"/>
      <c r="AU439" s="549"/>
      <c r="AV439" s="549"/>
      <c r="AW439" s="549"/>
      <c r="AX439" s="549"/>
      <c r="AY439" s="549"/>
      <c r="AZ439" s="549"/>
      <c r="BA439" s="549"/>
      <c r="BB439" s="549"/>
      <c r="BC439" s="549"/>
      <c r="BD439" s="549"/>
      <c r="BE439" s="549"/>
      <c r="BF439" s="549"/>
      <c r="BG439" s="549"/>
      <c r="BH439" s="549"/>
      <c r="BI439" s="549"/>
    </row>
    <row r="440" spans="16:61" s="254" customFormat="1" ht="9.9">
      <c r="P440" s="549"/>
      <c r="Q440" s="549"/>
      <c r="R440" s="549"/>
      <c r="S440" s="549"/>
      <c r="T440" s="549"/>
      <c r="U440" s="549"/>
      <c r="V440" s="549"/>
      <c r="W440" s="549"/>
      <c r="X440" s="549"/>
      <c r="Y440" s="549"/>
      <c r="Z440" s="549"/>
      <c r="AA440" s="549"/>
      <c r="AB440" s="549"/>
      <c r="AC440" s="549"/>
      <c r="AD440" s="549"/>
      <c r="AE440" s="549"/>
      <c r="AF440" s="549"/>
      <c r="AG440" s="549"/>
      <c r="AH440" s="549"/>
      <c r="AI440" s="549"/>
      <c r="AJ440" s="549"/>
      <c r="AK440" s="549"/>
      <c r="AL440" s="549"/>
      <c r="AM440" s="549"/>
      <c r="AN440" s="549"/>
      <c r="AO440" s="549"/>
      <c r="AP440" s="549"/>
      <c r="AQ440" s="549"/>
      <c r="AR440" s="549"/>
      <c r="AS440" s="549"/>
      <c r="AT440" s="549"/>
      <c r="AU440" s="549"/>
      <c r="AV440" s="549"/>
      <c r="AW440" s="549"/>
      <c r="AX440" s="549"/>
      <c r="AY440" s="549"/>
      <c r="AZ440" s="549"/>
      <c r="BA440" s="549"/>
      <c r="BB440" s="549"/>
      <c r="BC440" s="549"/>
      <c r="BD440" s="549"/>
      <c r="BE440" s="549"/>
      <c r="BF440" s="549"/>
      <c r="BG440" s="549"/>
      <c r="BH440" s="549"/>
      <c r="BI440" s="549"/>
    </row>
    <row r="441" spans="16:61" s="254" customFormat="1" ht="9.9">
      <c r="P441" s="549"/>
      <c r="Q441" s="549"/>
      <c r="R441" s="549"/>
      <c r="S441" s="549"/>
      <c r="T441" s="549"/>
      <c r="U441" s="549"/>
      <c r="V441" s="549"/>
      <c r="W441" s="549"/>
      <c r="X441" s="549"/>
      <c r="Y441" s="549"/>
      <c r="Z441" s="549"/>
      <c r="AA441" s="549"/>
      <c r="AB441" s="549"/>
      <c r="AC441" s="549"/>
      <c r="AD441" s="549"/>
      <c r="AE441" s="549"/>
      <c r="AF441" s="549"/>
      <c r="AG441" s="549"/>
      <c r="AH441" s="549"/>
      <c r="AI441" s="549"/>
      <c r="AJ441" s="549"/>
      <c r="AK441" s="549"/>
      <c r="AL441" s="549"/>
      <c r="AM441" s="549"/>
      <c r="AN441" s="549"/>
      <c r="AO441" s="549"/>
      <c r="AP441" s="549"/>
      <c r="AQ441" s="549"/>
      <c r="AR441" s="549"/>
      <c r="AS441" s="549"/>
      <c r="AT441" s="549"/>
      <c r="AU441" s="549"/>
      <c r="AV441" s="549"/>
      <c r="AW441" s="549"/>
      <c r="AX441" s="549"/>
      <c r="AY441" s="549"/>
      <c r="AZ441" s="549"/>
      <c r="BA441" s="549"/>
      <c r="BB441" s="549"/>
      <c r="BC441" s="549"/>
      <c r="BD441" s="549"/>
      <c r="BE441" s="549"/>
      <c r="BF441" s="549"/>
      <c r="BG441" s="549"/>
      <c r="BH441" s="549"/>
      <c r="BI441" s="549"/>
    </row>
    <row r="442" spans="16:61" s="254" customFormat="1" ht="9.9">
      <c r="P442" s="549"/>
      <c r="Q442" s="549"/>
      <c r="R442" s="549"/>
      <c r="S442" s="549"/>
      <c r="T442" s="549"/>
      <c r="U442" s="549"/>
      <c r="V442" s="549"/>
      <c r="W442" s="549"/>
      <c r="X442" s="549"/>
      <c r="Y442" s="549"/>
      <c r="Z442" s="549"/>
      <c r="AA442" s="549"/>
      <c r="AB442" s="549"/>
      <c r="AC442" s="549"/>
      <c r="AD442" s="549"/>
      <c r="AE442" s="549"/>
      <c r="AF442" s="549"/>
      <c r="AG442" s="549"/>
      <c r="AH442" s="549"/>
      <c r="AI442" s="549"/>
      <c r="AJ442" s="549"/>
      <c r="AK442" s="549"/>
      <c r="AL442" s="549"/>
      <c r="AM442" s="549"/>
      <c r="AN442" s="549"/>
      <c r="AO442" s="549"/>
      <c r="AP442" s="549"/>
      <c r="AQ442" s="549"/>
      <c r="AR442" s="549"/>
      <c r="AS442" s="549"/>
      <c r="AT442" s="549"/>
      <c r="AU442" s="549"/>
      <c r="AV442" s="549"/>
      <c r="AW442" s="549"/>
      <c r="AX442" s="549"/>
      <c r="AY442" s="549"/>
      <c r="AZ442" s="549"/>
      <c r="BA442" s="549"/>
      <c r="BB442" s="549"/>
      <c r="BC442" s="549"/>
      <c r="BD442" s="549"/>
      <c r="BE442" s="549"/>
      <c r="BF442" s="549"/>
      <c r="BG442" s="549"/>
      <c r="BH442" s="549"/>
      <c r="BI442" s="549"/>
    </row>
    <row r="443" spans="16:61" s="254" customFormat="1" ht="9.9">
      <c r="P443" s="549"/>
      <c r="Q443" s="549"/>
      <c r="R443" s="549"/>
      <c r="S443" s="549"/>
      <c r="T443" s="549"/>
      <c r="U443" s="549"/>
      <c r="V443" s="549"/>
      <c r="W443" s="549"/>
      <c r="X443" s="549"/>
      <c r="Y443" s="549"/>
      <c r="Z443" s="549"/>
      <c r="AA443" s="549"/>
      <c r="AB443" s="549"/>
      <c r="AC443" s="549"/>
      <c r="AD443" s="549"/>
      <c r="AE443" s="549"/>
      <c r="AF443" s="549"/>
      <c r="AG443" s="549"/>
      <c r="AH443" s="549"/>
      <c r="AI443" s="549"/>
      <c r="AJ443" s="549"/>
      <c r="AK443" s="549"/>
      <c r="AL443" s="549"/>
      <c r="AM443" s="549"/>
      <c r="AN443" s="549"/>
      <c r="AO443" s="549"/>
      <c r="AP443" s="549"/>
      <c r="AQ443" s="549"/>
      <c r="AR443" s="549"/>
      <c r="AS443" s="549"/>
      <c r="AT443" s="549"/>
      <c r="AU443" s="549"/>
      <c r="AV443" s="549"/>
      <c r="AW443" s="549"/>
      <c r="AX443" s="549"/>
      <c r="AY443" s="549"/>
      <c r="AZ443" s="549"/>
      <c r="BA443" s="549"/>
      <c r="BB443" s="549"/>
      <c r="BC443" s="549"/>
      <c r="BD443" s="549"/>
      <c r="BE443" s="549"/>
      <c r="BF443" s="549"/>
      <c r="BG443" s="549"/>
      <c r="BH443" s="549"/>
      <c r="BI443" s="549"/>
    </row>
    <row r="444" spans="16:61" s="254" customFormat="1" ht="9.9">
      <c r="P444" s="549"/>
      <c r="Q444" s="549"/>
      <c r="R444" s="549"/>
      <c r="S444" s="549"/>
      <c r="T444" s="549"/>
      <c r="U444" s="549"/>
      <c r="V444" s="549"/>
      <c r="W444" s="549"/>
      <c r="X444" s="549"/>
      <c r="Y444" s="549"/>
      <c r="Z444" s="549"/>
      <c r="AA444" s="549"/>
      <c r="AB444" s="549"/>
      <c r="AC444" s="549"/>
      <c r="AD444" s="549"/>
      <c r="AE444" s="549"/>
      <c r="AF444" s="549"/>
      <c r="AG444" s="549"/>
      <c r="AH444" s="549"/>
      <c r="AI444" s="549"/>
      <c r="AJ444" s="549"/>
      <c r="AK444" s="549"/>
      <c r="AL444" s="549"/>
      <c r="AM444" s="549"/>
      <c r="AN444" s="549"/>
      <c r="AO444" s="549"/>
      <c r="AP444" s="549"/>
      <c r="AQ444" s="549"/>
      <c r="AR444" s="549"/>
      <c r="AS444" s="549"/>
      <c r="AT444" s="549"/>
      <c r="AU444" s="549"/>
      <c r="AV444" s="549"/>
      <c r="AW444" s="549"/>
      <c r="AX444" s="549"/>
      <c r="AY444" s="549"/>
      <c r="AZ444" s="549"/>
      <c r="BA444" s="549"/>
      <c r="BB444" s="549"/>
      <c r="BC444" s="549"/>
      <c r="BD444" s="549"/>
      <c r="BE444" s="549"/>
      <c r="BF444" s="549"/>
      <c r="BG444" s="549"/>
      <c r="BH444" s="549"/>
      <c r="BI444" s="549"/>
    </row>
    <row r="445" spans="16:61" s="254" customFormat="1" ht="9.9">
      <c r="P445" s="549"/>
      <c r="Q445" s="549"/>
      <c r="R445" s="549"/>
      <c r="S445" s="549"/>
      <c r="T445" s="549"/>
      <c r="U445" s="549"/>
      <c r="V445" s="549"/>
      <c r="W445" s="549"/>
      <c r="X445" s="549"/>
      <c r="Y445" s="549"/>
      <c r="Z445" s="549"/>
      <c r="AA445" s="549"/>
      <c r="AB445" s="549"/>
      <c r="AC445" s="549"/>
      <c r="AD445" s="549"/>
      <c r="AE445" s="549"/>
      <c r="AF445" s="549"/>
      <c r="AG445" s="549"/>
      <c r="AH445" s="549"/>
      <c r="AI445" s="549"/>
      <c r="AJ445" s="549"/>
      <c r="AK445" s="549"/>
      <c r="AL445" s="549"/>
      <c r="AM445" s="549"/>
      <c r="AN445" s="549"/>
      <c r="AO445" s="549"/>
      <c r="AP445" s="549"/>
      <c r="AQ445" s="549"/>
      <c r="AR445" s="549"/>
      <c r="AS445" s="549"/>
      <c r="AT445" s="549"/>
      <c r="AU445" s="549"/>
      <c r="AV445" s="549"/>
      <c r="AW445" s="549"/>
      <c r="AX445" s="549"/>
      <c r="AY445" s="549"/>
      <c r="AZ445" s="549"/>
      <c r="BA445" s="549"/>
      <c r="BB445" s="549"/>
      <c r="BC445" s="549"/>
      <c r="BD445" s="549"/>
      <c r="BE445" s="549"/>
      <c r="BF445" s="549"/>
      <c r="BG445" s="549"/>
      <c r="BH445" s="549"/>
      <c r="BI445" s="549"/>
    </row>
    <row r="446" spans="16:61" s="254" customFormat="1" ht="9.9">
      <c r="P446" s="549"/>
      <c r="Q446" s="549"/>
      <c r="R446" s="549"/>
      <c r="S446" s="549"/>
      <c r="T446" s="549"/>
      <c r="U446" s="549"/>
      <c r="V446" s="549"/>
      <c r="W446" s="549"/>
      <c r="X446" s="549"/>
      <c r="Y446" s="549"/>
      <c r="Z446" s="549"/>
      <c r="AA446" s="549"/>
      <c r="AB446" s="549"/>
      <c r="AC446" s="549"/>
      <c r="AD446" s="549"/>
      <c r="AE446" s="549"/>
      <c r="AF446" s="549"/>
      <c r="AG446" s="549"/>
      <c r="AH446" s="549"/>
      <c r="AI446" s="549"/>
      <c r="AJ446" s="549"/>
      <c r="AK446" s="549"/>
      <c r="AL446" s="549"/>
      <c r="AM446" s="549"/>
      <c r="AN446" s="549"/>
      <c r="AO446" s="549"/>
      <c r="AP446" s="549"/>
      <c r="AQ446" s="549"/>
      <c r="AR446" s="549"/>
      <c r="AS446" s="549"/>
      <c r="AT446" s="549"/>
      <c r="AU446" s="549"/>
      <c r="AV446" s="549"/>
      <c r="AW446" s="549"/>
      <c r="AX446" s="549"/>
      <c r="AY446" s="549"/>
      <c r="AZ446" s="549"/>
      <c r="BA446" s="549"/>
      <c r="BB446" s="549"/>
      <c r="BC446" s="549"/>
      <c r="BD446" s="549"/>
      <c r="BE446" s="549"/>
      <c r="BF446" s="549"/>
      <c r="BG446" s="549"/>
      <c r="BH446" s="549"/>
      <c r="BI446" s="549"/>
    </row>
    <row r="447" spans="16:61" s="254" customFormat="1" ht="9.9">
      <c r="P447" s="549"/>
      <c r="Q447" s="549"/>
      <c r="R447" s="549"/>
      <c r="S447" s="549"/>
      <c r="T447" s="549"/>
      <c r="U447" s="549"/>
      <c r="V447" s="549"/>
      <c r="W447" s="549"/>
      <c r="X447" s="549"/>
      <c r="Y447" s="549"/>
      <c r="Z447" s="549"/>
      <c r="AA447" s="549"/>
      <c r="AB447" s="549"/>
      <c r="AC447" s="549"/>
      <c r="AD447" s="549"/>
      <c r="AE447" s="549"/>
      <c r="AF447" s="549"/>
      <c r="AG447" s="549"/>
      <c r="AH447" s="549"/>
      <c r="AI447" s="549"/>
      <c r="AJ447" s="549"/>
      <c r="AK447" s="549"/>
      <c r="AL447" s="549"/>
      <c r="AM447" s="549"/>
      <c r="AN447" s="549"/>
      <c r="AO447" s="549"/>
      <c r="AP447" s="549"/>
      <c r="AQ447" s="549"/>
      <c r="AR447" s="549"/>
      <c r="AS447" s="549"/>
      <c r="AT447" s="549"/>
      <c r="AU447" s="549"/>
      <c r="AV447" s="549"/>
      <c r="AW447" s="549"/>
      <c r="AX447" s="549"/>
      <c r="AY447" s="549"/>
      <c r="AZ447" s="549"/>
      <c r="BA447" s="549"/>
      <c r="BB447" s="549"/>
      <c r="BC447" s="549"/>
      <c r="BD447" s="549"/>
      <c r="BE447" s="549"/>
      <c r="BF447" s="549"/>
      <c r="BG447" s="549"/>
      <c r="BH447" s="549"/>
      <c r="BI447" s="549"/>
    </row>
    <row r="448" spans="16:61" s="254" customFormat="1" ht="9.9">
      <c r="P448" s="549"/>
      <c r="Q448" s="549"/>
      <c r="R448" s="549"/>
      <c r="S448" s="549"/>
      <c r="T448" s="549"/>
      <c r="U448" s="549"/>
      <c r="V448" s="549"/>
      <c r="W448" s="549"/>
      <c r="X448" s="549"/>
      <c r="Y448" s="549"/>
      <c r="Z448" s="549"/>
      <c r="AA448" s="549"/>
      <c r="AB448" s="549"/>
      <c r="AC448" s="549"/>
      <c r="AD448" s="549"/>
      <c r="AE448" s="549"/>
      <c r="AF448" s="549"/>
      <c r="AG448" s="549"/>
      <c r="AH448" s="549"/>
      <c r="AI448" s="549"/>
      <c r="AJ448" s="549"/>
      <c r="AK448" s="549"/>
      <c r="AL448" s="549"/>
      <c r="AM448" s="549"/>
      <c r="AN448" s="549"/>
      <c r="AO448" s="549"/>
      <c r="AP448" s="549"/>
      <c r="AQ448" s="549"/>
      <c r="AR448" s="549"/>
      <c r="AS448" s="549"/>
      <c r="AT448" s="549"/>
      <c r="AU448" s="549"/>
      <c r="AV448" s="549"/>
      <c r="AW448" s="549"/>
      <c r="AX448" s="549"/>
      <c r="AY448" s="549"/>
      <c r="AZ448" s="549"/>
      <c r="BA448" s="549"/>
      <c r="BB448" s="549"/>
      <c r="BC448" s="549"/>
      <c r="BD448" s="549"/>
      <c r="BE448" s="549"/>
      <c r="BF448" s="549"/>
      <c r="BG448" s="549"/>
      <c r="BH448" s="549"/>
      <c r="BI448" s="549"/>
    </row>
    <row r="449" spans="16:61" s="254" customFormat="1" ht="9.9">
      <c r="P449" s="549"/>
      <c r="Q449" s="549"/>
      <c r="R449" s="549"/>
      <c r="S449" s="549"/>
      <c r="T449" s="549"/>
      <c r="U449" s="549"/>
      <c r="V449" s="549"/>
      <c r="W449" s="549"/>
      <c r="X449" s="549"/>
      <c r="Y449" s="549"/>
      <c r="Z449" s="549"/>
      <c r="AA449" s="549"/>
      <c r="AB449" s="549"/>
      <c r="AC449" s="549"/>
      <c r="AD449" s="549"/>
      <c r="AE449" s="549"/>
      <c r="AF449" s="549"/>
      <c r="AG449" s="549"/>
      <c r="AH449" s="549"/>
      <c r="AI449" s="549"/>
      <c r="AJ449" s="549"/>
      <c r="AK449" s="549"/>
      <c r="AL449" s="549"/>
      <c r="AM449" s="549"/>
      <c r="AN449" s="549"/>
      <c r="AO449" s="549"/>
      <c r="AP449" s="549"/>
      <c r="AQ449" s="549"/>
      <c r="AR449" s="549"/>
      <c r="AS449" s="549"/>
      <c r="AT449" s="549"/>
      <c r="AU449" s="549"/>
      <c r="AV449" s="549"/>
      <c r="AW449" s="549"/>
      <c r="AX449" s="549"/>
      <c r="AY449" s="549"/>
      <c r="AZ449" s="549"/>
      <c r="BA449" s="549"/>
      <c r="BB449" s="549"/>
      <c r="BC449" s="549"/>
      <c r="BD449" s="549"/>
      <c r="BE449" s="549"/>
      <c r="BF449" s="549"/>
      <c r="BG449" s="549"/>
      <c r="BH449" s="549"/>
      <c r="BI449" s="549"/>
    </row>
    <row r="450" spans="16:61" s="254" customFormat="1" ht="9.9">
      <c r="P450" s="549"/>
      <c r="Q450" s="549"/>
      <c r="R450" s="549"/>
      <c r="S450" s="549"/>
      <c r="T450" s="549"/>
      <c r="U450" s="549"/>
      <c r="V450" s="549"/>
      <c r="W450" s="549"/>
      <c r="X450" s="549"/>
      <c r="Y450" s="549"/>
      <c r="Z450" s="549"/>
      <c r="AA450" s="549"/>
      <c r="AB450" s="549"/>
      <c r="AC450" s="549"/>
      <c r="AD450" s="549"/>
      <c r="AE450" s="549"/>
      <c r="AF450" s="549"/>
      <c r="AG450" s="549"/>
      <c r="AH450" s="549"/>
      <c r="AI450" s="549"/>
      <c r="AJ450" s="549"/>
      <c r="AK450" s="549"/>
      <c r="AL450" s="549"/>
      <c r="AM450" s="549"/>
      <c r="AN450" s="549"/>
      <c r="AO450" s="549"/>
      <c r="AP450" s="549"/>
      <c r="AQ450" s="549"/>
      <c r="AR450" s="549"/>
      <c r="AS450" s="549"/>
      <c r="AT450" s="549"/>
      <c r="AU450" s="549"/>
      <c r="AV450" s="549"/>
      <c r="AW450" s="549"/>
      <c r="AX450" s="549"/>
      <c r="AY450" s="549"/>
      <c r="AZ450" s="549"/>
      <c r="BA450" s="549"/>
      <c r="BB450" s="549"/>
      <c r="BC450" s="549"/>
      <c r="BD450" s="549"/>
      <c r="BE450" s="549"/>
      <c r="BF450" s="549"/>
      <c r="BG450" s="549"/>
      <c r="BH450" s="549"/>
      <c r="BI450" s="549"/>
    </row>
    <row r="451" spans="16:61" s="254" customFormat="1" ht="9.9">
      <c r="P451" s="549"/>
      <c r="Q451" s="549"/>
      <c r="R451" s="549"/>
      <c r="S451" s="549"/>
      <c r="T451" s="549"/>
      <c r="U451" s="549"/>
      <c r="V451" s="549"/>
      <c r="W451" s="549"/>
      <c r="X451" s="549"/>
      <c r="Y451" s="549"/>
      <c r="Z451" s="549"/>
      <c r="AA451" s="549"/>
      <c r="AB451" s="549"/>
      <c r="AC451" s="549"/>
      <c r="AD451" s="549"/>
      <c r="AE451" s="549"/>
      <c r="AF451" s="549"/>
      <c r="AG451" s="549"/>
      <c r="AH451" s="549"/>
      <c r="AI451" s="549"/>
      <c r="AJ451" s="549"/>
      <c r="AK451" s="549"/>
      <c r="AL451" s="549"/>
      <c r="AM451" s="549"/>
      <c r="AN451" s="549"/>
      <c r="AO451" s="549"/>
      <c r="AP451" s="549"/>
      <c r="AQ451" s="549"/>
      <c r="AR451" s="549"/>
      <c r="AS451" s="549"/>
      <c r="AT451" s="549"/>
      <c r="AU451" s="549"/>
      <c r="AV451" s="549"/>
      <c r="AW451" s="549"/>
      <c r="AX451" s="549"/>
      <c r="AY451" s="549"/>
      <c r="AZ451" s="549"/>
      <c r="BA451" s="549"/>
      <c r="BB451" s="549"/>
      <c r="BC451" s="549"/>
      <c r="BD451" s="549"/>
      <c r="BE451" s="549"/>
      <c r="BF451" s="549"/>
      <c r="BG451" s="549"/>
      <c r="BH451" s="549"/>
      <c r="BI451" s="549"/>
    </row>
    <row r="452" spans="16:61" s="254" customFormat="1" ht="9.9">
      <c r="P452" s="549"/>
      <c r="Q452" s="549"/>
      <c r="R452" s="549"/>
      <c r="S452" s="549"/>
      <c r="T452" s="549"/>
      <c r="U452" s="549"/>
      <c r="V452" s="549"/>
      <c r="W452" s="549"/>
      <c r="X452" s="549"/>
      <c r="Y452" s="549"/>
      <c r="Z452" s="549"/>
      <c r="AA452" s="549"/>
      <c r="AB452" s="549"/>
      <c r="AC452" s="549"/>
      <c r="AD452" s="549"/>
      <c r="AE452" s="549"/>
      <c r="AF452" s="549"/>
      <c r="AG452" s="549"/>
      <c r="AH452" s="549"/>
      <c r="AI452" s="549"/>
      <c r="AJ452" s="549"/>
      <c r="AK452" s="549"/>
      <c r="AL452" s="549"/>
      <c r="AM452" s="549"/>
      <c r="AN452" s="549"/>
      <c r="AO452" s="549"/>
      <c r="AP452" s="549"/>
      <c r="AQ452" s="549"/>
      <c r="AR452" s="549"/>
      <c r="AS452" s="549"/>
      <c r="AT452" s="549"/>
      <c r="AU452" s="549"/>
      <c r="AV452" s="549"/>
      <c r="AW452" s="549"/>
      <c r="AX452" s="549"/>
      <c r="AY452" s="549"/>
      <c r="AZ452" s="549"/>
      <c r="BA452" s="549"/>
      <c r="BB452" s="549"/>
      <c r="BC452" s="549"/>
      <c r="BD452" s="549"/>
      <c r="BE452" s="549"/>
      <c r="BF452" s="549"/>
      <c r="BG452" s="549"/>
      <c r="BH452" s="549"/>
      <c r="BI452" s="549"/>
    </row>
    <row r="453" spans="16:61" s="254" customFormat="1" ht="9.9">
      <c r="P453" s="549"/>
      <c r="Q453" s="549"/>
      <c r="R453" s="549"/>
      <c r="S453" s="549"/>
      <c r="T453" s="549"/>
      <c r="U453" s="549"/>
      <c r="V453" s="549"/>
      <c r="W453" s="549"/>
      <c r="X453" s="549"/>
      <c r="Y453" s="549"/>
      <c r="Z453" s="549"/>
      <c r="AA453" s="549"/>
      <c r="AB453" s="549"/>
      <c r="AC453" s="549"/>
      <c r="AD453" s="549"/>
      <c r="AE453" s="549"/>
      <c r="AF453" s="549"/>
      <c r="AG453" s="549"/>
      <c r="AH453" s="549"/>
      <c r="AI453" s="549"/>
      <c r="AJ453" s="549"/>
      <c r="AK453" s="549"/>
      <c r="AL453" s="549"/>
      <c r="AM453" s="549"/>
      <c r="AN453" s="549"/>
      <c r="AO453" s="549"/>
      <c r="AP453" s="549"/>
      <c r="AQ453" s="549"/>
      <c r="AR453" s="549"/>
      <c r="AS453" s="549"/>
      <c r="AT453" s="549"/>
      <c r="AU453" s="549"/>
      <c r="AV453" s="549"/>
      <c r="AW453" s="549"/>
      <c r="AX453" s="549"/>
      <c r="AY453" s="549"/>
      <c r="AZ453" s="549"/>
      <c r="BA453" s="549"/>
      <c r="BB453" s="549"/>
      <c r="BC453" s="549"/>
      <c r="BD453" s="549"/>
      <c r="BE453" s="549"/>
      <c r="BF453" s="549"/>
      <c r="BG453" s="549"/>
      <c r="BH453" s="549"/>
      <c r="BI453" s="549"/>
    </row>
    <row r="454" spans="16:61" s="254" customFormat="1" ht="9.9">
      <c r="P454" s="549"/>
      <c r="Q454" s="549"/>
      <c r="R454" s="549"/>
      <c r="S454" s="549"/>
      <c r="T454" s="549"/>
      <c r="U454" s="549"/>
      <c r="V454" s="549"/>
      <c r="W454" s="549"/>
      <c r="X454" s="549"/>
      <c r="Y454" s="549"/>
      <c r="Z454" s="549"/>
      <c r="AA454" s="549"/>
      <c r="AB454" s="549"/>
      <c r="AC454" s="549"/>
      <c r="AD454" s="549"/>
      <c r="AE454" s="549"/>
      <c r="AF454" s="549"/>
      <c r="AG454" s="549"/>
      <c r="AH454" s="549"/>
      <c r="AI454" s="549"/>
      <c r="AJ454" s="549"/>
      <c r="AK454" s="549"/>
      <c r="AL454" s="549"/>
      <c r="AM454" s="549"/>
      <c r="AN454" s="549"/>
      <c r="AO454" s="549"/>
      <c r="AP454" s="549"/>
      <c r="AQ454" s="549"/>
      <c r="AR454" s="549"/>
      <c r="AS454" s="549"/>
      <c r="AT454" s="549"/>
      <c r="AU454" s="549"/>
      <c r="AV454" s="549"/>
      <c r="AW454" s="549"/>
      <c r="AX454" s="549"/>
      <c r="AY454" s="549"/>
      <c r="AZ454" s="549"/>
      <c r="BA454" s="549"/>
      <c r="BB454" s="549"/>
      <c r="BC454" s="549"/>
      <c r="BD454" s="549"/>
      <c r="BE454" s="549"/>
      <c r="BF454" s="549"/>
      <c r="BG454" s="549"/>
      <c r="BH454" s="549"/>
      <c r="BI454" s="549"/>
    </row>
    <row r="455" spans="16:61" s="254" customFormat="1" ht="9.9">
      <c r="P455" s="549"/>
      <c r="Q455" s="549"/>
      <c r="R455" s="549"/>
      <c r="S455" s="549"/>
      <c r="T455" s="549"/>
      <c r="U455" s="549"/>
      <c r="V455" s="549"/>
      <c r="W455" s="549"/>
      <c r="X455" s="549"/>
      <c r="Y455" s="549"/>
      <c r="Z455" s="549"/>
      <c r="AA455" s="549"/>
      <c r="AB455" s="549"/>
      <c r="AC455" s="549"/>
      <c r="AD455" s="549"/>
      <c r="AE455" s="549"/>
      <c r="AF455" s="549"/>
      <c r="AG455" s="549"/>
      <c r="AH455" s="549"/>
      <c r="AI455" s="549"/>
      <c r="AJ455" s="549"/>
      <c r="AK455" s="549"/>
      <c r="AL455" s="549"/>
      <c r="AM455" s="549"/>
      <c r="AN455" s="549"/>
      <c r="AO455" s="549"/>
      <c r="AP455" s="549"/>
      <c r="AQ455" s="549"/>
      <c r="AR455" s="549"/>
      <c r="AS455" s="549"/>
      <c r="AT455" s="549"/>
      <c r="AU455" s="549"/>
      <c r="AV455" s="549"/>
      <c r="AW455" s="549"/>
      <c r="AX455" s="549"/>
      <c r="AY455" s="549"/>
      <c r="AZ455" s="549"/>
      <c r="BA455" s="549"/>
      <c r="BB455" s="549"/>
      <c r="BC455" s="549"/>
      <c r="BD455" s="549"/>
      <c r="BE455" s="549"/>
      <c r="BF455" s="549"/>
      <c r="BG455" s="549"/>
      <c r="BH455" s="549"/>
      <c r="BI455" s="549"/>
    </row>
    <row r="456" spans="16:61" s="254" customFormat="1" ht="9.9">
      <c r="P456" s="549"/>
      <c r="Q456" s="549"/>
      <c r="R456" s="549"/>
      <c r="S456" s="549"/>
      <c r="T456" s="549"/>
      <c r="U456" s="549"/>
      <c r="V456" s="549"/>
      <c r="W456" s="549"/>
      <c r="X456" s="549"/>
      <c r="Y456" s="549"/>
      <c r="Z456" s="549"/>
      <c r="AA456" s="549"/>
      <c r="AB456" s="549"/>
      <c r="AC456" s="549"/>
      <c r="AD456" s="549"/>
      <c r="AE456" s="549"/>
      <c r="AF456" s="549"/>
      <c r="AG456" s="549"/>
      <c r="AH456" s="549"/>
      <c r="AI456" s="549"/>
      <c r="AJ456" s="549"/>
      <c r="AK456" s="549"/>
      <c r="AL456" s="549"/>
      <c r="AM456" s="549"/>
      <c r="AN456" s="549"/>
      <c r="AO456" s="549"/>
      <c r="AP456" s="549"/>
      <c r="AQ456" s="549"/>
      <c r="AR456" s="549"/>
      <c r="AS456" s="549"/>
      <c r="AT456" s="549"/>
      <c r="AU456" s="549"/>
      <c r="AV456" s="549"/>
      <c r="AW456" s="549"/>
      <c r="AX456" s="549"/>
      <c r="AY456" s="549"/>
      <c r="AZ456" s="549"/>
      <c r="BA456" s="549"/>
      <c r="BB456" s="549"/>
      <c r="BC456" s="549"/>
      <c r="BD456" s="549"/>
      <c r="BE456" s="549"/>
      <c r="BF456" s="549"/>
      <c r="BG456" s="549"/>
      <c r="BH456" s="549"/>
      <c r="BI456" s="549"/>
    </row>
    <row r="457" spans="16:61" s="254" customFormat="1" ht="9.9">
      <c r="P457" s="549"/>
      <c r="Q457" s="549"/>
      <c r="R457" s="549"/>
      <c r="S457" s="549"/>
      <c r="T457" s="549"/>
      <c r="U457" s="549"/>
      <c r="V457" s="549"/>
      <c r="W457" s="549"/>
      <c r="X457" s="549"/>
      <c r="Y457" s="549"/>
      <c r="Z457" s="549"/>
      <c r="AA457" s="549"/>
      <c r="AB457" s="549"/>
      <c r="AC457" s="549"/>
      <c r="AD457" s="549"/>
      <c r="AE457" s="549"/>
      <c r="AF457" s="549"/>
      <c r="AG457" s="549"/>
      <c r="AH457" s="549"/>
      <c r="AI457" s="549"/>
      <c r="AJ457" s="549"/>
      <c r="AK457" s="549"/>
      <c r="AL457" s="549"/>
      <c r="AM457" s="549"/>
      <c r="AN457" s="549"/>
      <c r="AO457" s="549"/>
      <c r="AP457" s="549"/>
      <c r="AQ457" s="549"/>
      <c r="AR457" s="549"/>
      <c r="AS457" s="549"/>
      <c r="AT457" s="549"/>
      <c r="AU457" s="549"/>
      <c r="AV457" s="549"/>
      <c r="AW457" s="549"/>
      <c r="AX457" s="549"/>
      <c r="AY457" s="549"/>
      <c r="AZ457" s="549"/>
      <c r="BA457" s="549"/>
      <c r="BB457" s="549"/>
      <c r="BC457" s="549"/>
      <c r="BD457" s="549"/>
      <c r="BE457" s="549"/>
      <c r="BF457" s="549"/>
      <c r="BG457" s="549"/>
      <c r="BH457" s="549"/>
      <c r="BI457" s="549"/>
    </row>
    <row r="458" spans="16:61" s="254" customFormat="1" ht="9.9">
      <c r="P458" s="549"/>
      <c r="Q458" s="549"/>
      <c r="R458" s="549"/>
      <c r="S458" s="549"/>
      <c r="T458" s="549"/>
      <c r="U458" s="549"/>
      <c r="V458" s="549"/>
      <c r="W458" s="549"/>
      <c r="X458" s="549"/>
      <c r="Y458" s="549"/>
      <c r="Z458" s="549"/>
      <c r="AA458" s="549"/>
      <c r="AB458" s="549"/>
      <c r="AC458" s="549"/>
      <c r="AD458" s="549"/>
      <c r="AE458" s="549"/>
      <c r="AF458" s="549"/>
      <c r="AG458" s="549"/>
      <c r="AH458" s="549"/>
      <c r="AI458" s="549"/>
      <c r="AJ458" s="549"/>
      <c r="AK458" s="549"/>
      <c r="AL458" s="549"/>
      <c r="AM458" s="549"/>
      <c r="AN458" s="549"/>
      <c r="AO458" s="549"/>
      <c r="AP458" s="549"/>
      <c r="AQ458" s="549"/>
      <c r="AR458" s="549"/>
      <c r="AS458" s="549"/>
      <c r="AT458" s="549"/>
      <c r="AU458" s="549"/>
      <c r="AV458" s="549"/>
      <c r="AW458" s="549"/>
      <c r="AX458" s="549"/>
      <c r="AY458" s="549"/>
      <c r="AZ458" s="549"/>
      <c r="BA458" s="549"/>
      <c r="BB458" s="549"/>
      <c r="BC458" s="549"/>
      <c r="BD458" s="549"/>
      <c r="BE458" s="549"/>
      <c r="BF458" s="549"/>
      <c r="BG458" s="549"/>
      <c r="BH458" s="549"/>
      <c r="BI458" s="549"/>
    </row>
    <row r="459" spans="16:61" s="254" customFormat="1" ht="9.9">
      <c r="P459" s="549"/>
      <c r="Q459" s="549"/>
      <c r="R459" s="549"/>
      <c r="S459" s="549"/>
      <c r="T459" s="549"/>
      <c r="U459" s="549"/>
      <c r="V459" s="549"/>
      <c r="W459" s="549"/>
      <c r="X459" s="549"/>
      <c r="Y459" s="549"/>
      <c r="Z459" s="549"/>
      <c r="AA459" s="549"/>
      <c r="AB459" s="549"/>
      <c r="AC459" s="549"/>
      <c r="AD459" s="549"/>
      <c r="AE459" s="549"/>
      <c r="AF459" s="549"/>
      <c r="AG459" s="549"/>
      <c r="AH459" s="549"/>
      <c r="AI459" s="549"/>
      <c r="AJ459" s="549"/>
      <c r="AK459" s="549"/>
      <c r="AL459" s="549"/>
      <c r="AM459" s="549"/>
      <c r="AN459" s="549"/>
      <c r="AO459" s="549"/>
      <c r="AP459" s="549"/>
      <c r="AQ459" s="549"/>
      <c r="AR459" s="549"/>
      <c r="AS459" s="549"/>
      <c r="AT459" s="549"/>
      <c r="AU459" s="549"/>
      <c r="AV459" s="549"/>
      <c r="AW459" s="549"/>
      <c r="AX459" s="549"/>
      <c r="AY459" s="549"/>
      <c r="AZ459" s="549"/>
      <c r="BA459" s="549"/>
      <c r="BB459" s="549"/>
      <c r="BC459" s="549"/>
      <c r="BD459" s="549"/>
      <c r="BE459" s="549"/>
      <c r="BF459" s="549"/>
      <c r="BG459" s="549"/>
      <c r="BH459" s="549"/>
      <c r="BI459" s="549"/>
    </row>
    <row r="460" spans="16:61" s="254" customFormat="1" ht="9.9">
      <c r="P460" s="549"/>
      <c r="Q460" s="549"/>
      <c r="R460" s="549"/>
      <c r="S460" s="549"/>
      <c r="T460" s="549"/>
      <c r="U460" s="549"/>
      <c r="V460" s="549"/>
      <c r="W460" s="549"/>
      <c r="X460" s="549"/>
      <c r="Y460" s="549"/>
      <c r="Z460" s="549"/>
      <c r="AA460" s="549"/>
      <c r="AB460" s="549"/>
      <c r="AC460" s="549"/>
      <c r="AD460" s="549"/>
      <c r="AE460" s="549"/>
      <c r="AF460" s="549"/>
      <c r="AG460" s="549"/>
      <c r="AH460" s="549"/>
      <c r="AI460" s="549"/>
      <c r="AJ460" s="549"/>
      <c r="AK460" s="549"/>
      <c r="AL460" s="549"/>
      <c r="AM460" s="549"/>
      <c r="AN460" s="549"/>
      <c r="AO460" s="549"/>
      <c r="AP460" s="549"/>
      <c r="AQ460" s="549"/>
      <c r="AR460" s="549"/>
      <c r="AS460" s="549"/>
      <c r="AT460" s="549"/>
      <c r="AU460" s="549"/>
      <c r="AV460" s="549"/>
      <c r="AW460" s="549"/>
      <c r="AX460" s="549"/>
      <c r="AY460" s="549"/>
      <c r="AZ460" s="549"/>
      <c r="BA460" s="549"/>
      <c r="BB460" s="549"/>
      <c r="BC460" s="549"/>
      <c r="BD460" s="549"/>
      <c r="BE460" s="549"/>
      <c r="BF460" s="549"/>
      <c r="BG460" s="549"/>
      <c r="BH460" s="549"/>
      <c r="BI460" s="549"/>
    </row>
    <row r="461" spans="16:61" s="254" customFormat="1" ht="9.9">
      <c r="P461" s="549"/>
      <c r="Q461" s="549"/>
      <c r="R461" s="549"/>
      <c r="S461" s="549"/>
      <c r="T461" s="549"/>
      <c r="U461" s="549"/>
      <c r="V461" s="549"/>
      <c r="W461" s="549"/>
      <c r="X461" s="549"/>
      <c r="Y461" s="549"/>
      <c r="Z461" s="549"/>
      <c r="AA461" s="549"/>
      <c r="AB461" s="549"/>
      <c r="AC461" s="549"/>
      <c r="AD461" s="549"/>
      <c r="AE461" s="549"/>
      <c r="AF461" s="549"/>
      <c r="AG461" s="549"/>
      <c r="AH461" s="549"/>
      <c r="AI461" s="549"/>
      <c r="AJ461" s="549"/>
      <c r="AK461" s="549"/>
      <c r="AL461" s="549"/>
      <c r="AM461" s="549"/>
      <c r="AN461" s="549"/>
      <c r="AO461" s="549"/>
      <c r="AP461" s="549"/>
      <c r="AQ461" s="549"/>
      <c r="AR461" s="549"/>
      <c r="AS461" s="549"/>
      <c r="AT461" s="549"/>
      <c r="AU461" s="549"/>
      <c r="AV461" s="549"/>
      <c r="AW461" s="549"/>
      <c r="AX461" s="549"/>
      <c r="AY461" s="549"/>
      <c r="AZ461" s="549"/>
      <c r="BA461" s="549"/>
      <c r="BB461" s="549"/>
      <c r="BC461" s="549"/>
      <c r="BD461" s="549"/>
      <c r="BE461" s="549"/>
      <c r="BF461" s="549"/>
      <c r="BG461" s="549"/>
      <c r="BH461" s="549"/>
      <c r="BI461" s="549"/>
    </row>
    <row r="462" spans="16:61" s="254" customFormat="1" ht="9.9">
      <c r="P462" s="549"/>
      <c r="Q462" s="549"/>
      <c r="R462" s="549"/>
      <c r="S462" s="549"/>
      <c r="T462" s="549"/>
      <c r="U462" s="549"/>
      <c r="V462" s="549"/>
      <c r="W462" s="549"/>
      <c r="X462" s="549"/>
      <c r="Y462" s="549"/>
      <c r="Z462" s="549"/>
      <c r="AA462" s="549"/>
      <c r="AB462" s="549"/>
      <c r="AC462" s="549"/>
      <c r="AD462" s="549"/>
      <c r="AE462" s="549"/>
      <c r="AF462" s="549"/>
      <c r="AG462" s="549"/>
      <c r="AH462" s="549"/>
      <c r="AI462" s="549"/>
      <c r="AJ462" s="549"/>
      <c r="AK462" s="549"/>
      <c r="AL462" s="549"/>
      <c r="AM462" s="549"/>
      <c r="AN462" s="549"/>
      <c r="AO462" s="549"/>
      <c r="AP462" s="549"/>
      <c r="AQ462" s="549"/>
      <c r="AR462" s="549"/>
      <c r="AS462" s="549"/>
      <c r="AT462" s="549"/>
      <c r="AU462" s="549"/>
      <c r="AV462" s="549"/>
      <c r="AW462" s="549"/>
      <c r="AX462" s="549"/>
      <c r="AY462" s="549"/>
      <c r="AZ462" s="549"/>
      <c r="BA462" s="549"/>
      <c r="BB462" s="549"/>
      <c r="BC462" s="549"/>
      <c r="BD462" s="549"/>
      <c r="BE462" s="549"/>
      <c r="BF462" s="549"/>
      <c r="BG462" s="549"/>
      <c r="BH462" s="549"/>
      <c r="BI462" s="549"/>
    </row>
    <row r="463" spans="16:61" s="254" customFormat="1" ht="9.9">
      <c r="P463" s="549"/>
      <c r="Q463" s="549"/>
      <c r="R463" s="549"/>
      <c r="S463" s="549"/>
      <c r="T463" s="549"/>
      <c r="U463" s="549"/>
      <c r="V463" s="549"/>
      <c r="W463" s="549"/>
      <c r="X463" s="549"/>
      <c r="Y463" s="549"/>
      <c r="Z463" s="549"/>
      <c r="AA463" s="549"/>
      <c r="AB463" s="549"/>
      <c r="AC463" s="549"/>
      <c r="AD463" s="549"/>
      <c r="AE463" s="549"/>
      <c r="AF463" s="549"/>
      <c r="AG463" s="549"/>
      <c r="AH463" s="549"/>
      <c r="AI463" s="549"/>
      <c r="AJ463" s="549"/>
      <c r="AK463" s="549"/>
      <c r="AL463" s="549"/>
      <c r="AM463" s="549"/>
      <c r="AN463" s="549"/>
      <c r="AO463" s="549"/>
      <c r="AP463" s="549"/>
      <c r="AQ463" s="549"/>
      <c r="AR463" s="549"/>
      <c r="AS463" s="549"/>
      <c r="AT463" s="549"/>
      <c r="AU463" s="549"/>
      <c r="AV463" s="549"/>
      <c r="AW463" s="549"/>
      <c r="AX463" s="549"/>
      <c r="AY463" s="549"/>
      <c r="AZ463" s="549"/>
      <c r="BA463" s="549"/>
      <c r="BB463" s="549"/>
      <c r="BC463" s="549"/>
      <c r="BD463" s="549"/>
      <c r="BE463" s="549"/>
      <c r="BF463" s="549"/>
      <c r="BG463" s="549"/>
      <c r="BH463" s="549"/>
      <c r="BI463" s="549"/>
    </row>
    <row r="464" spans="16:61" s="254" customFormat="1" ht="9.9">
      <c r="P464" s="549"/>
      <c r="Q464" s="549"/>
      <c r="R464" s="549"/>
      <c r="S464" s="549"/>
      <c r="T464" s="549"/>
      <c r="U464" s="549"/>
      <c r="V464" s="549"/>
      <c r="W464" s="549"/>
      <c r="X464" s="549"/>
      <c r="Y464" s="549"/>
      <c r="Z464" s="549"/>
      <c r="AA464" s="549"/>
      <c r="AB464" s="549"/>
      <c r="AC464" s="549"/>
      <c r="AD464" s="549"/>
      <c r="AE464" s="549"/>
      <c r="AF464" s="549"/>
      <c r="AG464" s="549"/>
      <c r="AH464" s="549"/>
      <c r="AI464" s="549"/>
      <c r="AJ464" s="549"/>
      <c r="AK464" s="549"/>
      <c r="AL464" s="549"/>
      <c r="AM464" s="549"/>
      <c r="AN464" s="549"/>
      <c r="AO464" s="549"/>
      <c r="AP464" s="549"/>
      <c r="AQ464" s="549"/>
      <c r="AR464" s="549"/>
      <c r="AS464" s="549"/>
      <c r="AT464" s="549"/>
      <c r="AU464" s="549"/>
      <c r="AV464" s="549"/>
      <c r="AW464" s="549"/>
      <c r="AX464" s="549"/>
      <c r="AY464" s="549"/>
      <c r="AZ464" s="549"/>
      <c r="BA464" s="549"/>
      <c r="BB464" s="549"/>
      <c r="BC464" s="549"/>
      <c r="BD464" s="549"/>
      <c r="BE464" s="549"/>
      <c r="BF464" s="549"/>
      <c r="BG464" s="549"/>
      <c r="BH464" s="549"/>
      <c r="BI464" s="549"/>
    </row>
    <row r="465" spans="16:61" s="254" customFormat="1" ht="9.9">
      <c r="P465" s="549"/>
      <c r="Q465" s="549"/>
      <c r="R465" s="549"/>
      <c r="S465" s="549"/>
      <c r="T465" s="549"/>
      <c r="U465" s="549"/>
      <c r="V465" s="549"/>
      <c r="W465" s="549"/>
      <c r="X465" s="549"/>
      <c r="Y465" s="549"/>
      <c r="Z465" s="549"/>
      <c r="AA465" s="549"/>
      <c r="AB465" s="549"/>
      <c r="AC465" s="549"/>
      <c r="AD465" s="549"/>
      <c r="AE465" s="549"/>
      <c r="AF465" s="549"/>
      <c r="AG465" s="549"/>
      <c r="AH465" s="549"/>
      <c r="AI465" s="549"/>
      <c r="AJ465" s="549"/>
      <c r="AK465" s="549"/>
      <c r="AL465" s="549"/>
      <c r="AM465" s="549"/>
      <c r="AN465" s="549"/>
      <c r="AO465" s="549"/>
      <c r="AP465" s="549"/>
      <c r="AQ465" s="549"/>
      <c r="AR465" s="549"/>
      <c r="AS465" s="549"/>
      <c r="AT465" s="549"/>
      <c r="AU465" s="549"/>
      <c r="AV465" s="549"/>
      <c r="AW465" s="549"/>
      <c r="AX465" s="549"/>
      <c r="AY465" s="549"/>
      <c r="AZ465" s="549"/>
      <c r="BA465" s="549"/>
      <c r="BB465" s="549"/>
      <c r="BC465" s="549"/>
      <c r="BD465" s="549"/>
      <c r="BE465" s="549"/>
      <c r="BF465" s="549"/>
      <c r="BG465" s="549"/>
      <c r="BH465" s="549"/>
      <c r="BI465" s="549"/>
    </row>
    <row r="466" spans="16:61" s="254" customFormat="1" ht="9.9">
      <c r="P466" s="549"/>
      <c r="Q466" s="549"/>
      <c r="R466" s="549"/>
      <c r="S466" s="549"/>
      <c r="T466" s="549"/>
      <c r="U466" s="549"/>
      <c r="V466" s="549"/>
      <c r="W466" s="549"/>
      <c r="X466" s="549"/>
      <c r="Y466" s="549"/>
      <c r="Z466" s="549"/>
      <c r="AA466" s="549"/>
      <c r="AB466" s="549"/>
      <c r="AC466" s="549"/>
      <c r="AD466" s="549"/>
      <c r="AE466" s="549"/>
      <c r="AF466" s="549"/>
      <c r="AG466" s="549"/>
      <c r="AH466" s="549"/>
      <c r="AI466" s="549"/>
      <c r="AJ466" s="549"/>
      <c r="AK466" s="549"/>
      <c r="AL466" s="549"/>
      <c r="AM466" s="549"/>
      <c r="AN466" s="549"/>
      <c r="AO466" s="549"/>
      <c r="AP466" s="549"/>
      <c r="AQ466" s="549"/>
      <c r="AR466" s="549"/>
      <c r="AS466" s="549"/>
      <c r="AT466" s="549"/>
      <c r="AU466" s="549"/>
      <c r="AV466" s="549"/>
      <c r="AW466" s="549"/>
      <c r="AX466" s="549"/>
      <c r="AY466" s="549"/>
      <c r="AZ466" s="549"/>
      <c r="BA466" s="549"/>
      <c r="BB466" s="549"/>
      <c r="BC466" s="549"/>
      <c r="BD466" s="549"/>
      <c r="BE466" s="549"/>
      <c r="BF466" s="549"/>
      <c r="BG466" s="549"/>
      <c r="BH466" s="549"/>
      <c r="BI466" s="549"/>
    </row>
    <row r="467" spans="16:61" s="254" customFormat="1" ht="9.9">
      <c r="P467" s="549"/>
      <c r="Q467" s="549"/>
      <c r="R467" s="549"/>
      <c r="S467" s="549"/>
      <c r="T467" s="549"/>
      <c r="U467" s="549"/>
      <c r="V467" s="549"/>
      <c r="W467" s="549"/>
      <c r="X467" s="549"/>
      <c r="Y467" s="549"/>
      <c r="Z467" s="549"/>
      <c r="AA467" s="549"/>
      <c r="AB467" s="549"/>
      <c r="AC467" s="549"/>
      <c r="AD467" s="549"/>
      <c r="AE467" s="549"/>
      <c r="AF467" s="549"/>
      <c r="AG467" s="549"/>
      <c r="AH467" s="549"/>
      <c r="AI467" s="549"/>
      <c r="AJ467" s="549"/>
      <c r="AK467" s="549"/>
      <c r="AL467" s="549"/>
      <c r="AM467" s="549"/>
      <c r="AN467" s="549"/>
      <c r="AO467" s="549"/>
      <c r="AP467" s="549"/>
      <c r="AQ467" s="549"/>
      <c r="AR467" s="549"/>
      <c r="AS467" s="549"/>
      <c r="AT467" s="549"/>
      <c r="AU467" s="549"/>
      <c r="AV467" s="549"/>
      <c r="AW467" s="549"/>
      <c r="AX467" s="549"/>
      <c r="AY467" s="549"/>
      <c r="AZ467" s="549"/>
      <c r="BA467" s="549"/>
      <c r="BB467" s="549"/>
      <c r="BC467" s="549"/>
      <c r="BD467" s="549"/>
      <c r="BE467" s="549"/>
      <c r="BF467" s="549"/>
      <c r="BG467" s="549"/>
      <c r="BH467" s="549"/>
      <c r="BI467" s="549"/>
    </row>
    <row r="468" spans="16:61" s="254" customFormat="1" ht="9.9">
      <c r="P468" s="549"/>
      <c r="Q468" s="549"/>
      <c r="R468" s="549"/>
      <c r="S468" s="549"/>
      <c r="T468" s="549"/>
      <c r="U468" s="549"/>
      <c r="V468" s="549"/>
      <c r="W468" s="549"/>
      <c r="X468" s="549"/>
      <c r="Y468" s="549"/>
      <c r="Z468" s="549"/>
      <c r="AA468" s="549"/>
      <c r="AB468" s="549"/>
      <c r="AC468" s="549"/>
      <c r="AD468" s="549"/>
      <c r="AE468" s="549"/>
      <c r="AF468" s="549"/>
      <c r="AG468" s="549"/>
      <c r="AH468" s="549"/>
      <c r="AI468" s="549"/>
      <c r="AJ468" s="549"/>
      <c r="AK468" s="549"/>
      <c r="AL468" s="549"/>
      <c r="AM468" s="549"/>
      <c r="AN468" s="549"/>
      <c r="AO468" s="549"/>
      <c r="AP468" s="549"/>
      <c r="AQ468" s="549"/>
      <c r="AR468" s="549"/>
      <c r="AS468" s="549"/>
      <c r="AT468" s="549"/>
      <c r="AU468" s="549"/>
      <c r="AV468" s="549"/>
      <c r="AW468" s="549"/>
      <c r="AX468" s="549"/>
      <c r="AY468" s="549"/>
      <c r="AZ468" s="549"/>
      <c r="BA468" s="549"/>
      <c r="BB468" s="549"/>
      <c r="BC468" s="549"/>
      <c r="BD468" s="549"/>
      <c r="BE468" s="549"/>
      <c r="BF468" s="549"/>
      <c r="BG468" s="549"/>
      <c r="BH468" s="549"/>
      <c r="BI468" s="549"/>
    </row>
    <row r="469" spans="16:61" s="254" customFormat="1" ht="9.9">
      <c r="P469" s="549"/>
      <c r="Q469" s="549"/>
      <c r="R469" s="549"/>
      <c r="S469" s="549"/>
      <c r="T469" s="549"/>
      <c r="U469" s="549"/>
      <c r="V469" s="549"/>
      <c r="W469" s="549"/>
      <c r="X469" s="549"/>
      <c r="Y469" s="549"/>
      <c r="Z469" s="549"/>
      <c r="AA469" s="549"/>
      <c r="AB469" s="549"/>
      <c r="AC469" s="549"/>
      <c r="AD469" s="549"/>
      <c r="AE469" s="549"/>
      <c r="AF469" s="549"/>
      <c r="AG469" s="549"/>
      <c r="AH469" s="549"/>
      <c r="AI469" s="549"/>
      <c r="AJ469" s="549"/>
      <c r="AK469" s="549"/>
      <c r="AL469" s="549"/>
      <c r="AM469" s="549"/>
      <c r="AN469" s="549"/>
      <c r="AO469" s="549"/>
      <c r="AP469" s="549"/>
      <c r="AQ469" s="549"/>
      <c r="AR469" s="549"/>
      <c r="AS469" s="549"/>
      <c r="AT469" s="549"/>
      <c r="AU469" s="549"/>
      <c r="AV469" s="549"/>
      <c r="AW469" s="549"/>
      <c r="AX469" s="549"/>
      <c r="AY469" s="549"/>
      <c r="AZ469" s="549"/>
      <c r="BA469" s="549"/>
      <c r="BB469" s="549"/>
      <c r="BC469" s="549"/>
      <c r="BD469" s="549"/>
      <c r="BE469" s="549"/>
      <c r="BF469" s="549"/>
      <c r="BG469" s="549"/>
      <c r="BH469" s="549"/>
      <c r="BI469" s="549"/>
    </row>
    <row r="470" spans="16:61" s="254" customFormat="1" ht="9.9">
      <c r="P470" s="549"/>
      <c r="Q470" s="549"/>
      <c r="R470" s="549"/>
      <c r="S470" s="549"/>
      <c r="T470" s="549"/>
      <c r="U470" s="549"/>
      <c r="V470" s="549"/>
      <c r="W470" s="549"/>
      <c r="X470" s="549"/>
      <c r="Y470" s="549"/>
      <c r="Z470" s="549"/>
      <c r="AA470" s="549"/>
      <c r="AB470" s="549"/>
      <c r="AC470" s="549"/>
      <c r="AD470" s="549"/>
      <c r="AE470" s="549"/>
      <c r="AF470" s="549"/>
      <c r="AG470" s="549"/>
      <c r="AH470" s="549"/>
      <c r="AI470" s="549"/>
      <c r="AJ470" s="549"/>
      <c r="AK470" s="549"/>
      <c r="AL470" s="549"/>
      <c r="AM470" s="549"/>
      <c r="AN470" s="549"/>
      <c r="AO470" s="549"/>
      <c r="AP470" s="549"/>
      <c r="AQ470" s="549"/>
      <c r="AR470" s="549"/>
      <c r="AS470" s="549"/>
      <c r="AT470" s="549"/>
      <c r="AU470" s="549"/>
      <c r="AV470" s="549"/>
      <c r="AW470" s="549"/>
      <c r="AX470" s="549"/>
      <c r="AY470" s="549"/>
      <c r="AZ470" s="549"/>
      <c r="BA470" s="549"/>
      <c r="BB470" s="549"/>
      <c r="BC470" s="549"/>
      <c r="BD470" s="549"/>
      <c r="BE470" s="549"/>
      <c r="BF470" s="549"/>
      <c r="BG470" s="549"/>
      <c r="BH470" s="549"/>
      <c r="BI470" s="549"/>
    </row>
    <row r="471" spans="16:61" s="254" customFormat="1" ht="9.9">
      <c r="P471" s="549"/>
      <c r="Q471" s="549"/>
      <c r="R471" s="549"/>
      <c r="S471" s="549"/>
      <c r="T471" s="549"/>
      <c r="U471" s="549"/>
      <c r="V471" s="549"/>
      <c r="W471" s="549"/>
      <c r="X471" s="549"/>
      <c r="Y471" s="549"/>
      <c r="Z471" s="549"/>
      <c r="AA471" s="549"/>
      <c r="AB471" s="549"/>
      <c r="AC471" s="549"/>
      <c r="AD471" s="549"/>
      <c r="AE471" s="549"/>
      <c r="AF471" s="549"/>
      <c r="AG471" s="549"/>
      <c r="AH471" s="549"/>
      <c r="AI471" s="549"/>
      <c r="AJ471" s="549"/>
      <c r="AK471" s="549"/>
      <c r="AL471" s="549"/>
      <c r="AM471" s="549"/>
      <c r="AN471" s="549"/>
      <c r="AO471" s="549"/>
      <c r="AP471" s="549"/>
      <c r="AQ471" s="549"/>
      <c r="AR471" s="549"/>
      <c r="AS471" s="549"/>
      <c r="AT471" s="549"/>
      <c r="AU471" s="549"/>
      <c r="AV471" s="549"/>
      <c r="AW471" s="549"/>
      <c r="AX471" s="549"/>
      <c r="AY471" s="549"/>
      <c r="AZ471" s="549"/>
      <c r="BA471" s="549"/>
      <c r="BB471" s="549"/>
      <c r="BC471" s="549"/>
      <c r="BD471" s="549"/>
      <c r="BE471" s="549"/>
      <c r="BF471" s="549"/>
      <c r="BG471" s="549"/>
      <c r="BH471" s="549"/>
      <c r="BI471" s="549"/>
    </row>
    <row r="472" spans="16:61" s="254" customFormat="1" ht="9.9">
      <c r="P472" s="549"/>
      <c r="Q472" s="549"/>
      <c r="R472" s="549"/>
      <c r="S472" s="549"/>
      <c r="T472" s="549"/>
      <c r="U472" s="549"/>
      <c r="V472" s="549"/>
      <c r="W472" s="549"/>
      <c r="X472" s="549"/>
      <c r="Y472" s="549"/>
      <c r="Z472" s="549"/>
      <c r="AA472" s="549"/>
      <c r="AB472" s="549"/>
      <c r="AC472" s="549"/>
      <c r="AD472" s="549"/>
      <c r="AE472" s="549"/>
      <c r="AF472" s="549"/>
      <c r="AG472" s="549"/>
      <c r="AH472" s="549"/>
      <c r="AI472" s="549"/>
      <c r="AJ472" s="549"/>
      <c r="AK472" s="549"/>
      <c r="AL472" s="549"/>
      <c r="AM472" s="549"/>
      <c r="AN472" s="549"/>
      <c r="AO472" s="549"/>
      <c r="AP472" s="549"/>
      <c r="AQ472" s="549"/>
      <c r="AR472" s="549"/>
      <c r="AS472" s="549"/>
      <c r="AT472" s="549"/>
      <c r="AU472" s="549"/>
      <c r="AV472" s="549"/>
      <c r="AW472" s="549"/>
      <c r="AX472" s="549"/>
      <c r="AY472" s="549"/>
      <c r="AZ472" s="549"/>
      <c r="BA472" s="549"/>
      <c r="BB472" s="549"/>
      <c r="BC472" s="549"/>
      <c r="BD472" s="549"/>
      <c r="BE472" s="549"/>
      <c r="BF472" s="549"/>
      <c r="BG472" s="549"/>
      <c r="BH472" s="549"/>
      <c r="BI472" s="549"/>
    </row>
    <row r="473" spans="16:61" s="254" customFormat="1" ht="9.9">
      <c r="P473" s="549"/>
      <c r="Q473" s="549"/>
      <c r="R473" s="549"/>
      <c r="S473" s="549"/>
      <c r="T473" s="549"/>
      <c r="U473" s="549"/>
      <c r="V473" s="549"/>
      <c r="W473" s="549"/>
      <c r="X473" s="549"/>
      <c r="Y473" s="549"/>
      <c r="Z473" s="549"/>
      <c r="AA473" s="549"/>
      <c r="AB473" s="549"/>
      <c r="AC473" s="549"/>
      <c r="AD473" s="549"/>
      <c r="AE473" s="549"/>
      <c r="AF473" s="549"/>
      <c r="AG473" s="549"/>
      <c r="AH473" s="549"/>
      <c r="AI473" s="549"/>
      <c r="AJ473" s="549"/>
      <c r="AK473" s="549"/>
      <c r="AL473" s="549"/>
      <c r="AM473" s="549"/>
      <c r="AN473" s="549"/>
      <c r="AO473" s="549"/>
      <c r="AP473" s="549"/>
      <c r="AQ473" s="549"/>
      <c r="AR473" s="549"/>
      <c r="AS473" s="549"/>
      <c r="AT473" s="549"/>
      <c r="AU473" s="549"/>
      <c r="AV473" s="549"/>
      <c r="AW473" s="549"/>
      <c r="AX473" s="549"/>
      <c r="AY473" s="549"/>
      <c r="AZ473" s="549"/>
      <c r="BA473" s="549"/>
      <c r="BB473" s="549"/>
      <c r="BC473" s="549"/>
      <c r="BD473" s="549"/>
      <c r="BE473" s="549"/>
      <c r="BF473" s="549"/>
      <c r="BG473" s="549"/>
      <c r="BH473" s="549"/>
      <c r="BI473" s="549"/>
    </row>
    <row r="474" spans="16:61" s="254" customFormat="1" ht="9.9">
      <c r="P474" s="549"/>
      <c r="Q474" s="549"/>
      <c r="R474" s="549"/>
      <c r="S474" s="549"/>
      <c r="T474" s="549"/>
      <c r="U474" s="549"/>
      <c r="V474" s="549"/>
      <c r="W474" s="549"/>
      <c r="X474" s="549"/>
      <c r="Y474" s="549"/>
      <c r="Z474" s="549"/>
      <c r="AA474" s="549"/>
      <c r="AB474" s="549"/>
      <c r="AC474" s="549"/>
      <c r="AD474" s="549"/>
      <c r="AE474" s="549"/>
      <c r="AF474" s="549"/>
      <c r="AG474" s="549"/>
      <c r="AH474" s="549"/>
      <c r="AI474" s="549"/>
      <c r="AJ474" s="549"/>
      <c r="AK474" s="549"/>
      <c r="AL474" s="549"/>
      <c r="AM474" s="549"/>
      <c r="AN474" s="549"/>
      <c r="AO474" s="549"/>
      <c r="AP474" s="549"/>
      <c r="AQ474" s="549"/>
      <c r="AR474" s="549"/>
      <c r="AS474" s="549"/>
      <c r="AT474" s="549"/>
      <c r="AU474" s="549"/>
      <c r="AV474" s="549"/>
      <c r="AW474" s="549"/>
      <c r="AX474" s="549"/>
      <c r="AY474" s="549"/>
      <c r="AZ474" s="549"/>
      <c r="BA474" s="549"/>
      <c r="BB474" s="549"/>
      <c r="BC474" s="549"/>
      <c r="BD474" s="549"/>
      <c r="BE474" s="549"/>
      <c r="BF474" s="549"/>
      <c r="BG474" s="549"/>
      <c r="BH474" s="549"/>
      <c r="BI474" s="549"/>
    </row>
    <row r="475" spans="16:61" s="254" customFormat="1" ht="9.9">
      <c r="P475" s="549"/>
      <c r="Q475" s="549"/>
      <c r="R475" s="549"/>
      <c r="S475" s="549"/>
      <c r="T475" s="549"/>
      <c r="U475" s="549"/>
      <c r="V475" s="549"/>
      <c r="W475" s="549"/>
      <c r="X475" s="549"/>
      <c r="Y475" s="549"/>
      <c r="Z475" s="549"/>
      <c r="AA475" s="549"/>
      <c r="AB475" s="549"/>
      <c r="AC475" s="549"/>
      <c r="AD475" s="549"/>
      <c r="AE475" s="549"/>
      <c r="AF475" s="549"/>
      <c r="AG475" s="549"/>
      <c r="AH475" s="549"/>
      <c r="AI475" s="549"/>
      <c r="AJ475" s="549"/>
      <c r="AK475" s="549"/>
      <c r="AL475" s="549"/>
      <c r="AM475" s="549"/>
      <c r="AN475" s="549"/>
      <c r="AO475" s="549"/>
      <c r="AP475" s="549"/>
      <c r="AQ475" s="549"/>
      <c r="AR475" s="549"/>
      <c r="AS475" s="549"/>
      <c r="AT475" s="549"/>
      <c r="AU475" s="549"/>
      <c r="AV475" s="549"/>
      <c r="AW475" s="549"/>
      <c r="AX475" s="549"/>
      <c r="AY475" s="549"/>
      <c r="AZ475" s="549"/>
      <c r="BA475" s="549"/>
      <c r="BB475" s="549"/>
      <c r="BC475" s="549"/>
      <c r="BD475" s="549"/>
      <c r="BE475" s="549"/>
      <c r="BF475" s="549"/>
      <c r="BG475" s="549"/>
      <c r="BH475" s="549"/>
      <c r="BI475" s="549"/>
    </row>
    <row r="476" spans="16:61" s="254" customFormat="1" ht="9.9">
      <c r="P476" s="549"/>
      <c r="Q476" s="549"/>
      <c r="R476" s="549"/>
      <c r="S476" s="549"/>
      <c r="T476" s="549"/>
      <c r="U476" s="549"/>
      <c r="V476" s="549"/>
      <c r="W476" s="549"/>
      <c r="X476" s="549"/>
      <c r="Y476" s="549"/>
      <c r="Z476" s="549"/>
      <c r="AA476" s="549"/>
      <c r="AB476" s="549"/>
      <c r="AC476" s="549"/>
      <c r="AD476" s="549"/>
      <c r="AE476" s="549"/>
      <c r="AF476" s="549"/>
      <c r="AG476" s="549"/>
      <c r="AH476" s="549"/>
      <c r="AI476" s="549"/>
      <c r="AJ476" s="549"/>
      <c r="AK476" s="549"/>
      <c r="AL476" s="549"/>
      <c r="AM476" s="549"/>
      <c r="AN476" s="549"/>
      <c r="AO476" s="549"/>
      <c r="AP476" s="549"/>
      <c r="AQ476" s="549"/>
      <c r="AR476" s="549"/>
      <c r="AS476" s="549"/>
      <c r="AT476" s="549"/>
      <c r="AU476" s="549"/>
      <c r="AV476" s="549"/>
      <c r="AW476" s="549"/>
      <c r="AX476" s="549"/>
      <c r="AY476" s="549"/>
      <c r="AZ476" s="549"/>
      <c r="BA476" s="549"/>
      <c r="BB476" s="549"/>
      <c r="BC476" s="549"/>
      <c r="BD476" s="549"/>
      <c r="BE476" s="549"/>
      <c r="BF476" s="549"/>
      <c r="BG476" s="549"/>
      <c r="BH476" s="549"/>
      <c r="BI476" s="549"/>
    </row>
    <row r="477" spans="16:61" s="254" customFormat="1" ht="9.9">
      <c r="P477" s="549"/>
      <c r="Q477" s="549"/>
      <c r="R477" s="549"/>
      <c r="S477" s="549"/>
      <c r="T477" s="549"/>
      <c r="U477" s="549"/>
      <c r="V477" s="549"/>
      <c r="W477" s="549"/>
      <c r="X477" s="549"/>
      <c r="Y477" s="549"/>
      <c r="Z477" s="549"/>
      <c r="AA477" s="549"/>
      <c r="AB477" s="549"/>
      <c r="AC477" s="549"/>
      <c r="AD477" s="549"/>
      <c r="AE477" s="549"/>
      <c r="AF477" s="549"/>
      <c r="AG477" s="549"/>
      <c r="AH477" s="549"/>
      <c r="AI477" s="549"/>
      <c r="AJ477" s="549"/>
      <c r="AK477" s="549"/>
      <c r="AL477" s="549"/>
      <c r="AM477" s="549"/>
      <c r="AN477" s="549"/>
      <c r="AO477" s="549"/>
      <c r="AP477" s="549"/>
      <c r="AQ477" s="549"/>
      <c r="AR477" s="549"/>
      <c r="AS477" s="549"/>
      <c r="AT477" s="549"/>
      <c r="AU477" s="549"/>
      <c r="AV477" s="549"/>
      <c r="AW477" s="549"/>
      <c r="AX477" s="549"/>
      <c r="AY477" s="549"/>
      <c r="AZ477" s="549"/>
      <c r="BA477" s="549"/>
      <c r="BB477" s="549"/>
      <c r="BC477" s="549"/>
      <c r="BD477" s="549"/>
      <c r="BE477" s="549"/>
      <c r="BF477" s="549"/>
      <c r="BG477" s="549"/>
      <c r="BH477" s="549"/>
      <c r="BI477" s="549"/>
    </row>
    <row r="478" spans="16:61" s="254" customFormat="1" ht="9.9">
      <c r="P478" s="549"/>
      <c r="Q478" s="549"/>
      <c r="R478" s="549"/>
      <c r="S478" s="549"/>
      <c r="T478" s="549"/>
      <c r="U478" s="549"/>
      <c r="V478" s="549"/>
      <c r="W478" s="549"/>
      <c r="X478" s="549"/>
      <c r="Y478" s="549"/>
      <c r="Z478" s="549"/>
      <c r="AA478" s="549"/>
      <c r="AB478" s="549"/>
      <c r="AC478" s="549"/>
      <c r="AD478" s="549"/>
      <c r="AE478" s="549"/>
      <c r="AF478" s="549"/>
      <c r="AG478" s="549"/>
      <c r="AH478" s="549"/>
      <c r="AI478" s="549"/>
      <c r="AJ478" s="549"/>
      <c r="AK478" s="549"/>
      <c r="AL478" s="549"/>
      <c r="AM478" s="549"/>
      <c r="AN478" s="549"/>
      <c r="AO478" s="549"/>
      <c r="AP478" s="549"/>
      <c r="AQ478" s="549"/>
      <c r="AR478" s="549"/>
      <c r="AS478" s="549"/>
      <c r="AT478" s="549"/>
      <c r="AU478" s="549"/>
      <c r="AV478" s="549"/>
      <c r="AW478" s="549"/>
      <c r="AX478" s="549"/>
      <c r="AY478" s="549"/>
      <c r="AZ478" s="549"/>
      <c r="BA478" s="549"/>
      <c r="BB478" s="549"/>
      <c r="BC478" s="549"/>
      <c r="BD478" s="549"/>
      <c r="BE478" s="549"/>
      <c r="BF478" s="549"/>
      <c r="BG478" s="549"/>
      <c r="BH478" s="549"/>
      <c r="BI478" s="549"/>
    </row>
    <row r="479" spans="16:61" s="254" customFormat="1" ht="9.9">
      <c r="P479" s="549"/>
      <c r="Q479" s="549"/>
      <c r="R479" s="549"/>
      <c r="S479" s="549"/>
      <c r="T479" s="549"/>
      <c r="U479" s="549"/>
      <c r="V479" s="549"/>
      <c r="W479" s="549"/>
      <c r="X479" s="549"/>
      <c r="Y479" s="549"/>
      <c r="Z479" s="549"/>
      <c r="AA479" s="549"/>
      <c r="AB479" s="549"/>
      <c r="AC479" s="549"/>
      <c r="AD479" s="549"/>
      <c r="AE479" s="549"/>
      <c r="AF479" s="549"/>
      <c r="AG479" s="549"/>
      <c r="AH479" s="549"/>
      <c r="AI479" s="549"/>
      <c r="AJ479" s="549"/>
      <c r="AK479" s="549"/>
      <c r="AL479" s="549"/>
      <c r="AM479" s="549"/>
      <c r="AN479" s="549"/>
      <c r="AO479" s="549"/>
      <c r="AP479" s="549"/>
      <c r="AQ479" s="549"/>
      <c r="AR479" s="549"/>
      <c r="AS479" s="549"/>
      <c r="AT479" s="549"/>
      <c r="AU479" s="549"/>
      <c r="AV479" s="549"/>
      <c r="AW479" s="549"/>
      <c r="AX479" s="549"/>
      <c r="AY479" s="549"/>
      <c r="AZ479" s="549"/>
      <c r="BA479" s="549"/>
      <c r="BB479" s="549"/>
      <c r="BC479" s="549"/>
      <c r="BD479" s="549"/>
      <c r="BE479" s="549"/>
      <c r="BF479" s="549"/>
      <c r="BG479" s="549"/>
      <c r="BH479" s="549"/>
      <c r="BI479" s="549"/>
    </row>
    <row r="480" spans="16:61" s="254" customFormat="1" ht="9.9">
      <c r="P480" s="549"/>
      <c r="Q480" s="549"/>
      <c r="R480" s="549"/>
      <c r="S480" s="549"/>
      <c r="T480" s="549"/>
      <c r="U480" s="549"/>
      <c r="V480" s="549"/>
      <c r="W480" s="549"/>
      <c r="X480" s="549"/>
      <c r="Y480" s="549"/>
      <c r="Z480" s="549"/>
      <c r="AA480" s="549"/>
      <c r="AB480" s="549"/>
      <c r="AC480" s="549"/>
      <c r="AD480" s="549"/>
      <c r="AE480" s="549"/>
      <c r="AF480" s="549"/>
      <c r="AG480" s="549"/>
      <c r="AH480" s="549"/>
      <c r="AI480" s="549"/>
      <c r="AJ480" s="549"/>
      <c r="AK480" s="549"/>
      <c r="AL480" s="549"/>
      <c r="AM480" s="549"/>
      <c r="AN480" s="549"/>
      <c r="AO480" s="549"/>
      <c r="AP480" s="549"/>
      <c r="AQ480" s="549"/>
      <c r="AR480" s="549"/>
      <c r="AS480" s="549"/>
      <c r="AT480" s="549"/>
      <c r="AU480" s="549"/>
      <c r="AV480" s="549"/>
      <c r="AW480" s="549"/>
      <c r="AX480" s="549"/>
      <c r="AY480" s="549"/>
      <c r="AZ480" s="549"/>
      <c r="BA480" s="549"/>
      <c r="BB480" s="549"/>
      <c r="BC480" s="549"/>
      <c r="BD480" s="549"/>
      <c r="BE480" s="549"/>
      <c r="BF480" s="549"/>
      <c r="BG480" s="549"/>
      <c r="BH480" s="549"/>
      <c r="BI480" s="549"/>
    </row>
    <row r="481" spans="16:61" s="254" customFormat="1" ht="9.9">
      <c r="P481" s="549"/>
      <c r="Q481" s="549"/>
      <c r="R481" s="549"/>
      <c r="S481" s="549"/>
      <c r="T481" s="549"/>
      <c r="U481" s="549"/>
      <c r="V481" s="549"/>
      <c r="W481" s="549"/>
      <c r="X481" s="549"/>
      <c r="Y481" s="549"/>
      <c r="Z481" s="549"/>
      <c r="AA481" s="549"/>
      <c r="AB481" s="549"/>
      <c r="AC481" s="549"/>
      <c r="AD481" s="549"/>
      <c r="AE481" s="549"/>
      <c r="AF481" s="549"/>
      <c r="AG481" s="549"/>
      <c r="AH481" s="549"/>
      <c r="AI481" s="549"/>
      <c r="AJ481" s="549"/>
      <c r="AK481" s="549"/>
      <c r="AL481" s="549"/>
      <c r="AM481" s="549"/>
      <c r="AN481" s="549"/>
      <c r="AO481" s="549"/>
      <c r="AP481" s="549"/>
      <c r="AQ481" s="549"/>
      <c r="AR481" s="549"/>
      <c r="AS481" s="549"/>
      <c r="AT481" s="549"/>
      <c r="AU481" s="549"/>
      <c r="AV481" s="549"/>
      <c r="AW481" s="549"/>
      <c r="AX481" s="549"/>
      <c r="AY481" s="549"/>
      <c r="AZ481" s="549"/>
      <c r="BA481" s="549"/>
      <c r="BB481" s="549"/>
      <c r="BC481" s="549"/>
      <c r="BD481" s="549"/>
      <c r="BE481" s="549"/>
      <c r="BF481" s="549"/>
      <c r="BG481" s="549"/>
      <c r="BH481" s="549"/>
      <c r="BI481" s="549"/>
    </row>
    <row r="482" spans="16:61" s="254" customFormat="1" ht="9.9">
      <c r="P482" s="549"/>
      <c r="Q482" s="549"/>
      <c r="R482" s="549"/>
      <c r="S482" s="549"/>
      <c r="T482" s="549"/>
      <c r="U482" s="549"/>
      <c r="V482" s="549"/>
      <c r="W482" s="549"/>
      <c r="X482" s="549"/>
      <c r="Y482" s="549"/>
      <c r="Z482" s="549"/>
      <c r="AA482" s="549"/>
      <c r="AB482" s="549"/>
      <c r="AC482" s="549"/>
      <c r="AD482" s="549"/>
      <c r="AE482" s="549"/>
      <c r="AF482" s="549"/>
      <c r="AG482" s="549"/>
      <c r="AH482" s="549"/>
      <c r="AI482" s="549"/>
      <c r="AJ482" s="549"/>
      <c r="AK482" s="549"/>
      <c r="AL482" s="549"/>
      <c r="AM482" s="549"/>
      <c r="AN482" s="549"/>
      <c r="AO482" s="549"/>
      <c r="AP482" s="549"/>
      <c r="AQ482" s="549"/>
      <c r="AR482" s="549"/>
      <c r="AS482" s="549"/>
      <c r="AT482" s="549"/>
      <c r="AU482" s="549"/>
      <c r="AV482" s="549"/>
      <c r="AW482" s="549"/>
      <c r="AX482" s="549"/>
      <c r="AY482" s="549"/>
      <c r="AZ482" s="549"/>
      <c r="BA482" s="549"/>
      <c r="BB482" s="549"/>
      <c r="BC482" s="549"/>
      <c r="BD482" s="549"/>
      <c r="BE482" s="549"/>
      <c r="BF482" s="549"/>
      <c r="BG482" s="549"/>
      <c r="BH482" s="549"/>
      <c r="BI482" s="549"/>
    </row>
    <row r="483" spans="16:61" s="254" customFormat="1" ht="9.9">
      <c r="P483" s="549"/>
      <c r="Q483" s="549"/>
      <c r="R483" s="549"/>
      <c r="S483" s="549"/>
      <c r="T483" s="549"/>
      <c r="U483" s="549"/>
      <c r="V483" s="549"/>
      <c r="W483" s="549"/>
      <c r="X483" s="549"/>
      <c r="Y483" s="549"/>
      <c r="Z483" s="549"/>
      <c r="AA483" s="549"/>
      <c r="AB483" s="549"/>
      <c r="AC483" s="549"/>
      <c r="AD483" s="549"/>
      <c r="AE483" s="549"/>
      <c r="AF483" s="549"/>
      <c r="AG483" s="549"/>
      <c r="AH483" s="549"/>
      <c r="AI483" s="549"/>
      <c r="AJ483" s="549"/>
      <c r="AK483" s="549"/>
      <c r="AL483" s="549"/>
      <c r="AM483" s="549"/>
      <c r="AN483" s="549"/>
      <c r="AO483" s="549"/>
      <c r="AP483" s="549"/>
      <c r="AQ483" s="549"/>
      <c r="AR483" s="549"/>
      <c r="AS483" s="549"/>
      <c r="AT483" s="549"/>
      <c r="AU483" s="549"/>
      <c r="AV483" s="549"/>
      <c r="AW483" s="549"/>
      <c r="AX483" s="549"/>
      <c r="AY483" s="549"/>
      <c r="AZ483" s="549"/>
      <c r="BA483" s="549"/>
      <c r="BB483" s="549"/>
      <c r="BC483" s="549"/>
      <c r="BD483" s="549"/>
      <c r="BE483" s="549"/>
      <c r="BF483" s="549"/>
      <c r="BG483" s="549"/>
      <c r="BH483" s="549"/>
      <c r="BI483" s="549"/>
    </row>
    <row r="484" spans="16:61" s="254" customFormat="1" ht="9.9">
      <c r="P484" s="549"/>
      <c r="Q484" s="549"/>
      <c r="R484" s="549"/>
      <c r="S484" s="549"/>
      <c r="T484" s="549"/>
      <c r="U484" s="549"/>
      <c r="V484" s="549"/>
      <c r="W484" s="549"/>
      <c r="X484" s="549"/>
      <c r="Y484" s="549"/>
      <c r="Z484" s="549"/>
      <c r="AA484" s="549"/>
      <c r="AB484" s="549"/>
      <c r="AC484" s="549"/>
      <c r="AD484" s="549"/>
      <c r="AE484" s="549"/>
      <c r="AF484" s="549"/>
      <c r="AG484" s="549"/>
      <c r="AH484" s="549"/>
      <c r="AI484" s="549"/>
      <c r="AJ484" s="549"/>
      <c r="AK484" s="549"/>
      <c r="AL484" s="549"/>
      <c r="AM484" s="549"/>
      <c r="AN484" s="549"/>
      <c r="AO484" s="549"/>
      <c r="AP484" s="549"/>
      <c r="AQ484" s="549"/>
      <c r="AR484" s="549"/>
      <c r="AS484" s="549"/>
      <c r="AT484" s="549"/>
      <c r="AU484" s="549"/>
      <c r="AV484" s="549"/>
      <c r="AW484" s="549"/>
      <c r="AX484" s="549"/>
      <c r="AY484" s="549"/>
      <c r="AZ484" s="549"/>
      <c r="BA484" s="549"/>
      <c r="BB484" s="549"/>
      <c r="BC484" s="549"/>
      <c r="BD484" s="549"/>
      <c r="BE484" s="549"/>
      <c r="BF484" s="549"/>
      <c r="BG484" s="549"/>
      <c r="BH484" s="549"/>
      <c r="BI484" s="549"/>
    </row>
    <row r="485" spans="16:61" s="254" customFormat="1" ht="9.9">
      <c r="P485" s="549"/>
      <c r="Q485" s="549"/>
      <c r="R485" s="549"/>
      <c r="S485" s="549"/>
      <c r="T485" s="549"/>
      <c r="U485" s="549"/>
      <c r="V485" s="549"/>
      <c r="W485" s="549"/>
      <c r="X485" s="549"/>
      <c r="Y485" s="549"/>
      <c r="Z485" s="549"/>
      <c r="AA485" s="549"/>
      <c r="AB485" s="549"/>
      <c r="AC485" s="549"/>
      <c r="AD485" s="549"/>
      <c r="AE485" s="549"/>
      <c r="AF485" s="549"/>
      <c r="AG485" s="549"/>
      <c r="AH485" s="549"/>
      <c r="AI485" s="549"/>
      <c r="AJ485" s="549"/>
      <c r="AK485" s="549"/>
      <c r="AL485" s="549"/>
      <c r="AM485" s="549"/>
      <c r="AN485" s="549"/>
      <c r="AO485" s="549"/>
      <c r="AP485" s="549"/>
      <c r="AQ485" s="549"/>
      <c r="AR485" s="549"/>
      <c r="AS485" s="549"/>
      <c r="AT485" s="549"/>
      <c r="AU485" s="549"/>
      <c r="AV485" s="549"/>
      <c r="AW485" s="549"/>
      <c r="AX485" s="549"/>
      <c r="AY485" s="549"/>
      <c r="AZ485" s="549"/>
      <c r="BA485" s="549"/>
      <c r="BB485" s="549"/>
      <c r="BC485" s="549"/>
      <c r="BD485" s="549"/>
      <c r="BE485" s="549"/>
      <c r="BF485" s="549"/>
      <c r="BG485" s="549"/>
      <c r="BH485" s="549"/>
      <c r="BI485" s="549"/>
    </row>
    <row r="486" spans="16:61" s="254" customFormat="1" ht="9.9">
      <c r="P486" s="549"/>
      <c r="Q486" s="549"/>
      <c r="R486" s="549"/>
      <c r="S486" s="549"/>
      <c r="T486" s="549"/>
      <c r="U486" s="549"/>
      <c r="V486" s="549"/>
      <c r="W486" s="549"/>
      <c r="X486" s="549"/>
      <c r="Y486" s="549"/>
      <c r="Z486" s="549"/>
      <c r="AA486" s="549"/>
      <c r="AB486" s="549"/>
      <c r="AC486" s="549"/>
      <c r="AD486" s="549"/>
      <c r="AE486" s="549"/>
      <c r="AF486" s="549"/>
      <c r="AG486" s="549"/>
      <c r="AH486" s="549"/>
      <c r="AI486" s="549"/>
      <c r="AJ486" s="549"/>
      <c r="AK486" s="549"/>
      <c r="AL486" s="549"/>
      <c r="AM486" s="549"/>
      <c r="AN486" s="549"/>
      <c r="AO486" s="549"/>
      <c r="AP486" s="549"/>
      <c r="AQ486" s="549"/>
      <c r="AR486" s="549"/>
      <c r="AS486" s="549"/>
      <c r="AT486" s="549"/>
      <c r="AU486" s="549"/>
      <c r="AV486" s="549"/>
      <c r="AW486" s="549"/>
      <c r="AX486" s="549"/>
      <c r="AY486" s="549"/>
      <c r="AZ486" s="549"/>
      <c r="BA486" s="549"/>
      <c r="BB486" s="549"/>
      <c r="BC486" s="549"/>
      <c r="BD486" s="549"/>
      <c r="BE486" s="549"/>
      <c r="BF486" s="549"/>
      <c r="BG486" s="549"/>
      <c r="BH486" s="549"/>
      <c r="BI486" s="549"/>
    </row>
    <row r="487" spans="16:61" s="254" customFormat="1" ht="9.9">
      <c r="P487" s="549"/>
      <c r="Q487" s="549"/>
      <c r="R487" s="549"/>
      <c r="S487" s="549"/>
      <c r="T487" s="549"/>
      <c r="U487" s="549"/>
      <c r="V487" s="549"/>
      <c r="W487" s="549"/>
      <c r="X487" s="549"/>
      <c r="Y487" s="549"/>
      <c r="Z487" s="549"/>
      <c r="AA487" s="549"/>
      <c r="AB487" s="549"/>
      <c r="AC487" s="549"/>
      <c r="AD487" s="549"/>
      <c r="AE487" s="549"/>
      <c r="AF487" s="549"/>
      <c r="AG487" s="549"/>
      <c r="AH487" s="549"/>
      <c r="AI487" s="549"/>
      <c r="AJ487" s="549"/>
      <c r="AK487" s="549"/>
      <c r="AL487" s="549"/>
      <c r="AM487" s="549"/>
      <c r="AN487" s="549"/>
      <c r="AO487" s="549"/>
      <c r="AP487" s="549"/>
      <c r="AQ487" s="549"/>
      <c r="AR487" s="549"/>
      <c r="AS487" s="549"/>
      <c r="AT487" s="549"/>
      <c r="AU487" s="549"/>
      <c r="AV487" s="549"/>
      <c r="AW487" s="549"/>
      <c r="AX487" s="549"/>
      <c r="AY487" s="549"/>
      <c r="AZ487" s="549"/>
      <c r="BA487" s="549"/>
      <c r="BB487" s="549"/>
      <c r="BC487" s="549"/>
      <c r="BD487" s="549"/>
      <c r="BE487" s="549"/>
      <c r="BF487" s="549"/>
      <c r="BG487" s="549"/>
      <c r="BH487" s="549"/>
      <c r="BI487" s="549"/>
    </row>
    <row r="488" spans="16:61" s="254" customFormat="1" ht="9.9">
      <c r="P488" s="549"/>
      <c r="Q488" s="549"/>
      <c r="R488" s="549"/>
      <c r="S488" s="549"/>
      <c r="T488" s="549"/>
      <c r="U488" s="549"/>
      <c r="V488" s="549"/>
      <c r="W488" s="549"/>
      <c r="X488" s="549"/>
      <c r="Y488" s="549"/>
      <c r="Z488" s="549"/>
      <c r="AA488" s="549"/>
      <c r="AB488" s="549"/>
      <c r="AC488" s="549"/>
      <c r="AD488" s="549"/>
      <c r="AE488" s="549"/>
      <c r="AF488" s="549"/>
      <c r="AG488" s="549"/>
      <c r="AH488" s="549"/>
      <c r="AI488" s="549"/>
      <c r="AJ488" s="549"/>
      <c r="AK488" s="549"/>
      <c r="AL488" s="549"/>
      <c r="AM488" s="549"/>
      <c r="AN488" s="549"/>
      <c r="AO488" s="549"/>
      <c r="AP488" s="549"/>
      <c r="AQ488" s="549"/>
      <c r="AR488" s="549"/>
      <c r="AS488" s="549"/>
      <c r="AT488" s="549"/>
      <c r="AU488" s="549"/>
      <c r="AV488" s="549"/>
      <c r="AW488" s="549"/>
      <c r="AX488" s="549"/>
      <c r="AY488" s="549"/>
      <c r="AZ488" s="549"/>
      <c r="BA488" s="549"/>
      <c r="BB488" s="549"/>
      <c r="BC488" s="549"/>
      <c r="BD488" s="549"/>
      <c r="BE488" s="549"/>
      <c r="BF488" s="549"/>
      <c r="BG488" s="549"/>
      <c r="BH488" s="549"/>
      <c r="BI488" s="549"/>
    </row>
    <row r="489" spans="16:61" s="254" customFormat="1" ht="9.9">
      <c r="P489" s="549"/>
      <c r="Q489" s="549"/>
      <c r="R489" s="549"/>
      <c r="S489" s="549"/>
      <c r="T489" s="549"/>
      <c r="U489" s="549"/>
      <c r="V489" s="549"/>
      <c r="W489" s="549"/>
      <c r="X489" s="549"/>
      <c r="Y489" s="549"/>
      <c r="Z489" s="549"/>
      <c r="AA489" s="549"/>
      <c r="AB489" s="549"/>
      <c r="AC489" s="549"/>
      <c r="AD489" s="549"/>
      <c r="AE489" s="549"/>
      <c r="AF489" s="549"/>
      <c r="AG489" s="549"/>
      <c r="AH489" s="549"/>
      <c r="AI489" s="549"/>
      <c r="AJ489" s="549"/>
      <c r="AK489" s="549"/>
      <c r="AL489" s="549"/>
      <c r="AM489" s="549"/>
      <c r="AN489" s="549"/>
      <c r="AO489" s="549"/>
      <c r="AP489" s="549"/>
      <c r="AQ489" s="549"/>
      <c r="AR489" s="549"/>
      <c r="AS489" s="549"/>
      <c r="AT489" s="549"/>
      <c r="AU489" s="549"/>
      <c r="AV489" s="549"/>
      <c r="AW489" s="549"/>
      <c r="AX489" s="549"/>
      <c r="AY489" s="549"/>
      <c r="AZ489" s="549"/>
      <c r="BA489" s="549"/>
      <c r="BB489" s="549"/>
      <c r="BC489" s="549"/>
      <c r="BD489" s="549"/>
      <c r="BE489" s="549"/>
      <c r="BF489" s="549"/>
      <c r="BG489" s="549"/>
      <c r="BH489" s="549"/>
      <c r="BI489" s="549"/>
    </row>
    <row r="490" spans="16:61" s="254" customFormat="1" ht="9.9">
      <c r="P490" s="549"/>
      <c r="Q490" s="549"/>
      <c r="R490" s="549"/>
      <c r="S490" s="549"/>
      <c r="T490" s="549"/>
      <c r="U490" s="549"/>
      <c r="V490" s="549"/>
      <c r="W490" s="549"/>
      <c r="X490" s="549"/>
      <c r="Y490" s="549"/>
      <c r="Z490" s="549"/>
      <c r="AA490" s="549"/>
      <c r="AB490" s="549"/>
      <c r="AC490" s="549"/>
      <c r="AD490" s="549"/>
      <c r="AE490" s="549"/>
      <c r="AF490" s="549"/>
      <c r="AG490" s="549"/>
      <c r="AH490" s="549"/>
      <c r="AI490" s="549"/>
      <c r="AJ490" s="549"/>
      <c r="AK490" s="549"/>
      <c r="AL490" s="549"/>
      <c r="AM490" s="549"/>
      <c r="AN490" s="549"/>
      <c r="AO490" s="549"/>
      <c r="AP490" s="549"/>
      <c r="AQ490" s="549"/>
      <c r="AR490" s="549"/>
      <c r="AS490" s="549"/>
      <c r="AT490" s="549"/>
      <c r="AU490" s="549"/>
      <c r="AV490" s="549"/>
      <c r="AW490" s="549"/>
      <c r="AX490" s="549"/>
      <c r="AY490" s="549"/>
      <c r="AZ490" s="549"/>
      <c r="BA490" s="549"/>
      <c r="BB490" s="549"/>
      <c r="BC490" s="549"/>
      <c r="BD490" s="549"/>
      <c r="BE490" s="549"/>
      <c r="BF490" s="549"/>
      <c r="BG490" s="549"/>
      <c r="BH490" s="549"/>
      <c r="BI490" s="549"/>
    </row>
    <row r="491" spans="16:61" s="254" customFormat="1" ht="9.9">
      <c r="P491" s="549"/>
      <c r="Q491" s="549"/>
      <c r="R491" s="549"/>
      <c r="S491" s="549"/>
      <c r="T491" s="549"/>
      <c r="U491" s="549"/>
      <c r="V491" s="549"/>
      <c r="W491" s="549"/>
      <c r="X491" s="549"/>
      <c r="Y491" s="549"/>
      <c r="Z491" s="549"/>
      <c r="AA491" s="549"/>
      <c r="AB491" s="549"/>
      <c r="AC491" s="549"/>
      <c r="AD491" s="549"/>
      <c r="AE491" s="549"/>
      <c r="AF491" s="549"/>
      <c r="AG491" s="549"/>
      <c r="AH491" s="549"/>
      <c r="AI491" s="549"/>
      <c r="AJ491" s="549"/>
      <c r="AK491" s="549"/>
      <c r="AL491" s="549"/>
      <c r="AM491" s="549"/>
      <c r="AN491" s="549"/>
      <c r="AO491" s="549"/>
      <c r="AP491" s="549"/>
      <c r="AQ491" s="549"/>
      <c r="AR491" s="549"/>
      <c r="AS491" s="549"/>
      <c r="AT491" s="549"/>
      <c r="AU491" s="549"/>
      <c r="AV491" s="549"/>
      <c r="AW491" s="549"/>
      <c r="AX491" s="549"/>
      <c r="AY491" s="549"/>
      <c r="AZ491" s="549"/>
      <c r="BA491" s="549"/>
      <c r="BB491" s="549"/>
      <c r="BC491" s="549"/>
      <c r="BD491" s="549"/>
      <c r="BE491" s="549"/>
      <c r="BF491" s="549"/>
      <c r="BG491" s="549"/>
      <c r="BH491" s="549"/>
      <c r="BI491" s="549"/>
    </row>
    <row r="492" spans="16:61" s="254" customFormat="1" ht="9.9">
      <c r="P492" s="549"/>
      <c r="Q492" s="549"/>
      <c r="R492" s="549"/>
      <c r="S492" s="549"/>
      <c r="T492" s="549"/>
      <c r="U492" s="549"/>
      <c r="V492" s="549"/>
      <c r="W492" s="549"/>
      <c r="X492" s="549"/>
      <c r="Y492" s="549"/>
      <c r="Z492" s="549"/>
      <c r="AA492" s="549"/>
      <c r="AB492" s="549"/>
      <c r="AC492" s="549"/>
      <c r="AD492" s="549"/>
      <c r="AE492" s="549"/>
      <c r="AF492" s="549"/>
      <c r="AG492" s="549"/>
      <c r="AH492" s="549"/>
      <c r="AI492" s="549"/>
      <c r="AJ492" s="549"/>
      <c r="AK492" s="549"/>
      <c r="AL492" s="549"/>
      <c r="AM492" s="549"/>
      <c r="AN492" s="549"/>
      <c r="AO492" s="549"/>
      <c r="AP492" s="549"/>
      <c r="AQ492" s="549"/>
      <c r="AR492" s="549"/>
      <c r="AS492" s="549"/>
      <c r="AT492" s="549"/>
      <c r="AU492" s="549"/>
      <c r="AV492" s="549"/>
      <c r="AW492" s="549"/>
      <c r="AX492" s="549"/>
      <c r="AY492" s="549"/>
      <c r="AZ492" s="549"/>
      <c r="BA492" s="549"/>
      <c r="BB492" s="549"/>
      <c r="BC492" s="549"/>
      <c r="BD492" s="549"/>
      <c r="BE492" s="549"/>
      <c r="BF492" s="549"/>
      <c r="BG492" s="549"/>
      <c r="BH492" s="549"/>
      <c r="BI492" s="549"/>
    </row>
    <row r="493" spans="16:61" s="254" customFormat="1" ht="9.9">
      <c r="P493" s="549"/>
      <c r="Q493" s="549"/>
      <c r="R493" s="549"/>
      <c r="S493" s="549"/>
      <c r="T493" s="549"/>
      <c r="U493" s="549"/>
      <c r="V493" s="549"/>
      <c r="W493" s="549"/>
      <c r="X493" s="549"/>
      <c r="Y493" s="549"/>
      <c r="Z493" s="549"/>
      <c r="AA493" s="549"/>
      <c r="AB493" s="549"/>
      <c r="AC493" s="549"/>
      <c r="AD493" s="549"/>
      <c r="AE493" s="549"/>
      <c r="AF493" s="549"/>
      <c r="AG493" s="549"/>
      <c r="AH493" s="549"/>
      <c r="AI493" s="549"/>
      <c r="AJ493" s="549"/>
      <c r="AK493" s="549"/>
      <c r="AL493" s="549"/>
      <c r="AM493" s="549"/>
      <c r="AN493" s="549"/>
      <c r="AO493" s="549"/>
      <c r="AP493" s="549"/>
      <c r="AQ493" s="549"/>
      <c r="AR493" s="549"/>
      <c r="AS493" s="549"/>
      <c r="AT493" s="549"/>
      <c r="AU493" s="549"/>
      <c r="AV493" s="549"/>
      <c r="AW493" s="549"/>
      <c r="AX493" s="549"/>
      <c r="AY493" s="549"/>
      <c r="AZ493" s="549"/>
      <c r="BA493" s="549"/>
      <c r="BB493" s="549"/>
      <c r="BC493" s="549"/>
      <c r="BD493" s="549"/>
      <c r="BE493" s="549"/>
      <c r="BF493" s="549"/>
      <c r="BG493" s="549"/>
      <c r="BH493" s="549"/>
      <c r="BI493" s="549"/>
    </row>
    <row r="494" spans="16:61" s="254" customFormat="1" ht="9.9">
      <c r="P494" s="549"/>
      <c r="Q494" s="549"/>
      <c r="R494" s="549"/>
      <c r="S494" s="549"/>
      <c r="T494" s="549"/>
      <c r="U494" s="549"/>
      <c r="V494" s="549"/>
      <c r="W494" s="549"/>
      <c r="X494" s="549"/>
      <c r="Y494" s="549"/>
      <c r="Z494" s="549"/>
      <c r="AA494" s="549"/>
      <c r="AB494" s="549"/>
      <c r="AC494" s="549"/>
      <c r="AD494" s="549"/>
      <c r="AE494" s="549"/>
      <c r="AF494" s="549"/>
      <c r="AG494" s="549"/>
      <c r="AH494" s="549"/>
      <c r="AI494" s="549"/>
      <c r="AJ494" s="549"/>
      <c r="AK494" s="549"/>
      <c r="AL494" s="549"/>
      <c r="AM494" s="549"/>
      <c r="AN494" s="549"/>
      <c r="AO494" s="549"/>
      <c r="AP494" s="549"/>
      <c r="AQ494" s="549"/>
      <c r="AR494" s="549"/>
      <c r="AS494" s="549"/>
      <c r="AT494" s="549"/>
      <c r="AU494" s="549"/>
      <c r="AV494" s="549"/>
      <c r="AW494" s="549"/>
      <c r="AX494" s="549"/>
      <c r="AY494" s="549"/>
      <c r="AZ494" s="549"/>
      <c r="BA494" s="549"/>
      <c r="BB494" s="549"/>
      <c r="BC494" s="549"/>
      <c r="BD494" s="549"/>
      <c r="BE494" s="549"/>
      <c r="BF494" s="549"/>
      <c r="BG494" s="549"/>
      <c r="BH494" s="549"/>
      <c r="BI494" s="549"/>
    </row>
    <row r="495" spans="16:61" s="254" customFormat="1" ht="9.9">
      <c r="P495" s="549"/>
      <c r="Q495" s="549"/>
      <c r="R495" s="549"/>
      <c r="S495" s="549"/>
      <c r="T495" s="549"/>
      <c r="U495" s="549"/>
      <c r="V495" s="549"/>
      <c r="W495" s="549"/>
      <c r="X495" s="549"/>
      <c r="Y495" s="549"/>
      <c r="Z495" s="549"/>
      <c r="AA495" s="549"/>
      <c r="AB495" s="549"/>
      <c r="AC495" s="549"/>
      <c r="AD495" s="549"/>
      <c r="AE495" s="549"/>
      <c r="AF495" s="549"/>
      <c r="AG495" s="549"/>
      <c r="AH495" s="549"/>
      <c r="AI495" s="549"/>
      <c r="AJ495" s="549"/>
      <c r="AK495" s="549"/>
      <c r="AL495" s="549"/>
      <c r="AM495" s="549"/>
      <c r="AN495" s="549"/>
      <c r="AO495" s="549"/>
      <c r="AP495" s="549"/>
      <c r="AQ495" s="549"/>
      <c r="AR495" s="549"/>
      <c r="AS495" s="549"/>
      <c r="AT495" s="549"/>
      <c r="AU495" s="549"/>
      <c r="AV495" s="549"/>
      <c r="AW495" s="549"/>
      <c r="AX495" s="549"/>
      <c r="AY495" s="549"/>
      <c r="AZ495" s="549"/>
      <c r="BA495" s="549"/>
      <c r="BB495" s="549"/>
      <c r="BC495" s="549"/>
      <c r="BD495" s="549"/>
      <c r="BE495" s="549"/>
      <c r="BF495" s="549"/>
      <c r="BG495" s="549"/>
      <c r="BH495" s="549"/>
      <c r="BI495" s="549"/>
    </row>
    <row r="496" spans="16:61" s="254" customFormat="1" ht="9.9">
      <c r="P496" s="549"/>
      <c r="Q496" s="549"/>
      <c r="R496" s="549"/>
      <c r="S496" s="549"/>
      <c r="T496" s="549"/>
      <c r="U496" s="549"/>
      <c r="V496" s="549"/>
      <c r="W496" s="549"/>
      <c r="X496" s="549"/>
      <c r="Y496" s="549"/>
      <c r="Z496" s="549"/>
      <c r="AA496" s="549"/>
      <c r="AB496" s="549"/>
      <c r="AC496" s="549"/>
      <c r="AD496" s="549"/>
      <c r="AE496" s="549"/>
      <c r="AF496" s="549"/>
      <c r="AG496" s="549"/>
      <c r="AH496" s="549"/>
      <c r="AI496" s="549"/>
      <c r="AJ496" s="549"/>
      <c r="AK496" s="549"/>
      <c r="AL496" s="549"/>
      <c r="AM496" s="549"/>
      <c r="AN496" s="549"/>
      <c r="AO496" s="549"/>
      <c r="AP496" s="549"/>
      <c r="AQ496" s="549"/>
      <c r="AR496" s="549"/>
      <c r="AS496" s="549"/>
      <c r="AT496" s="549"/>
      <c r="AU496" s="549"/>
      <c r="AV496" s="549"/>
      <c r="AW496" s="549"/>
      <c r="AX496" s="549"/>
      <c r="AY496" s="549"/>
      <c r="AZ496" s="549"/>
      <c r="BA496" s="549"/>
      <c r="BB496" s="549"/>
      <c r="BC496" s="549"/>
      <c r="BD496" s="549"/>
      <c r="BE496" s="549"/>
      <c r="BF496" s="549"/>
      <c r="BG496" s="549"/>
      <c r="BH496" s="549"/>
      <c r="BI496" s="549"/>
    </row>
    <row r="497" spans="16:61" s="254" customFormat="1" ht="9.9">
      <c r="P497" s="549"/>
      <c r="Q497" s="549"/>
      <c r="R497" s="549"/>
      <c r="S497" s="549"/>
      <c r="T497" s="549"/>
      <c r="U497" s="549"/>
      <c r="V497" s="549"/>
      <c r="W497" s="549"/>
      <c r="X497" s="549"/>
      <c r="Y497" s="549"/>
      <c r="Z497" s="549"/>
      <c r="AA497" s="549"/>
      <c r="AB497" s="549"/>
      <c r="AC497" s="549"/>
      <c r="AD497" s="549"/>
      <c r="AE497" s="549"/>
      <c r="AF497" s="549"/>
      <c r="AG497" s="549"/>
      <c r="AH497" s="549"/>
      <c r="AI497" s="549"/>
      <c r="AJ497" s="549"/>
      <c r="AK497" s="549"/>
      <c r="AL497" s="549"/>
      <c r="AM497" s="549"/>
      <c r="AN497" s="549"/>
      <c r="AO497" s="549"/>
      <c r="AP497" s="549"/>
      <c r="AQ497" s="549"/>
      <c r="AR497" s="549"/>
      <c r="AS497" s="549"/>
      <c r="AT497" s="549"/>
      <c r="AU497" s="549"/>
      <c r="AV497" s="549"/>
      <c r="AW497" s="549"/>
      <c r="AX497" s="549"/>
      <c r="AY497" s="549"/>
      <c r="AZ497" s="549"/>
      <c r="BA497" s="549"/>
      <c r="BB497" s="549"/>
      <c r="BC497" s="549"/>
      <c r="BD497" s="549"/>
      <c r="BE497" s="549"/>
      <c r="BF497" s="549"/>
      <c r="BG497" s="549"/>
      <c r="BH497" s="549"/>
      <c r="BI497" s="549"/>
    </row>
    <row r="498" spans="16:61" s="254" customFormat="1" ht="9.9">
      <c r="P498" s="549"/>
      <c r="Q498" s="549"/>
      <c r="R498" s="549"/>
      <c r="S498" s="549"/>
      <c r="T498" s="549"/>
      <c r="U498" s="549"/>
      <c r="V498" s="549"/>
      <c r="W498" s="549"/>
      <c r="X498" s="549"/>
      <c r="Y498" s="549"/>
      <c r="Z498" s="549"/>
      <c r="AA498" s="549"/>
      <c r="AB498" s="549"/>
      <c r="AC498" s="549"/>
      <c r="AD498" s="549"/>
      <c r="AE498" s="549"/>
      <c r="AF498" s="549"/>
      <c r="AG498" s="549"/>
      <c r="AH498" s="549"/>
      <c r="AI498" s="549"/>
      <c r="AJ498" s="549"/>
      <c r="AK498" s="549"/>
      <c r="AL498" s="549"/>
      <c r="AM498" s="549"/>
      <c r="AN498" s="549"/>
      <c r="AO498" s="549"/>
      <c r="AP498" s="549"/>
      <c r="AQ498" s="549"/>
      <c r="AR498" s="549"/>
      <c r="AS498" s="549"/>
      <c r="AT498" s="549"/>
      <c r="AU498" s="549"/>
      <c r="AV498" s="549"/>
      <c r="AW498" s="549"/>
      <c r="AX498" s="549"/>
      <c r="AY498" s="549"/>
      <c r="AZ498" s="549"/>
      <c r="BA498" s="549"/>
      <c r="BB498" s="549"/>
      <c r="BC498" s="549"/>
      <c r="BD498" s="549"/>
      <c r="BE498" s="549"/>
      <c r="BF498" s="549"/>
      <c r="BG498" s="549"/>
      <c r="BH498" s="549"/>
      <c r="BI498" s="549"/>
    </row>
    <row r="499" spans="16:61" s="254" customFormat="1" ht="9.9">
      <c r="P499" s="549"/>
      <c r="Q499" s="549"/>
      <c r="R499" s="549"/>
      <c r="S499" s="549"/>
      <c r="T499" s="549"/>
      <c r="U499" s="549"/>
      <c r="V499" s="549"/>
      <c r="W499" s="549"/>
      <c r="X499" s="549"/>
      <c r="Y499" s="549"/>
      <c r="Z499" s="549"/>
      <c r="AA499" s="549"/>
      <c r="AB499" s="549"/>
      <c r="AC499" s="549"/>
      <c r="AD499" s="549"/>
      <c r="AE499" s="549"/>
      <c r="AF499" s="549"/>
      <c r="AG499" s="549"/>
      <c r="AH499" s="549"/>
      <c r="AI499" s="549"/>
      <c r="AJ499" s="549"/>
      <c r="AK499" s="549"/>
      <c r="AL499" s="549"/>
      <c r="AM499" s="549"/>
      <c r="AN499" s="549"/>
      <c r="AO499" s="549"/>
      <c r="AP499" s="549"/>
      <c r="AQ499" s="549"/>
      <c r="AR499" s="549"/>
      <c r="AS499" s="549"/>
      <c r="AT499" s="549"/>
      <c r="AU499" s="549"/>
      <c r="AV499" s="549"/>
      <c r="AW499" s="549"/>
      <c r="AX499" s="549"/>
      <c r="AY499" s="549"/>
      <c r="AZ499" s="549"/>
      <c r="BA499" s="549"/>
      <c r="BB499" s="549"/>
      <c r="BC499" s="549"/>
      <c r="BD499" s="549"/>
      <c r="BE499" s="549"/>
      <c r="BF499" s="549"/>
      <c r="BG499" s="549"/>
      <c r="BH499" s="549"/>
      <c r="BI499" s="549"/>
    </row>
    <row r="500" spans="16:61" s="254" customFormat="1" ht="9.9">
      <c r="P500" s="549"/>
      <c r="Q500" s="549"/>
      <c r="R500" s="549"/>
      <c r="S500" s="549"/>
      <c r="T500" s="549"/>
      <c r="U500" s="549"/>
      <c r="V500" s="549"/>
      <c r="W500" s="549"/>
      <c r="X500" s="549"/>
      <c r="Y500" s="549"/>
      <c r="Z500" s="549"/>
      <c r="AA500" s="549"/>
      <c r="AB500" s="549"/>
      <c r="AC500" s="549"/>
      <c r="AD500" s="549"/>
      <c r="AE500" s="549"/>
      <c r="AF500" s="549"/>
      <c r="AG500" s="549"/>
      <c r="AH500" s="549"/>
      <c r="AI500" s="549"/>
      <c r="AJ500" s="549"/>
      <c r="AK500" s="549"/>
      <c r="AL500" s="549"/>
      <c r="AM500" s="549"/>
      <c r="AN500" s="549"/>
      <c r="AO500" s="549"/>
      <c r="AP500" s="549"/>
      <c r="AQ500" s="549"/>
      <c r="AR500" s="549"/>
      <c r="AS500" s="549"/>
      <c r="AT500" s="549"/>
      <c r="AU500" s="549"/>
      <c r="AV500" s="549"/>
      <c r="AW500" s="549"/>
      <c r="AX500" s="549"/>
      <c r="AY500" s="549"/>
      <c r="AZ500" s="549"/>
      <c r="BA500" s="549"/>
      <c r="BB500" s="549"/>
      <c r="BC500" s="549"/>
      <c r="BD500" s="549"/>
      <c r="BE500" s="549"/>
      <c r="BF500" s="549"/>
      <c r="BG500" s="549"/>
      <c r="BH500" s="549"/>
      <c r="BI500" s="549"/>
    </row>
    <row r="501" spans="16:61" s="254" customFormat="1" ht="9.9">
      <c r="P501" s="549"/>
      <c r="Q501" s="549"/>
      <c r="R501" s="549"/>
      <c r="S501" s="549"/>
      <c r="T501" s="549"/>
      <c r="U501" s="549"/>
      <c r="V501" s="549"/>
      <c r="W501" s="549"/>
      <c r="X501" s="549"/>
      <c r="Y501" s="549"/>
      <c r="Z501" s="549"/>
      <c r="AA501" s="549"/>
      <c r="AB501" s="549"/>
      <c r="AC501" s="549"/>
      <c r="AD501" s="549"/>
      <c r="AE501" s="549"/>
      <c r="AF501" s="549"/>
      <c r="AG501" s="549"/>
      <c r="AH501" s="549"/>
      <c r="AI501" s="549"/>
      <c r="AJ501" s="549"/>
      <c r="AK501" s="549"/>
      <c r="AL501" s="549"/>
      <c r="AM501" s="549"/>
      <c r="AN501" s="549"/>
      <c r="AO501" s="549"/>
      <c r="AP501" s="549"/>
      <c r="AQ501" s="549"/>
      <c r="AR501" s="549"/>
      <c r="AS501" s="549"/>
      <c r="AT501" s="549"/>
      <c r="AU501" s="549"/>
      <c r="AV501" s="549"/>
      <c r="AW501" s="549"/>
      <c r="AX501" s="549"/>
      <c r="AY501" s="549"/>
      <c r="AZ501" s="549"/>
      <c r="BA501" s="549"/>
      <c r="BB501" s="549"/>
      <c r="BC501" s="549"/>
      <c r="BD501" s="549"/>
      <c r="BE501" s="549"/>
      <c r="BF501" s="549"/>
      <c r="BG501" s="549"/>
      <c r="BH501" s="549"/>
      <c r="BI501" s="549"/>
    </row>
    <row r="502" spans="16:61" s="254" customFormat="1" ht="9.9">
      <c r="P502" s="549"/>
      <c r="Q502" s="549"/>
      <c r="R502" s="549"/>
      <c r="S502" s="549"/>
      <c r="T502" s="549"/>
      <c r="U502" s="549"/>
      <c r="V502" s="549"/>
      <c r="W502" s="549"/>
      <c r="X502" s="549"/>
      <c r="Y502" s="549"/>
      <c r="Z502" s="549"/>
      <c r="AA502" s="549"/>
      <c r="AB502" s="549"/>
      <c r="AC502" s="549"/>
      <c r="AD502" s="549"/>
      <c r="AE502" s="549"/>
      <c r="AF502" s="549"/>
      <c r="AG502" s="549"/>
      <c r="AH502" s="549"/>
      <c r="AI502" s="549"/>
      <c r="AJ502" s="549"/>
      <c r="AK502" s="549"/>
      <c r="AL502" s="549"/>
      <c r="AM502" s="549"/>
      <c r="AN502" s="549"/>
      <c r="AO502" s="549"/>
      <c r="AP502" s="549"/>
      <c r="AQ502" s="549"/>
      <c r="AR502" s="549"/>
      <c r="AS502" s="549"/>
      <c r="AT502" s="549"/>
      <c r="AU502" s="549"/>
      <c r="AV502" s="549"/>
      <c r="AW502" s="549"/>
      <c r="AX502" s="549"/>
      <c r="AY502" s="549"/>
      <c r="AZ502" s="549"/>
      <c r="BA502" s="549"/>
      <c r="BB502" s="549"/>
      <c r="BC502" s="549"/>
      <c r="BD502" s="549"/>
      <c r="BE502" s="549"/>
      <c r="BF502" s="549"/>
      <c r="BG502" s="549"/>
      <c r="BH502" s="549"/>
      <c r="BI502" s="549"/>
    </row>
    <row r="503" spans="16:61" s="254" customFormat="1" ht="9.9">
      <c r="P503" s="549"/>
      <c r="Q503" s="549"/>
      <c r="R503" s="549"/>
      <c r="S503" s="549"/>
      <c r="T503" s="549"/>
      <c r="U503" s="549"/>
      <c r="V503" s="549"/>
      <c r="W503" s="549"/>
      <c r="X503" s="549"/>
      <c r="Y503" s="549"/>
      <c r="Z503" s="549"/>
      <c r="AA503" s="549"/>
      <c r="AB503" s="549"/>
      <c r="AC503" s="549"/>
      <c r="AD503" s="549"/>
      <c r="AE503" s="549"/>
      <c r="AF503" s="549"/>
      <c r="AG503" s="549"/>
      <c r="AH503" s="549"/>
      <c r="AI503" s="549"/>
      <c r="AJ503" s="549"/>
      <c r="AK503" s="549"/>
      <c r="AL503" s="549"/>
      <c r="AM503" s="549"/>
      <c r="AN503" s="549"/>
      <c r="AO503" s="549"/>
      <c r="AP503" s="549"/>
      <c r="AQ503" s="549"/>
      <c r="AR503" s="549"/>
      <c r="AS503" s="549"/>
      <c r="AT503" s="549"/>
      <c r="AU503" s="549"/>
      <c r="AV503" s="549"/>
      <c r="AW503" s="549"/>
      <c r="AX503" s="549"/>
      <c r="AY503" s="549"/>
      <c r="AZ503" s="549"/>
      <c r="BA503" s="549"/>
      <c r="BB503" s="549"/>
      <c r="BC503" s="549"/>
      <c r="BD503" s="549"/>
      <c r="BE503" s="549"/>
      <c r="BF503" s="549"/>
      <c r="BG503" s="549"/>
      <c r="BH503" s="549"/>
      <c r="BI503" s="549"/>
    </row>
    <row r="504" spans="16:61" s="254" customFormat="1" ht="9.9">
      <c r="P504" s="549"/>
      <c r="Q504" s="549"/>
      <c r="R504" s="549"/>
      <c r="S504" s="549"/>
      <c r="T504" s="549"/>
      <c r="U504" s="549"/>
      <c r="V504" s="549"/>
      <c r="W504" s="549"/>
      <c r="X504" s="549"/>
      <c r="Y504" s="549"/>
      <c r="Z504" s="549"/>
      <c r="AA504" s="549"/>
      <c r="AB504" s="549"/>
      <c r="AC504" s="549"/>
      <c r="AD504" s="549"/>
      <c r="AE504" s="549"/>
      <c r="AF504" s="549"/>
      <c r="AG504" s="549"/>
      <c r="AH504" s="549"/>
      <c r="AI504" s="549"/>
      <c r="AJ504" s="549"/>
      <c r="AK504" s="549"/>
      <c r="AL504" s="549"/>
      <c r="AM504" s="549"/>
      <c r="AN504" s="549"/>
      <c r="AO504" s="549"/>
      <c r="AP504" s="549"/>
      <c r="AQ504" s="549"/>
      <c r="AR504" s="549"/>
      <c r="AS504" s="549"/>
      <c r="AT504" s="549"/>
      <c r="AU504" s="549"/>
      <c r="AV504" s="549"/>
      <c r="AW504" s="549"/>
      <c r="AX504" s="549"/>
      <c r="AY504" s="549"/>
      <c r="AZ504" s="549"/>
      <c r="BA504" s="549"/>
      <c r="BB504" s="549"/>
      <c r="BC504" s="549"/>
      <c r="BD504" s="549"/>
      <c r="BE504" s="549"/>
      <c r="BF504" s="549"/>
      <c r="BG504" s="549"/>
      <c r="BH504" s="549"/>
      <c r="BI504" s="549"/>
    </row>
    <row r="505" spans="16:61" s="254" customFormat="1" ht="9.9">
      <c r="P505" s="549"/>
      <c r="Q505" s="549"/>
      <c r="R505" s="549"/>
      <c r="S505" s="549"/>
      <c r="T505" s="549"/>
      <c r="U505" s="549"/>
      <c r="V505" s="549"/>
      <c r="W505" s="549"/>
      <c r="X505" s="549"/>
      <c r="Y505" s="549"/>
      <c r="Z505" s="549"/>
      <c r="AA505" s="549"/>
      <c r="AB505" s="549"/>
      <c r="AC505" s="549"/>
      <c r="AD505" s="549"/>
      <c r="AE505" s="549"/>
      <c r="AF505" s="549"/>
      <c r="AG505" s="549"/>
      <c r="AH505" s="549"/>
      <c r="AI505" s="549"/>
      <c r="AJ505" s="549"/>
      <c r="AK505" s="549"/>
      <c r="AL505" s="549"/>
      <c r="AM505" s="549"/>
      <c r="AN505" s="549"/>
      <c r="AO505" s="549"/>
      <c r="AP505" s="549"/>
      <c r="AQ505" s="549"/>
      <c r="AR505" s="549"/>
      <c r="AS505" s="549"/>
      <c r="AT505" s="549"/>
      <c r="AU505" s="549"/>
      <c r="AV505" s="549"/>
      <c r="AW505" s="549"/>
      <c r="AX505" s="549"/>
      <c r="AY505" s="549"/>
      <c r="AZ505" s="549"/>
      <c r="BA505" s="549"/>
      <c r="BB505" s="549"/>
      <c r="BC505" s="549"/>
      <c r="BD505" s="549"/>
      <c r="BE505" s="549"/>
      <c r="BF505" s="549"/>
      <c r="BG505" s="549"/>
      <c r="BH505" s="549"/>
      <c r="BI505" s="549"/>
    </row>
    <row r="506" spans="16:61" s="254" customFormat="1" ht="9.9">
      <c r="P506" s="549"/>
      <c r="Q506" s="549"/>
      <c r="R506" s="549"/>
      <c r="S506" s="549"/>
      <c r="T506" s="549"/>
      <c r="U506" s="549"/>
      <c r="V506" s="549"/>
      <c r="W506" s="549"/>
      <c r="X506" s="549"/>
      <c r="Y506" s="549"/>
      <c r="Z506" s="549"/>
      <c r="AA506" s="549"/>
      <c r="AB506" s="549"/>
      <c r="AC506" s="549"/>
      <c r="AD506" s="549"/>
      <c r="AE506" s="549"/>
      <c r="AF506" s="549"/>
      <c r="AG506" s="549"/>
      <c r="AH506" s="549"/>
      <c r="AI506" s="549"/>
      <c r="AJ506" s="549"/>
      <c r="AK506" s="549"/>
      <c r="AL506" s="549"/>
      <c r="AM506" s="549"/>
      <c r="AN506" s="549"/>
      <c r="AO506" s="549"/>
      <c r="AP506" s="549"/>
      <c r="AQ506" s="549"/>
      <c r="AR506" s="549"/>
      <c r="AS506" s="549"/>
      <c r="AT506" s="549"/>
      <c r="AU506" s="549"/>
      <c r="AV506" s="549"/>
      <c r="AW506" s="549"/>
      <c r="AX506" s="549"/>
      <c r="AY506" s="549"/>
      <c r="AZ506" s="549"/>
      <c r="BA506" s="549"/>
      <c r="BB506" s="549"/>
      <c r="BC506" s="549"/>
      <c r="BD506" s="549"/>
      <c r="BE506" s="549"/>
      <c r="BF506" s="549"/>
      <c r="BG506" s="549"/>
      <c r="BH506" s="549"/>
      <c r="BI506" s="549"/>
    </row>
    <row r="507" spans="16:61" s="254" customFormat="1" ht="9.9">
      <c r="P507" s="549"/>
      <c r="Q507" s="549"/>
      <c r="R507" s="549"/>
      <c r="S507" s="549"/>
      <c r="T507" s="549"/>
      <c r="U507" s="549"/>
      <c r="V507" s="549"/>
      <c r="W507" s="549"/>
      <c r="X507" s="549"/>
      <c r="Y507" s="549"/>
      <c r="Z507" s="549"/>
      <c r="AA507" s="549"/>
      <c r="AB507" s="549"/>
      <c r="AC507" s="549"/>
      <c r="AD507" s="549"/>
      <c r="AE507" s="549"/>
      <c r="AF507" s="549"/>
      <c r="AG507" s="549"/>
      <c r="AH507" s="549"/>
      <c r="AI507" s="549"/>
      <c r="AJ507" s="549"/>
      <c r="AK507" s="549"/>
      <c r="AL507" s="549"/>
      <c r="AM507" s="549"/>
      <c r="AN507" s="549"/>
      <c r="AO507" s="549"/>
      <c r="AP507" s="549"/>
      <c r="AQ507" s="549"/>
      <c r="AR507" s="549"/>
      <c r="AS507" s="549"/>
      <c r="AT507" s="549"/>
      <c r="AU507" s="549"/>
      <c r="AV507" s="549"/>
      <c r="AW507" s="549"/>
      <c r="AX507" s="549"/>
      <c r="AY507" s="549"/>
      <c r="AZ507" s="549"/>
      <c r="BA507" s="549"/>
      <c r="BB507" s="549"/>
      <c r="BC507" s="549"/>
      <c r="BD507" s="549"/>
      <c r="BE507" s="549"/>
      <c r="BF507" s="549"/>
      <c r="BG507" s="549"/>
      <c r="BH507" s="549"/>
      <c r="BI507" s="549"/>
    </row>
    <row r="508" spans="16:61" s="254" customFormat="1" ht="9.9">
      <c r="P508" s="549"/>
      <c r="Q508" s="549"/>
      <c r="R508" s="549"/>
      <c r="S508" s="549"/>
      <c r="T508" s="549"/>
      <c r="U508" s="549"/>
      <c r="V508" s="549"/>
      <c r="W508" s="549"/>
      <c r="X508" s="549"/>
      <c r="Y508" s="549"/>
      <c r="Z508" s="549"/>
      <c r="AA508" s="549"/>
      <c r="AB508" s="549"/>
      <c r="AC508" s="549"/>
      <c r="AD508" s="549"/>
      <c r="AE508" s="549"/>
      <c r="AF508" s="549"/>
      <c r="AG508" s="549"/>
      <c r="AH508" s="549"/>
      <c r="AI508" s="549"/>
      <c r="AJ508" s="549"/>
      <c r="AK508" s="549"/>
      <c r="AL508" s="549"/>
      <c r="AM508" s="549"/>
      <c r="AN508" s="549"/>
      <c r="AO508" s="549"/>
      <c r="AP508" s="549"/>
      <c r="AQ508" s="549"/>
      <c r="AR508" s="549"/>
      <c r="AS508" s="549"/>
      <c r="AT508" s="549"/>
      <c r="AU508" s="549"/>
      <c r="AV508" s="549"/>
      <c r="AW508" s="549"/>
      <c r="AX508" s="549"/>
      <c r="AY508" s="549"/>
      <c r="AZ508" s="549"/>
      <c r="BA508" s="549"/>
      <c r="BB508" s="549"/>
      <c r="BC508" s="549"/>
      <c r="BD508" s="549"/>
      <c r="BE508" s="549"/>
      <c r="BF508" s="549"/>
      <c r="BG508" s="549"/>
      <c r="BH508" s="549"/>
      <c r="BI508" s="549"/>
    </row>
    <row r="509" spans="16:61" s="254" customFormat="1" ht="9.9">
      <c r="P509" s="549"/>
      <c r="Q509" s="549"/>
      <c r="R509" s="549"/>
      <c r="S509" s="549"/>
      <c r="T509" s="549"/>
      <c r="U509" s="549"/>
      <c r="V509" s="549"/>
      <c r="W509" s="549"/>
      <c r="X509" s="549"/>
      <c r="Y509" s="549"/>
      <c r="Z509" s="549"/>
      <c r="AA509" s="549"/>
      <c r="AB509" s="549"/>
      <c r="AC509" s="549"/>
      <c r="AD509" s="549"/>
      <c r="AE509" s="549"/>
      <c r="AF509" s="549"/>
      <c r="AG509" s="549"/>
      <c r="AH509" s="549"/>
      <c r="AI509" s="549"/>
      <c r="AJ509" s="549"/>
      <c r="AK509" s="549"/>
      <c r="AL509" s="549"/>
      <c r="AM509" s="549"/>
      <c r="AN509" s="549"/>
      <c r="AO509" s="549"/>
      <c r="AP509" s="549"/>
      <c r="AQ509" s="549"/>
      <c r="AR509" s="549"/>
      <c r="AS509" s="549"/>
      <c r="AT509" s="549"/>
      <c r="AU509" s="549"/>
      <c r="AV509" s="549"/>
      <c r="AW509" s="549"/>
      <c r="AX509" s="549"/>
      <c r="AY509" s="549"/>
      <c r="AZ509" s="549"/>
      <c r="BA509" s="549"/>
      <c r="BB509" s="549"/>
      <c r="BC509" s="549"/>
      <c r="BD509" s="549"/>
      <c r="BE509" s="549"/>
      <c r="BF509" s="549"/>
      <c r="BG509" s="549"/>
      <c r="BH509" s="549"/>
      <c r="BI509" s="549"/>
    </row>
    <row r="510" spans="16:61" s="254" customFormat="1" ht="9.9">
      <c r="P510" s="549"/>
      <c r="Q510" s="549"/>
      <c r="R510" s="549"/>
      <c r="S510" s="549"/>
      <c r="T510" s="549"/>
      <c r="U510" s="549"/>
      <c r="V510" s="549"/>
      <c r="W510" s="549"/>
      <c r="X510" s="549"/>
      <c r="Y510" s="549"/>
      <c r="Z510" s="549"/>
      <c r="AA510" s="549"/>
      <c r="AB510" s="549"/>
      <c r="AC510" s="549"/>
      <c r="AD510" s="549"/>
      <c r="AE510" s="549"/>
      <c r="AF510" s="549"/>
      <c r="AG510" s="549"/>
      <c r="AH510" s="549"/>
      <c r="AI510" s="549"/>
      <c r="AJ510" s="549"/>
      <c r="AK510" s="549"/>
      <c r="AL510" s="549"/>
      <c r="AM510" s="549"/>
      <c r="AN510" s="549"/>
      <c r="AO510" s="549"/>
      <c r="AP510" s="549"/>
      <c r="AQ510" s="549"/>
      <c r="AR510" s="549"/>
      <c r="AS510" s="549"/>
      <c r="AT510" s="549"/>
      <c r="AU510" s="549"/>
      <c r="AV510" s="549"/>
      <c r="AW510" s="549"/>
      <c r="AX510" s="549"/>
      <c r="AY510" s="549"/>
      <c r="AZ510" s="549"/>
      <c r="BA510" s="549"/>
      <c r="BB510" s="549"/>
      <c r="BC510" s="549"/>
      <c r="BD510" s="549"/>
      <c r="BE510" s="549"/>
      <c r="BF510" s="549"/>
      <c r="BG510" s="549"/>
      <c r="BH510" s="549"/>
      <c r="BI510" s="549"/>
    </row>
    <row r="511" spans="16:61" s="254" customFormat="1" ht="9.9">
      <c r="P511" s="549"/>
      <c r="Q511" s="549"/>
      <c r="R511" s="549"/>
      <c r="S511" s="549"/>
      <c r="T511" s="549"/>
      <c r="U511" s="549"/>
      <c r="V511" s="549"/>
      <c r="W511" s="549"/>
      <c r="X511" s="549"/>
      <c r="Y511" s="549"/>
      <c r="Z511" s="549"/>
      <c r="AA511" s="549"/>
      <c r="AB511" s="549"/>
      <c r="AC511" s="549"/>
      <c r="AD511" s="549"/>
      <c r="AE511" s="549"/>
      <c r="AF511" s="549"/>
      <c r="AG511" s="549"/>
      <c r="AH511" s="549"/>
      <c r="AI511" s="549"/>
      <c r="AJ511" s="549"/>
      <c r="AK511" s="549"/>
      <c r="AL511" s="549"/>
      <c r="AM511" s="549"/>
      <c r="AN511" s="549"/>
      <c r="AO511" s="549"/>
      <c r="AP511" s="549"/>
      <c r="AQ511" s="549"/>
      <c r="AR511" s="549"/>
      <c r="AS511" s="549"/>
      <c r="AT511" s="549"/>
      <c r="AU511" s="549"/>
      <c r="AV511" s="549"/>
      <c r="AW511" s="549"/>
      <c r="AX511" s="549"/>
      <c r="AY511" s="549"/>
      <c r="AZ511" s="549"/>
      <c r="BA511" s="549"/>
      <c r="BB511" s="549"/>
      <c r="BC511" s="549"/>
      <c r="BD511" s="549"/>
      <c r="BE511" s="549"/>
      <c r="BF511" s="549"/>
      <c r="BG511" s="549"/>
      <c r="BH511" s="549"/>
      <c r="BI511" s="549"/>
    </row>
    <row r="512" spans="16:61" s="254" customFormat="1" ht="9.9">
      <c r="P512" s="549"/>
      <c r="Q512" s="549"/>
      <c r="R512" s="549"/>
      <c r="S512" s="549"/>
      <c r="T512" s="549"/>
      <c r="U512" s="549"/>
      <c r="V512" s="549"/>
      <c r="W512" s="549"/>
      <c r="X512" s="549"/>
      <c r="Y512" s="549"/>
      <c r="Z512" s="549"/>
      <c r="AA512" s="549"/>
      <c r="AB512" s="549"/>
      <c r="AC512" s="549"/>
      <c r="AD512" s="549"/>
      <c r="AE512" s="549"/>
      <c r="AF512" s="549"/>
      <c r="AG512" s="549"/>
      <c r="AH512" s="549"/>
      <c r="AI512" s="549"/>
      <c r="AJ512" s="549"/>
      <c r="AK512" s="549"/>
      <c r="AL512" s="549"/>
      <c r="AM512" s="549"/>
      <c r="AN512" s="549"/>
      <c r="AO512" s="549"/>
      <c r="AP512" s="549"/>
      <c r="AQ512" s="549"/>
      <c r="AR512" s="549"/>
      <c r="AS512" s="549"/>
      <c r="AT512" s="549"/>
      <c r="AU512" s="549"/>
      <c r="AV512" s="549"/>
      <c r="AW512" s="549"/>
      <c r="AX512" s="549"/>
      <c r="AY512" s="549"/>
      <c r="AZ512" s="549"/>
      <c r="BA512" s="549"/>
      <c r="BB512" s="549"/>
      <c r="BC512" s="549"/>
      <c r="BD512" s="549"/>
      <c r="BE512" s="549"/>
      <c r="BF512" s="549"/>
      <c r="BG512" s="549"/>
      <c r="BH512" s="549"/>
      <c r="BI512" s="549"/>
    </row>
    <row r="513" spans="16:61" s="254" customFormat="1" ht="9.9">
      <c r="P513" s="549"/>
      <c r="Q513" s="549"/>
      <c r="R513" s="549"/>
      <c r="S513" s="549"/>
      <c r="T513" s="549"/>
      <c r="U513" s="549"/>
      <c r="V513" s="549"/>
      <c r="W513" s="549"/>
      <c r="X513" s="549"/>
      <c r="Y513" s="549"/>
      <c r="Z513" s="549"/>
      <c r="AA513" s="549"/>
      <c r="AB513" s="549"/>
      <c r="AC513" s="549"/>
      <c r="AD513" s="549"/>
      <c r="AE513" s="549"/>
      <c r="AF513" s="549"/>
      <c r="AG513" s="549"/>
      <c r="AH513" s="549"/>
      <c r="AI513" s="549"/>
      <c r="AJ513" s="549"/>
      <c r="AK513" s="549"/>
      <c r="AL513" s="549"/>
      <c r="AM513" s="549"/>
      <c r="AN513" s="549"/>
      <c r="AO513" s="549"/>
      <c r="AP513" s="549"/>
      <c r="AQ513" s="549"/>
      <c r="AR513" s="549"/>
      <c r="AS513" s="549"/>
      <c r="AT513" s="549"/>
      <c r="AU513" s="549"/>
      <c r="AV513" s="549"/>
      <c r="AW513" s="549"/>
      <c r="AX513" s="549"/>
      <c r="AY513" s="549"/>
      <c r="AZ513" s="549"/>
      <c r="BA513" s="549"/>
      <c r="BB513" s="549"/>
      <c r="BC513" s="549"/>
      <c r="BD513" s="549"/>
      <c r="BE513" s="549"/>
      <c r="BF513" s="549"/>
      <c r="BG513" s="549"/>
      <c r="BH513" s="549"/>
      <c r="BI513" s="549"/>
    </row>
    <row r="514" spans="16:61" s="254" customFormat="1" ht="9.9">
      <c r="P514" s="549"/>
      <c r="Q514" s="549"/>
      <c r="R514" s="549"/>
      <c r="S514" s="549"/>
      <c r="T514" s="549"/>
      <c r="U514" s="549"/>
      <c r="V514" s="549"/>
      <c r="W514" s="549"/>
      <c r="X514" s="549"/>
      <c r="Y514" s="549"/>
      <c r="Z514" s="549"/>
      <c r="AA514" s="549"/>
      <c r="AB514" s="549"/>
      <c r="AC514" s="549"/>
      <c r="AD514" s="549"/>
      <c r="AE514" s="549"/>
      <c r="AF514" s="549"/>
      <c r="AG514" s="549"/>
      <c r="AH514" s="549"/>
      <c r="AI514" s="549"/>
      <c r="AJ514" s="549"/>
      <c r="AK514" s="549"/>
      <c r="AL514" s="549"/>
      <c r="AM514" s="549"/>
      <c r="AN514" s="549"/>
      <c r="AO514" s="549"/>
      <c r="AP514" s="549"/>
      <c r="AQ514" s="549"/>
      <c r="AR514" s="549"/>
      <c r="AS514" s="549"/>
      <c r="AT514" s="549"/>
      <c r="AU514" s="549"/>
      <c r="AV514" s="549"/>
      <c r="AW514" s="549"/>
      <c r="AX514" s="549"/>
      <c r="AY514" s="549"/>
      <c r="AZ514" s="549"/>
      <c r="BA514" s="549"/>
      <c r="BB514" s="549"/>
      <c r="BC514" s="549"/>
      <c r="BD514" s="549"/>
      <c r="BE514" s="549"/>
      <c r="BF514" s="549"/>
      <c r="BG514" s="549"/>
      <c r="BH514" s="549"/>
      <c r="BI514" s="549"/>
    </row>
    <row r="515" spans="16:61" s="254" customFormat="1" ht="9.9">
      <c r="P515" s="549"/>
      <c r="Q515" s="549"/>
      <c r="R515" s="549"/>
      <c r="S515" s="549"/>
      <c r="T515" s="549"/>
      <c r="U515" s="549"/>
      <c r="V515" s="549"/>
      <c r="W515" s="549"/>
      <c r="X515" s="549"/>
      <c r="Y515" s="549"/>
      <c r="Z515" s="549"/>
      <c r="AA515" s="549"/>
      <c r="AB515" s="549"/>
      <c r="AC515" s="549"/>
      <c r="AD515" s="549"/>
      <c r="AE515" s="549"/>
      <c r="AF515" s="549"/>
      <c r="AG515" s="549"/>
      <c r="AH515" s="549"/>
      <c r="AI515" s="549"/>
      <c r="AJ515" s="549"/>
      <c r="AK515" s="549"/>
      <c r="AL515" s="549"/>
      <c r="AM515" s="549"/>
      <c r="AN515" s="549"/>
      <c r="AO515" s="549"/>
      <c r="AP515" s="549"/>
      <c r="AQ515" s="549"/>
      <c r="AR515" s="549"/>
      <c r="AS515" s="549"/>
      <c r="AT515" s="549"/>
      <c r="AU515" s="549"/>
      <c r="AV515" s="549"/>
      <c r="AW515" s="549"/>
      <c r="AX515" s="549"/>
      <c r="AY515" s="549"/>
      <c r="AZ515" s="549"/>
      <c r="BA515" s="549"/>
      <c r="BB515" s="549"/>
      <c r="BC515" s="549"/>
      <c r="BD515" s="549"/>
      <c r="BE515" s="549"/>
      <c r="BF515" s="549"/>
      <c r="BG515" s="549"/>
      <c r="BH515" s="549"/>
      <c r="BI515" s="549"/>
    </row>
    <row r="516" spans="16:61" s="254" customFormat="1" ht="9.9">
      <c r="P516" s="549"/>
      <c r="Q516" s="549"/>
      <c r="R516" s="549"/>
      <c r="S516" s="549"/>
      <c r="T516" s="549"/>
      <c r="U516" s="549"/>
      <c r="V516" s="549"/>
      <c r="W516" s="549"/>
      <c r="X516" s="549"/>
      <c r="Y516" s="549"/>
      <c r="Z516" s="549"/>
      <c r="AA516" s="549"/>
      <c r="AB516" s="549"/>
      <c r="AC516" s="549"/>
      <c r="AD516" s="549"/>
      <c r="AE516" s="549"/>
      <c r="AF516" s="549"/>
      <c r="AG516" s="549"/>
      <c r="AH516" s="549"/>
      <c r="AI516" s="549"/>
      <c r="AJ516" s="549"/>
      <c r="AK516" s="549"/>
      <c r="AL516" s="549"/>
      <c r="AM516" s="549"/>
      <c r="AN516" s="549"/>
      <c r="AO516" s="549"/>
      <c r="AP516" s="549"/>
      <c r="AQ516" s="549"/>
      <c r="AR516" s="549"/>
      <c r="AS516" s="549"/>
      <c r="AT516" s="549"/>
      <c r="AU516" s="549"/>
      <c r="AV516" s="549"/>
      <c r="AW516" s="549"/>
      <c r="AX516" s="549"/>
      <c r="AY516" s="549"/>
      <c r="AZ516" s="549"/>
      <c r="BA516" s="549"/>
      <c r="BB516" s="549"/>
      <c r="BC516" s="549"/>
      <c r="BD516" s="549"/>
      <c r="BE516" s="549"/>
      <c r="BF516" s="549"/>
      <c r="BG516" s="549"/>
      <c r="BH516" s="549"/>
      <c r="BI516" s="549"/>
    </row>
    <row r="517" spans="16:61" s="254" customFormat="1" ht="9.9">
      <c r="P517" s="549"/>
      <c r="Q517" s="549"/>
      <c r="R517" s="549"/>
      <c r="S517" s="549"/>
      <c r="T517" s="549"/>
      <c r="U517" s="549"/>
      <c r="V517" s="549"/>
      <c r="W517" s="549"/>
      <c r="X517" s="549"/>
      <c r="Y517" s="549"/>
      <c r="Z517" s="549"/>
      <c r="AA517" s="549"/>
      <c r="AB517" s="549"/>
      <c r="AC517" s="549"/>
      <c r="AD517" s="549"/>
      <c r="AE517" s="549"/>
      <c r="AF517" s="549"/>
      <c r="AG517" s="549"/>
      <c r="AH517" s="549"/>
      <c r="AI517" s="549"/>
      <c r="AJ517" s="549"/>
      <c r="AK517" s="549"/>
      <c r="AL517" s="549"/>
      <c r="AM517" s="549"/>
      <c r="AN517" s="549"/>
      <c r="AO517" s="549"/>
      <c r="AP517" s="549"/>
      <c r="AQ517" s="549"/>
      <c r="AR517" s="549"/>
      <c r="AS517" s="549"/>
      <c r="AT517" s="549"/>
      <c r="AU517" s="549"/>
      <c r="AV517" s="549"/>
      <c r="AW517" s="549"/>
      <c r="AX517" s="549"/>
      <c r="AY517" s="549"/>
      <c r="AZ517" s="549"/>
      <c r="BA517" s="549"/>
      <c r="BB517" s="549"/>
      <c r="BC517" s="549"/>
      <c r="BD517" s="549"/>
      <c r="BE517" s="549"/>
      <c r="BF517" s="549"/>
      <c r="BG517" s="549"/>
      <c r="BH517" s="549"/>
      <c r="BI517" s="549"/>
    </row>
    <row r="518" spans="16:61" s="254" customFormat="1" ht="9.9">
      <c r="P518" s="549"/>
      <c r="Q518" s="549"/>
      <c r="R518" s="549"/>
      <c r="S518" s="549"/>
      <c r="T518" s="549"/>
      <c r="U518" s="549"/>
      <c r="V518" s="549"/>
      <c r="W518" s="549"/>
      <c r="X518" s="549"/>
      <c r="Y518" s="549"/>
      <c r="Z518" s="549"/>
      <c r="AA518" s="549"/>
      <c r="AB518" s="549"/>
      <c r="AC518" s="549"/>
      <c r="AD518" s="549"/>
      <c r="AE518" s="549"/>
      <c r="AF518" s="549"/>
      <c r="AG518" s="549"/>
      <c r="AH518" s="549"/>
      <c r="AI518" s="549"/>
      <c r="AJ518" s="549"/>
      <c r="AK518" s="549"/>
      <c r="AL518" s="549"/>
      <c r="AM518" s="549"/>
      <c r="AN518" s="549"/>
      <c r="AO518" s="549"/>
      <c r="AP518" s="549"/>
      <c r="AQ518" s="549"/>
      <c r="AR518" s="549"/>
      <c r="AS518" s="549"/>
      <c r="AT518" s="549"/>
      <c r="AU518" s="549"/>
      <c r="AV518" s="549"/>
      <c r="AW518" s="549"/>
      <c r="AX518" s="549"/>
      <c r="AY518" s="549"/>
      <c r="AZ518" s="549"/>
      <c r="BA518" s="549"/>
      <c r="BB518" s="549"/>
      <c r="BC518" s="549"/>
      <c r="BD518" s="549"/>
      <c r="BE518" s="549"/>
      <c r="BF518" s="549"/>
      <c r="BG518" s="549"/>
      <c r="BH518" s="549"/>
      <c r="BI518" s="549"/>
    </row>
    <row r="519" spans="16:61" s="254" customFormat="1" ht="9.9">
      <c r="P519" s="549"/>
      <c r="Q519" s="549"/>
      <c r="R519" s="549"/>
      <c r="S519" s="549"/>
      <c r="T519" s="549"/>
      <c r="U519" s="549"/>
      <c r="V519" s="549"/>
      <c r="W519" s="549"/>
      <c r="X519" s="549"/>
      <c r="Y519" s="549"/>
      <c r="Z519" s="549"/>
      <c r="AA519" s="549"/>
      <c r="AB519" s="549"/>
      <c r="AC519" s="549"/>
      <c r="AD519" s="549"/>
      <c r="AE519" s="549"/>
      <c r="AF519" s="549"/>
      <c r="AG519" s="549"/>
      <c r="AH519" s="549"/>
      <c r="AI519" s="549"/>
      <c r="AJ519" s="549"/>
      <c r="AK519" s="549"/>
      <c r="AL519" s="549"/>
      <c r="AM519" s="549"/>
      <c r="AN519" s="549"/>
      <c r="AO519" s="549"/>
      <c r="AP519" s="549"/>
      <c r="AQ519" s="549"/>
      <c r="AR519" s="549"/>
      <c r="AS519" s="549"/>
      <c r="AT519" s="549"/>
      <c r="AU519" s="549"/>
      <c r="AV519" s="549"/>
      <c r="AW519" s="549"/>
      <c r="AX519" s="549"/>
      <c r="AY519" s="549"/>
      <c r="AZ519" s="549"/>
      <c r="BA519" s="549"/>
      <c r="BB519" s="549"/>
      <c r="BC519" s="549"/>
      <c r="BD519" s="549"/>
      <c r="BE519" s="549"/>
      <c r="BF519" s="549"/>
      <c r="BG519" s="549"/>
      <c r="BH519" s="549"/>
      <c r="BI519" s="549"/>
    </row>
    <row r="520" spans="16:61" s="254" customFormat="1" ht="9.9">
      <c r="P520" s="549"/>
      <c r="Q520" s="549"/>
      <c r="R520" s="549"/>
      <c r="S520" s="549"/>
      <c r="T520" s="549"/>
      <c r="U520" s="549"/>
      <c r="V520" s="549"/>
      <c r="W520" s="549"/>
      <c r="X520" s="549"/>
      <c r="Y520" s="549"/>
      <c r="Z520" s="549"/>
      <c r="AA520" s="549"/>
      <c r="AB520" s="549"/>
      <c r="AC520" s="549"/>
      <c r="AD520" s="549"/>
      <c r="AE520" s="549"/>
      <c r="AF520" s="549"/>
      <c r="AG520" s="549"/>
      <c r="AH520" s="549"/>
      <c r="AI520" s="549"/>
      <c r="AJ520" s="549"/>
      <c r="AK520" s="549"/>
      <c r="AL520" s="549"/>
      <c r="AM520" s="549"/>
      <c r="AN520" s="549"/>
      <c r="AO520" s="549"/>
      <c r="AP520" s="549"/>
      <c r="AQ520" s="549"/>
      <c r="AR520" s="549"/>
      <c r="AS520" s="549"/>
      <c r="AT520" s="549"/>
      <c r="AU520" s="549"/>
      <c r="AV520" s="549"/>
      <c r="AW520" s="549"/>
      <c r="AX520" s="549"/>
      <c r="AY520" s="549"/>
      <c r="AZ520" s="549"/>
      <c r="BA520" s="549"/>
      <c r="BB520" s="549"/>
      <c r="BC520" s="549"/>
      <c r="BD520" s="549"/>
      <c r="BE520" s="549"/>
      <c r="BF520" s="549"/>
      <c r="BG520" s="549"/>
      <c r="BH520" s="549"/>
      <c r="BI520" s="549"/>
    </row>
    <row r="521" spans="16:61" s="254" customFormat="1" ht="9.9">
      <c r="P521" s="549"/>
      <c r="Q521" s="549"/>
      <c r="R521" s="549"/>
      <c r="S521" s="549"/>
      <c r="T521" s="549"/>
      <c r="U521" s="549"/>
      <c r="V521" s="549"/>
      <c r="W521" s="549"/>
      <c r="X521" s="549"/>
      <c r="Y521" s="549"/>
      <c r="Z521" s="549"/>
      <c r="AA521" s="549"/>
      <c r="AB521" s="549"/>
      <c r="AC521" s="549"/>
      <c r="AD521" s="549"/>
      <c r="AE521" s="549"/>
      <c r="AF521" s="549"/>
      <c r="AG521" s="549"/>
      <c r="AH521" s="549"/>
      <c r="AI521" s="549"/>
      <c r="AJ521" s="549"/>
      <c r="AK521" s="549"/>
      <c r="AL521" s="549"/>
      <c r="AM521" s="549"/>
      <c r="AN521" s="549"/>
      <c r="AO521" s="549"/>
      <c r="AP521" s="549"/>
      <c r="AQ521" s="549"/>
      <c r="AR521" s="549"/>
      <c r="AS521" s="549"/>
      <c r="AT521" s="549"/>
      <c r="AU521" s="549"/>
      <c r="AV521" s="549"/>
      <c r="AW521" s="549"/>
      <c r="AX521" s="549"/>
      <c r="AY521" s="549"/>
      <c r="AZ521" s="549"/>
      <c r="BA521" s="549"/>
      <c r="BB521" s="549"/>
      <c r="BC521" s="549"/>
      <c r="BD521" s="549"/>
      <c r="BE521" s="549"/>
      <c r="BF521" s="549"/>
      <c r="BG521" s="549"/>
      <c r="BH521" s="549"/>
      <c r="BI521" s="549"/>
    </row>
    <row r="522" spans="16:61" s="254" customFormat="1" ht="9.9">
      <c r="P522" s="549"/>
      <c r="Q522" s="549"/>
      <c r="R522" s="549"/>
      <c r="S522" s="549"/>
      <c r="T522" s="549"/>
      <c r="U522" s="549"/>
      <c r="V522" s="549"/>
      <c r="W522" s="549"/>
      <c r="X522" s="549"/>
      <c r="Y522" s="549"/>
      <c r="Z522" s="549"/>
      <c r="AA522" s="549"/>
      <c r="AB522" s="549"/>
      <c r="AC522" s="549"/>
      <c r="AD522" s="549"/>
      <c r="AE522" s="549"/>
      <c r="AF522" s="549"/>
      <c r="AG522" s="549"/>
      <c r="AH522" s="549"/>
      <c r="AI522" s="549"/>
      <c r="AJ522" s="549"/>
      <c r="AK522" s="549"/>
      <c r="AL522" s="549"/>
      <c r="AM522" s="549"/>
      <c r="AN522" s="549"/>
      <c r="AO522" s="549"/>
      <c r="AP522" s="549"/>
      <c r="AQ522" s="549"/>
      <c r="AR522" s="549"/>
      <c r="AS522" s="549"/>
      <c r="AT522" s="549"/>
      <c r="AU522" s="549"/>
      <c r="AV522" s="549"/>
      <c r="AW522" s="549"/>
      <c r="AX522" s="549"/>
      <c r="AY522" s="549"/>
      <c r="AZ522" s="549"/>
      <c r="BA522" s="549"/>
      <c r="BB522" s="549"/>
      <c r="BC522" s="549"/>
      <c r="BD522" s="549"/>
      <c r="BE522" s="549"/>
      <c r="BF522" s="549"/>
      <c r="BG522" s="549"/>
      <c r="BH522" s="549"/>
      <c r="BI522" s="549"/>
    </row>
    <row r="523" spans="16:61" s="254" customFormat="1" ht="9.9">
      <c r="P523" s="549"/>
      <c r="Q523" s="549"/>
      <c r="R523" s="549"/>
      <c r="S523" s="549"/>
      <c r="T523" s="549"/>
      <c r="U523" s="549"/>
      <c r="V523" s="549"/>
      <c r="W523" s="549"/>
      <c r="X523" s="549"/>
      <c r="Y523" s="549"/>
      <c r="Z523" s="549"/>
      <c r="AA523" s="549"/>
      <c r="AB523" s="549"/>
      <c r="AC523" s="549"/>
      <c r="AD523" s="549"/>
      <c r="AE523" s="549"/>
      <c r="AF523" s="549"/>
      <c r="AG523" s="549"/>
      <c r="AH523" s="549"/>
      <c r="AI523" s="549"/>
      <c r="AJ523" s="549"/>
      <c r="AK523" s="549"/>
      <c r="AL523" s="549"/>
      <c r="AM523" s="549"/>
      <c r="AN523" s="549"/>
      <c r="AO523" s="549"/>
      <c r="AP523" s="549"/>
      <c r="AQ523" s="549"/>
      <c r="AR523" s="549"/>
      <c r="AS523" s="549"/>
      <c r="AT523" s="549"/>
      <c r="AU523" s="549"/>
      <c r="AV523" s="549"/>
      <c r="AW523" s="549"/>
      <c r="AX523" s="549"/>
      <c r="AY523" s="549"/>
      <c r="AZ523" s="549"/>
      <c r="BA523" s="549"/>
      <c r="BB523" s="549"/>
      <c r="BC523" s="549"/>
      <c r="BD523" s="549"/>
      <c r="BE523" s="549"/>
      <c r="BF523" s="549"/>
      <c r="BG523" s="549"/>
      <c r="BH523" s="549"/>
      <c r="BI523" s="549"/>
    </row>
    <row r="524" spans="16:61" s="254" customFormat="1" ht="9.9">
      <c r="P524" s="549"/>
      <c r="Q524" s="549"/>
      <c r="R524" s="549"/>
      <c r="S524" s="549"/>
      <c r="T524" s="549"/>
      <c r="U524" s="549"/>
      <c r="V524" s="549"/>
      <c r="W524" s="549"/>
      <c r="X524" s="549"/>
      <c r="Y524" s="549"/>
      <c r="Z524" s="549"/>
      <c r="AA524" s="549"/>
      <c r="AB524" s="549"/>
      <c r="AC524" s="549"/>
      <c r="AD524" s="549"/>
      <c r="AE524" s="549"/>
      <c r="AF524" s="549"/>
      <c r="AG524" s="549"/>
      <c r="AH524" s="549"/>
      <c r="AI524" s="549"/>
      <c r="AJ524" s="549"/>
      <c r="AK524" s="549"/>
      <c r="AL524" s="549"/>
      <c r="AM524" s="549"/>
      <c r="AN524" s="549"/>
      <c r="AO524" s="549"/>
      <c r="AP524" s="549"/>
      <c r="AQ524" s="549"/>
      <c r="AR524" s="549"/>
      <c r="AS524" s="549"/>
      <c r="AT524" s="549"/>
      <c r="AU524" s="549"/>
      <c r="AV524" s="549"/>
      <c r="AW524" s="549"/>
      <c r="AX524" s="549"/>
      <c r="AY524" s="549"/>
      <c r="AZ524" s="549"/>
      <c r="BA524" s="549"/>
      <c r="BB524" s="549"/>
      <c r="BC524" s="549"/>
      <c r="BD524" s="549"/>
      <c r="BE524" s="549"/>
      <c r="BF524" s="549"/>
      <c r="BG524" s="549"/>
      <c r="BH524" s="549"/>
      <c r="BI524" s="549"/>
    </row>
    <row r="525" spans="16:61" s="254" customFormat="1" ht="9.9">
      <c r="P525" s="549"/>
      <c r="Q525" s="549"/>
      <c r="R525" s="549"/>
      <c r="S525" s="549"/>
      <c r="T525" s="549"/>
      <c r="U525" s="549"/>
      <c r="V525" s="549"/>
      <c r="W525" s="549"/>
      <c r="X525" s="549"/>
      <c r="Y525" s="549"/>
      <c r="Z525" s="549"/>
      <c r="AA525" s="549"/>
      <c r="AB525" s="549"/>
      <c r="AC525" s="549"/>
      <c r="AD525" s="549"/>
      <c r="AE525" s="549"/>
      <c r="AF525" s="549"/>
      <c r="AG525" s="549"/>
      <c r="AH525" s="549"/>
      <c r="AI525" s="549"/>
      <c r="AJ525" s="549"/>
      <c r="AK525" s="549"/>
      <c r="AL525" s="549"/>
      <c r="AM525" s="549"/>
      <c r="AN525" s="549"/>
      <c r="AO525" s="549"/>
      <c r="AP525" s="549"/>
      <c r="AQ525" s="549"/>
      <c r="AR525" s="549"/>
      <c r="AS525" s="549"/>
      <c r="AT525" s="549"/>
      <c r="AU525" s="549"/>
      <c r="AV525" s="549"/>
      <c r="AW525" s="549"/>
      <c r="AX525" s="549"/>
      <c r="AY525" s="549"/>
      <c r="AZ525" s="549"/>
      <c r="BA525" s="549"/>
      <c r="BB525" s="549"/>
      <c r="BC525" s="549"/>
      <c r="BD525" s="549"/>
      <c r="BE525" s="549"/>
      <c r="BF525" s="549"/>
      <c r="BG525" s="549"/>
      <c r="BH525" s="549"/>
      <c r="BI525" s="549"/>
    </row>
    <row r="526" spans="16:61" s="254" customFormat="1" ht="9.9">
      <c r="P526" s="549"/>
      <c r="Q526" s="549"/>
      <c r="R526" s="549"/>
      <c r="S526" s="549"/>
      <c r="T526" s="549"/>
      <c r="U526" s="549"/>
      <c r="V526" s="549"/>
      <c r="W526" s="549"/>
      <c r="X526" s="549"/>
      <c r="Y526" s="549"/>
      <c r="Z526" s="549"/>
      <c r="AA526" s="549"/>
      <c r="AB526" s="549"/>
      <c r="AC526" s="549"/>
      <c r="AD526" s="549"/>
      <c r="AE526" s="549"/>
      <c r="AF526" s="549"/>
      <c r="AG526" s="549"/>
      <c r="AH526" s="549"/>
      <c r="AI526" s="549"/>
      <c r="AJ526" s="549"/>
      <c r="AK526" s="549"/>
      <c r="AL526" s="549"/>
      <c r="AM526" s="549"/>
      <c r="AN526" s="549"/>
      <c r="AO526" s="549"/>
      <c r="AP526" s="549"/>
      <c r="AQ526" s="549"/>
      <c r="AR526" s="549"/>
      <c r="AS526" s="549"/>
      <c r="AT526" s="549"/>
      <c r="AU526" s="549"/>
      <c r="AV526" s="549"/>
      <c r="AW526" s="549"/>
      <c r="AX526" s="549"/>
      <c r="AY526" s="549"/>
      <c r="AZ526" s="549"/>
      <c r="BA526" s="549"/>
      <c r="BB526" s="549"/>
      <c r="BC526" s="549"/>
      <c r="BD526" s="549"/>
      <c r="BE526" s="549"/>
      <c r="BF526" s="549"/>
      <c r="BG526" s="549"/>
      <c r="BH526" s="549"/>
      <c r="BI526" s="549"/>
    </row>
    <row r="527" spans="16:61" s="254" customFormat="1" ht="9.9">
      <c r="P527" s="549"/>
      <c r="Q527" s="549"/>
      <c r="R527" s="549"/>
      <c r="S527" s="549"/>
      <c r="T527" s="549"/>
      <c r="U527" s="549"/>
      <c r="V527" s="549"/>
      <c r="W527" s="549"/>
      <c r="X527" s="549"/>
      <c r="Y527" s="549"/>
      <c r="Z527" s="549"/>
      <c r="AA527" s="549"/>
      <c r="AB527" s="549"/>
      <c r="AC527" s="549"/>
      <c r="AD527" s="549"/>
      <c r="AE527" s="549"/>
      <c r="AF527" s="549"/>
      <c r="AG527" s="549"/>
      <c r="AH527" s="549"/>
      <c r="AI527" s="549"/>
      <c r="AJ527" s="549"/>
      <c r="AK527" s="549"/>
      <c r="AL527" s="549"/>
      <c r="AM527" s="549"/>
      <c r="AN527" s="549"/>
      <c r="AO527" s="549"/>
      <c r="AP527" s="549"/>
      <c r="AQ527" s="549"/>
      <c r="AR527" s="549"/>
      <c r="AS527" s="549"/>
      <c r="AT527" s="549"/>
      <c r="AU527" s="549"/>
      <c r="AV527" s="549"/>
      <c r="AW527" s="549"/>
      <c r="AX527" s="549"/>
      <c r="AY527" s="549"/>
      <c r="AZ527" s="549"/>
      <c r="BA527" s="549"/>
      <c r="BB527" s="549"/>
      <c r="BC527" s="549"/>
      <c r="BD527" s="549"/>
      <c r="BE527" s="549"/>
      <c r="BF527" s="549"/>
      <c r="BG527" s="549"/>
      <c r="BH527" s="549"/>
      <c r="BI527" s="549"/>
    </row>
    <row r="528" spans="16:61" s="254" customFormat="1" ht="9.9">
      <c r="P528" s="549"/>
      <c r="Q528" s="549"/>
      <c r="R528" s="549"/>
      <c r="S528" s="549"/>
      <c r="T528" s="549"/>
      <c r="U528" s="549"/>
      <c r="V528" s="549"/>
      <c r="W528" s="549"/>
      <c r="X528" s="549"/>
      <c r="Y528" s="549"/>
      <c r="Z528" s="549"/>
      <c r="AA528" s="549"/>
      <c r="AB528" s="549"/>
      <c r="AC528" s="549"/>
      <c r="AD528" s="549"/>
      <c r="AE528" s="549"/>
      <c r="AF528" s="549"/>
      <c r="AG528" s="549"/>
      <c r="AH528" s="549"/>
      <c r="AI528" s="549"/>
      <c r="AJ528" s="549"/>
      <c r="AK528" s="549"/>
      <c r="AL528" s="549"/>
      <c r="AM528" s="549"/>
      <c r="AN528" s="549"/>
      <c r="AO528" s="549"/>
      <c r="AP528" s="549"/>
      <c r="AQ528" s="549"/>
      <c r="AR528" s="549"/>
      <c r="AS528" s="549"/>
      <c r="AT528" s="549"/>
      <c r="AU528" s="549"/>
      <c r="AV528" s="549"/>
      <c r="AW528" s="549"/>
      <c r="AX528" s="549"/>
      <c r="AY528" s="549"/>
      <c r="AZ528" s="549"/>
      <c r="BA528" s="549"/>
      <c r="BB528" s="549"/>
      <c r="BC528" s="549"/>
      <c r="BD528" s="549"/>
      <c r="BE528" s="549"/>
      <c r="BF528" s="549"/>
      <c r="BG528" s="549"/>
      <c r="BH528" s="549"/>
      <c r="BI528" s="549"/>
    </row>
    <row r="529" spans="16:61" s="254" customFormat="1" ht="9.9">
      <c r="P529" s="549"/>
      <c r="Q529" s="549"/>
      <c r="R529" s="549"/>
      <c r="S529" s="549"/>
      <c r="T529" s="549"/>
      <c r="U529" s="549"/>
      <c r="V529" s="549"/>
      <c r="W529" s="549"/>
      <c r="X529" s="549"/>
      <c r="Y529" s="549"/>
      <c r="Z529" s="549"/>
      <c r="AA529" s="549"/>
      <c r="AB529" s="549"/>
      <c r="AC529" s="549"/>
      <c r="AD529" s="549"/>
      <c r="AE529" s="549"/>
      <c r="AF529" s="549"/>
      <c r="AG529" s="549"/>
      <c r="AH529" s="549"/>
      <c r="AI529" s="549"/>
      <c r="AJ529" s="549"/>
      <c r="AK529" s="549"/>
      <c r="AL529" s="549"/>
      <c r="AM529" s="549"/>
      <c r="AN529" s="549"/>
      <c r="AO529" s="549"/>
      <c r="AP529" s="549"/>
      <c r="AQ529" s="549"/>
      <c r="AR529" s="549"/>
      <c r="AS529" s="549"/>
      <c r="AT529" s="549"/>
      <c r="AU529" s="549"/>
      <c r="AV529" s="549"/>
      <c r="AW529" s="549"/>
      <c r="AX529" s="549"/>
      <c r="AY529" s="549"/>
      <c r="AZ529" s="549"/>
      <c r="BA529" s="549"/>
      <c r="BB529" s="549"/>
      <c r="BC529" s="549"/>
      <c r="BD529" s="549"/>
      <c r="BE529" s="549"/>
      <c r="BF529" s="549"/>
      <c r="BG529" s="549"/>
      <c r="BH529" s="549"/>
      <c r="BI529" s="549"/>
    </row>
    <row r="530" spans="16:61" s="254" customFormat="1" ht="9.9">
      <c r="P530" s="549"/>
      <c r="Q530" s="549"/>
      <c r="R530" s="549"/>
      <c r="S530" s="549"/>
      <c r="T530" s="549"/>
      <c r="U530" s="549"/>
      <c r="V530" s="549"/>
      <c r="W530" s="549"/>
      <c r="X530" s="549"/>
      <c r="Y530" s="549"/>
      <c r="Z530" s="549"/>
      <c r="AA530" s="549"/>
      <c r="AB530" s="549"/>
      <c r="AC530" s="549"/>
      <c r="AD530" s="549"/>
      <c r="AE530" s="549"/>
      <c r="AF530" s="549"/>
      <c r="AG530" s="549"/>
      <c r="AH530" s="549"/>
      <c r="AI530" s="549"/>
      <c r="AJ530" s="549"/>
      <c r="AK530" s="549"/>
      <c r="AL530" s="549"/>
      <c r="AM530" s="549"/>
      <c r="AN530" s="549"/>
      <c r="AO530" s="549"/>
      <c r="AP530" s="549"/>
      <c r="AQ530" s="549"/>
      <c r="AR530" s="549"/>
      <c r="AS530" s="549"/>
      <c r="AT530" s="549"/>
      <c r="AU530" s="549"/>
      <c r="AV530" s="549"/>
      <c r="AW530" s="549"/>
      <c r="AX530" s="549"/>
      <c r="AY530" s="549"/>
      <c r="AZ530" s="549"/>
      <c r="BA530" s="549"/>
      <c r="BB530" s="549"/>
      <c r="BC530" s="549"/>
      <c r="BD530" s="549"/>
      <c r="BE530" s="549"/>
      <c r="BF530" s="549"/>
      <c r="BG530" s="549"/>
      <c r="BH530" s="549"/>
      <c r="BI530" s="549"/>
    </row>
    <row r="531" spans="16:61" s="254" customFormat="1" ht="9.9">
      <c r="P531" s="549"/>
      <c r="Q531" s="549"/>
      <c r="R531" s="549"/>
      <c r="S531" s="549"/>
      <c r="T531" s="549"/>
      <c r="U531" s="549"/>
      <c r="V531" s="549"/>
      <c r="W531" s="549"/>
      <c r="X531" s="549"/>
      <c r="Y531" s="549"/>
      <c r="Z531" s="549"/>
      <c r="AA531" s="549"/>
      <c r="AB531" s="549"/>
      <c r="AC531" s="549"/>
      <c r="AD531" s="549"/>
      <c r="AE531" s="549"/>
      <c r="AF531" s="549"/>
      <c r="AG531" s="549"/>
      <c r="AH531" s="549"/>
      <c r="AI531" s="549"/>
      <c r="AJ531" s="549"/>
      <c r="AK531" s="549"/>
      <c r="AL531" s="549"/>
      <c r="AM531" s="549"/>
      <c r="AN531" s="549"/>
      <c r="AO531" s="549"/>
      <c r="AP531" s="549"/>
      <c r="AQ531" s="549"/>
      <c r="AR531" s="549"/>
      <c r="AS531" s="549"/>
      <c r="AT531" s="549"/>
      <c r="AU531" s="549"/>
      <c r="AV531" s="549"/>
      <c r="AW531" s="549"/>
      <c r="AX531" s="549"/>
      <c r="AY531" s="549"/>
      <c r="AZ531" s="549"/>
      <c r="BA531" s="549"/>
      <c r="BB531" s="549"/>
      <c r="BC531" s="549"/>
      <c r="BD531" s="549"/>
      <c r="BE531" s="549"/>
      <c r="BF531" s="549"/>
      <c r="BG531" s="549"/>
      <c r="BH531" s="549"/>
      <c r="BI531" s="549"/>
    </row>
    <row r="532" spans="16:61" s="254" customFormat="1" ht="9.9">
      <c r="P532" s="549"/>
      <c r="Q532" s="549"/>
      <c r="R532" s="549"/>
      <c r="S532" s="549"/>
      <c r="T532" s="549"/>
      <c r="U532" s="549"/>
      <c r="V532" s="549"/>
      <c r="W532" s="549"/>
      <c r="X532" s="549"/>
      <c r="Y532" s="549"/>
      <c r="Z532" s="549"/>
      <c r="AA532" s="549"/>
      <c r="AB532" s="549"/>
      <c r="AC532" s="549"/>
      <c r="AD532" s="549"/>
      <c r="AE532" s="549"/>
      <c r="AF532" s="549"/>
      <c r="AG532" s="549"/>
      <c r="AH532" s="549"/>
      <c r="AI532" s="549"/>
      <c r="AJ532" s="549"/>
      <c r="AK532" s="549"/>
      <c r="AL532" s="549"/>
      <c r="AM532" s="549"/>
      <c r="AN532" s="549"/>
      <c r="AO532" s="549"/>
      <c r="AP532" s="549"/>
      <c r="AQ532" s="549"/>
      <c r="AR532" s="549"/>
      <c r="AS532" s="549"/>
      <c r="AT532" s="549"/>
      <c r="AU532" s="549"/>
      <c r="AV532" s="549"/>
      <c r="AW532" s="549"/>
      <c r="AX532" s="549"/>
      <c r="AY532" s="549"/>
      <c r="AZ532" s="549"/>
      <c r="BA532" s="549"/>
      <c r="BB532" s="549"/>
      <c r="BC532" s="549"/>
      <c r="BD532" s="549"/>
      <c r="BE532" s="549"/>
      <c r="BF532" s="549"/>
      <c r="BG532" s="549"/>
      <c r="BH532" s="549"/>
      <c r="BI532" s="549"/>
    </row>
    <row r="533" spans="16:61" s="254" customFormat="1" ht="9.9">
      <c r="P533" s="549"/>
      <c r="Q533" s="549"/>
      <c r="R533" s="549"/>
      <c r="S533" s="549"/>
      <c r="T533" s="549"/>
      <c r="U533" s="549"/>
      <c r="V533" s="549"/>
      <c r="W533" s="549"/>
      <c r="X533" s="549"/>
      <c r="Y533" s="549"/>
      <c r="Z533" s="549"/>
      <c r="AA533" s="549"/>
      <c r="AB533" s="549"/>
      <c r="AC533" s="549"/>
      <c r="AD533" s="549"/>
      <c r="AE533" s="549"/>
      <c r="AF533" s="549"/>
      <c r="AG533" s="549"/>
      <c r="AH533" s="549"/>
      <c r="AI533" s="549"/>
      <c r="AJ533" s="549"/>
      <c r="AK533" s="549"/>
      <c r="AL533" s="549"/>
      <c r="AM533" s="549"/>
      <c r="AN533" s="549"/>
      <c r="AO533" s="549"/>
      <c r="AP533" s="549"/>
      <c r="AQ533" s="549"/>
      <c r="AR533" s="549"/>
      <c r="AS533" s="549"/>
      <c r="AT533" s="549"/>
      <c r="AU533" s="549"/>
      <c r="AV533" s="549"/>
      <c r="AW533" s="549"/>
      <c r="AX533" s="549"/>
      <c r="AY533" s="549"/>
      <c r="AZ533" s="549"/>
      <c r="BA533" s="549"/>
      <c r="BB533" s="549"/>
      <c r="BC533" s="549"/>
      <c r="BD533" s="549"/>
      <c r="BE533" s="549"/>
      <c r="BF533" s="549"/>
      <c r="BG533" s="549"/>
      <c r="BH533" s="549"/>
      <c r="BI533" s="549"/>
    </row>
    <row r="534" spans="16:61" s="254" customFormat="1" ht="9.9">
      <c r="P534" s="549"/>
      <c r="Q534" s="549"/>
      <c r="R534" s="549"/>
      <c r="S534" s="549"/>
      <c r="T534" s="549"/>
      <c r="U534" s="549"/>
      <c r="V534" s="549"/>
      <c r="W534" s="549"/>
      <c r="X534" s="549"/>
      <c r="Y534" s="549"/>
      <c r="Z534" s="549"/>
      <c r="AA534" s="549"/>
      <c r="AB534" s="549"/>
      <c r="AC534" s="549"/>
      <c r="AD534" s="549"/>
      <c r="AE534" s="549"/>
      <c r="AF534" s="549"/>
      <c r="AG534" s="549"/>
      <c r="AH534" s="549"/>
      <c r="AI534" s="549"/>
      <c r="AJ534" s="549"/>
      <c r="AK534" s="549"/>
      <c r="AL534" s="549"/>
      <c r="AM534" s="549"/>
      <c r="AN534" s="549"/>
      <c r="AO534" s="549"/>
      <c r="AP534" s="549"/>
      <c r="AQ534" s="549"/>
      <c r="AR534" s="549"/>
      <c r="AS534" s="549"/>
      <c r="AT534" s="549"/>
      <c r="AU534" s="549"/>
      <c r="AV534" s="549"/>
      <c r="AW534" s="549"/>
      <c r="AX534" s="549"/>
      <c r="AY534" s="549"/>
      <c r="AZ534" s="549"/>
      <c r="BA534" s="549"/>
      <c r="BB534" s="549"/>
      <c r="BC534" s="549"/>
      <c r="BD534" s="549"/>
      <c r="BE534" s="549"/>
      <c r="BF534" s="549"/>
      <c r="BG534" s="549"/>
      <c r="BH534" s="549"/>
      <c r="BI534" s="549"/>
    </row>
    <row r="535" spans="16:61" s="254" customFormat="1" ht="9.9">
      <c r="P535" s="549"/>
      <c r="Q535" s="549"/>
      <c r="R535" s="549"/>
      <c r="S535" s="549"/>
      <c r="T535" s="549"/>
      <c r="U535" s="549"/>
      <c r="V535" s="549"/>
      <c r="W535" s="549"/>
      <c r="X535" s="549"/>
      <c r="Y535" s="549"/>
      <c r="Z535" s="549"/>
      <c r="AA535" s="549"/>
      <c r="AB535" s="549"/>
      <c r="AC535" s="549"/>
      <c r="AD535" s="549"/>
      <c r="AE535" s="549"/>
      <c r="AF535" s="549"/>
      <c r="AG535" s="549"/>
      <c r="AH535" s="549"/>
      <c r="AI535" s="549"/>
      <c r="AJ535" s="549"/>
      <c r="AK535" s="549"/>
      <c r="AL535" s="549"/>
      <c r="AM535" s="549"/>
      <c r="AN535" s="549"/>
      <c r="AO535" s="549"/>
      <c r="AP535" s="549"/>
      <c r="AQ535" s="549"/>
      <c r="AR535" s="549"/>
      <c r="AS535" s="549"/>
      <c r="AT535" s="549"/>
      <c r="AU535" s="549"/>
      <c r="AV535" s="549"/>
      <c r="AW535" s="549"/>
      <c r="AX535" s="549"/>
      <c r="AY535" s="549"/>
      <c r="AZ535" s="549"/>
      <c r="BA535" s="549"/>
      <c r="BB535" s="549"/>
      <c r="BC535" s="549"/>
      <c r="BD535" s="549"/>
      <c r="BE535" s="549"/>
      <c r="BF535" s="549"/>
      <c r="BG535" s="549"/>
      <c r="BH535" s="549"/>
      <c r="BI535" s="549"/>
    </row>
    <row r="536" spans="16:61" s="254" customFormat="1" ht="9.9">
      <c r="P536" s="549"/>
      <c r="Q536" s="549"/>
      <c r="R536" s="549"/>
      <c r="S536" s="549"/>
      <c r="T536" s="549"/>
      <c r="U536" s="549"/>
      <c r="V536" s="549"/>
      <c r="W536" s="549"/>
      <c r="X536" s="549"/>
      <c r="Y536" s="549"/>
      <c r="Z536" s="549"/>
      <c r="AA536" s="549"/>
      <c r="AB536" s="549"/>
      <c r="AC536" s="549"/>
      <c r="AD536" s="549"/>
      <c r="AE536" s="549"/>
      <c r="AF536" s="549"/>
      <c r="AG536" s="549"/>
      <c r="AH536" s="549"/>
      <c r="AI536" s="549"/>
      <c r="AJ536" s="549"/>
      <c r="AK536" s="549"/>
      <c r="AL536" s="549"/>
      <c r="AM536" s="549"/>
      <c r="AN536" s="549"/>
      <c r="AO536" s="549"/>
      <c r="AP536" s="549"/>
      <c r="AQ536" s="549"/>
      <c r="AR536" s="549"/>
      <c r="AS536" s="549"/>
      <c r="AT536" s="549"/>
      <c r="AU536" s="549"/>
      <c r="AV536" s="549"/>
      <c r="AW536" s="549"/>
      <c r="AX536" s="549"/>
      <c r="AY536" s="549"/>
      <c r="AZ536" s="549"/>
      <c r="BA536" s="549"/>
      <c r="BB536" s="549"/>
      <c r="BC536" s="549"/>
      <c r="BD536" s="549"/>
      <c r="BE536" s="549"/>
      <c r="BF536" s="549"/>
      <c r="BG536" s="549"/>
      <c r="BH536" s="549"/>
      <c r="BI536" s="549"/>
    </row>
    <row r="537" spans="16:61" s="254" customFormat="1" ht="9.9">
      <c r="P537" s="549"/>
      <c r="Q537" s="549"/>
      <c r="R537" s="549"/>
      <c r="S537" s="549"/>
      <c r="T537" s="549"/>
      <c r="U537" s="549"/>
      <c r="V537" s="549"/>
      <c r="W537" s="549"/>
      <c r="X537" s="549"/>
      <c r="Y537" s="549"/>
      <c r="Z537" s="549"/>
      <c r="AA537" s="549"/>
      <c r="AB537" s="549"/>
      <c r="AC537" s="549"/>
      <c r="AD537" s="549"/>
      <c r="AE537" s="549"/>
      <c r="AF537" s="549"/>
      <c r="AG537" s="549"/>
      <c r="AH537" s="549"/>
      <c r="AI537" s="549"/>
      <c r="AJ537" s="549"/>
      <c r="AK537" s="549"/>
      <c r="AL537" s="549"/>
      <c r="AM537" s="549"/>
      <c r="AN537" s="549"/>
      <c r="AO537" s="549"/>
      <c r="AP537" s="549"/>
      <c r="AQ537" s="549"/>
      <c r="AR537" s="549"/>
      <c r="AS537" s="549"/>
      <c r="AT537" s="549"/>
      <c r="AU537" s="549"/>
      <c r="AV537" s="549"/>
      <c r="AW537" s="549"/>
      <c r="AX537" s="549"/>
      <c r="AY537" s="549"/>
      <c r="AZ537" s="549"/>
      <c r="BA537" s="549"/>
      <c r="BB537" s="549"/>
      <c r="BC537" s="549"/>
      <c r="BD537" s="549"/>
      <c r="BE537" s="549"/>
      <c r="BF537" s="549"/>
      <c r="BG537" s="549"/>
      <c r="BH537" s="549"/>
      <c r="BI537" s="549"/>
    </row>
    <row r="538" spans="16:61" s="254" customFormat="1" ht="9.9">
      <c r="P538" s="549"/>
      <c r="Q538" s="549"/>
      <c r="R538" s="549"/>
      <c r="S538" s="549"/>
      <c r="T538" s="549"/>
      <c r="U538" s="549"/>
      <c r="V538" s="549"/>
      <c r="W538" s="549"/>
      <c r="X538" s="549"/>
      <c r="Y538" s="549"/>
      <c r="Z538" s="549"/>
      <c r="AA538" s="549"/>
      <c r="AB538" s="549"/>
      <c r="AC538" s="549"/>
      <c r="AD538" s="549"/>
      <c r="AE538" s="549"/>
      <c r="AF538" s="549"/>
      <c r="AG538" s="549"/>
      <c r="AH538" s="549"/>
      <c r="AI538" s="549"/>
      <c r="AJ538" s="549"/>
      <c r="AK538" s="549"/>
      <c r="AL538" s="549"/>
      <c r="AM538" s="549"/>
      <c r="AN538" s="549"/>
      <c r="AO538" s="549"/>
      <c r="AP538" s="549"/>
      <c r="AQ538" s="549"/>
      <c r="AR538" s="549"/>
      <c r="AS538" s="549"/>
      <c r="AT538" s="549"/>
      <c r="AU538" s="549"/>
      <c r="AV538" s="549"/>
      <c r="AW538" s="549"/>
      <c r="AX538" s="549"/>
      <c r="AY538" s="549"/>
      <c r="AZ538" s="549"/>
      <c r="BA538" s="549"/>
      <c r="BB538" s="549"/>
      <c r="BC538" s="549"/>
      <c r="BD538" s="549"/>
      <c r="BE538" s="549"/>
      <c r="BF538" s="549"/>
      <c r="BG538" s="549"/>
      <c r="BH538" s="549"/>
      <c r="BI538" s="549"/>
    </row>
    <row r="539" spans="16:61" s="254" customFormat="1" ht="9.9">
      <c r="P539" s="549"/>
      <c r="Q539" s="549"/>
      <c r="R539" s="549"/>
      <c r="S539" s="549"/>
      <c r="T539" s="549"/>
      <c r="U539" s="549"/>
      <c r="V539" s="549"/>
      <c r="W539" s="549"/>
      <c r="X539" s="549"/>
      <c r="Y539" s="549"/>
      <c r="Z539" s="549"/>
      <c r="AA539" s="549"/>
      <c r="AB539" s="549"/>
      <c r="AC539" s="549"/>
      <c r="AD539" s="549"/>
      <c r="AE539" s="549"/>
      <c r="AF539" s="549"/>
      <c r="AG539" s="549"/>
      <c r="AH539" s="549"/>
      <c r="AI539" s="549"/>
      <c r="AJ539" s="549"/>
      <c r="AK539" s="549"/>
      <c r="AL539" s="549"/>
      <c r="AM539" s="549"/>
      <c r="AN539" s="549"/>
      <c r="AO539" s="549"/>
      <c r="AP539" s="549"/>
      <c r="AQ539" s="549"/>
      <c r="AR539" s="549"/>
      <c r="AS539" s="549"/>
      <c r="AT539" s="549"/>
      <c r="AU539" s="549"/>
      <c r="AV539" s="549"/>
      <c r="AW539" s="549"/>
      <c r="AX539" s="549"/>
      <c r="AY539" s="549"/>
      <c r="AZ539" s="549"/>
      <c r="BA539" s="549"/>
      <c r="BB539" s="549"/>
      <c r="BC539" s="549"/>
      <c r="BD539" s="549"/>
      <c r="BE539" s="549"/>
      <c r="BF539" s="549"/>
      <c r="BG539" s="549"/>
      <c r="BH539" s="549"/>
      <c r="BI539" s="549"/>
    </row>
    <row r="540" spans="16:61" s="254" customFormat="1" ht="9.9">
      <c r="P540" s="549"/>
      <c r="Q540" s="549"/>
      <c r="R540" s="549"/>
      <c r="S540" s="549"/>
      <c r="T540" s="549"/>
      <c r="U540" s="549"/>
      <c r="V540" s="549"/>
      <c r="W540" s="549"/>
      <c r="X540" s="549"/>
      <c r="Y540" s="549"/>
      <c r="Z540" s="549"/>
      <c r="AA540" s="549"/>
      <c r="AB540" s="549"/>
      <c r="AC540" s="549"/>
      <c r="AD540" s="549"/>
      <c r="AE540" s="549"/>
      <c r="AF540" s="549"/>
      <c r="AG540" s="549"/>
      <c r="AH540" s="549"/>
      <c r="AI540" s="549"/>
      <c r="AJ540" s="549"/>
      <c r="AK540" s="549"/>
      <c r="AL540" s="549"/>
      <c r="AM540" s="549"/>
      <c r="AN540" s="549"/>
      <c r="AO540" s="549"/>
      <c r="AP540" s="549"/>
      <c r="AQ540" s="549"/>
      <c r="AR540" s="549"/>
      <c r="AS540" s="549"/>
      <c r="AT540" s="549"/>
      <c r="AU540" s="549"/>
      <c r="AV540" s="549"/>
      <c r="AW540" s="549"/>
      <c r="AX540" s="549"/>
      <c r="AY540" s="549"/>
      <c r="AZ540" s="549"/>
      <c r="BA540" s="549"/>
      <c r="BB540" s="549"/>
      <c r="BC540" s="549"/>
      <c r="BD540" s="549"/>
      <c r="BE540" s="549"/>
      <c r="BF540" s="549"/>
      <c r="BG540" s="549"/>
      <c r="BH540" s="549"/>
      <c r="BI540" s="549"/>
    </row>
    <row r="541" spans="16:61" s="254" customFormat="1" ht="9.9">
      <c r="P541" s="549"/>
      <c r="Q541" s="549"/>
      <c r="R541" s="549"/>
      <c r="S541" s="549"/>
      <c r="T541" s="549"/>
      <c r="U541" s="549"/>
      <c r="V541" s="549"/>
      <c r="W541" s="549"/>
      <c r="X541" s="549"/>
      <c r="Y541" s="549"/>
      <c r="Z541" s="549"/>
      <c r="AA541" s="549"/>
      <c r="AB541" s="549"/>
      <c r="AC541" s="549"/>
      <c r="AD541" s="549"/>
      <c r="AE541" s="549"/>
      <c r="AF541" s="549"/>
      <c r="AG541" s="549"/>
      <c r="AH541" s="549"/>
      <c r="AI541" s="549"/>
      <c r="AJ541" s="549"/>
      <c r="AK541" s="549"/>
      <c r="AL541" s="549"/>
      <c r="AM541" s="549"/>
      <c r="AN541" s="549"/>
      <c r="AO541" s="549"/>
      <c r="AP541" s="549"/>
      <c r="AQ541" s="549"/>
      <c r="AR541" s="549"/>
      <c r="AS541" s="549"/>
      <c r="AT541" s="549"/>
      <c r="AU541" s="549"/>
      <c r="AV541" s="549"/>
      <c r="AW541" s="549"/>
      <c r="AX541" s="549"/>
      <c r="AY541" s="549"/>
      <c r="AZ541" s="549"/>
      <c r="BA541" s="549"/>
      <c r="BB541" s="549"/>
      <c r="BC541" s="549"/>
      <c r="BD541" s="549"/>
      <c r="BE541" s="549"/>
      <c r="BF541" s="549"/>
      <c r="BG541" s="549"/>
      <c r="BH541" s="549"/>
      <c r="BI541" s="549"/>
    </row>
    <row r="542" spans="16:61" s="254" customFormat="1" ht="9.9">
      <c r="P542" s="549"/>
      <c r="Q542" s="549"/>
      <c r="R542" s="549"/>
      <c r="S542" s="549"/>
      <c r="T542" s="549"/>
      <c r="U542" s="549"/>
      <c r="V542" s="549"/>
      <c r="W542" s="549"/>
      <c r="X542" s="549"/>
      <c r="Y542" s="549"/>
      <c r="Z542" s="549"/>
      <c r="AA542" s="549"/>
      <c r="AB542" s="549"/>
      <c r="AC542" s="549"/>
      <c r="AD542" s="549"/>
      <c r="AE542" s="549"/>
      <c r="AF542" s="549"/>
      <c r="AG542" s="549"/>
      <c r="AH542" s="549"/>
      <c r="AI542" s="549"/>
      <c r="AJ542" s="549"/>
      <c r="AK542" s="549"/>
      <c r="AL542" s="549"/>
      <c r="AM542" s="549"/>
      <c r="AN542" s="549"/>
      <c r="AO542" s="549"/>
      <c r="AP542" s="549"/>
      <c r="AQ542" s="549"/>
      <c r="AR542" s="549"/>
      <c r="AS542" s="549"/>
      <c r="AT542" s="549"/>
      <c r="AU542" s="549"/>
      <c r="AV542" s="549"/>
      <c r="AW542" s="549"/>
      <c r="AX542" s="549"/>
      <c r="AY542" s="549"/>
      <c r="AZ542" s="549"/>
      <c r="BA542" s="549"/>
      <c r="BB542" s="549"/>
      <c r="BC542" s="549"/>
      <c r="BD542" s="549"/>
      <c r="BE542" s="549"/>
      <c r="BF542" s="549"/>
      <c r="BG542" s="549"/>
      <c r="BH542" s="549"/>
      <c r="BI542" s="549"/>
    </row>
    <row r="543" spans="16:61" s="254" customFormat="1" ht="9.9">
      <c r="P543" s="549"/>
      <c r="Q543" s="549"/>
      <c r="R543" s="549"/>
      <c r="S543" s="549"/>
      <c r="T543" s="549"/>
      <c r="U543" s="549"/>
      <c r="V543" s="549"/>
      <c r="W543" s="549"/>
      <c r="X543" s="549"/>
      <c r="Y543" s="549"/>
      <c r="Z543" s="549"/>
      <c r="AA543" s="549"/>
      <c r="AB543" s="549"/>
      <c r="AC543" s="549"/>
      <c r="AD543" s="549"/>
      <c r="AE543" s="549"/>
      <c r="AF543" s="549"/>
      <c r="AG543" s="549"/>
      <c r="AH543" s="549"/>
      <c r="AI543" s="549"/>
      <c r="AJ543" s="549"/>
      <c r="AK543" s="549"/>
      <c r="AL543" s="549"/>
      <c r="AM543" s="549"/>
      <c r="AN543" s="549"/>
      <c r="AO543" s="549"/>
      <c r="AP543" s="549"/>
      <c r="AQ543" s="549"/>
      <c r="AR543" s="549"/>
      <c r="AS543" s="549"/>
      <c r="AT543" s="549"/>
      <c r="AU543" s="549"/>
      <c r="AV543" s="549"/>
      <c r="AW543" s="549"/>
      <c r="AX543" s="549"/>
      <c r="AY543" s="549"/>
      <c r="AZ543" s="549"/>
      <c r="BA543" s="549"/>
      <c r="BB543" s="549"/>
      <c r="BC543" s="549"/>
      <c r="BD543" s="549"/>
      <c r="BE543" s="549"/>
      <c r="BF543" s="549"/>
      <c r="BG543" s="549"/>
      <c r="BH543" s="549"/>
      <c r="BI543" s="549"/>
    </row>
    <row r="544" spans="16:61" s="254" customFormat="1" ht="9.9">
      <c r="P544" s="549"/>
      <c r="Q544" s="549"/>
      <c r="R544" s="549"/>
      <c r="S544" s="549"/>
      <c r="T544" s="549"/>
      <c r="U544" s="549"/>
      <c r="V544" s="549"/>
      <c r="W544" s="549"/>
      <c r="X544" s="549"/>
      <c r="Y544" s="549"/>
      <c r="Z544" s="549"/>
      <c r="AA544" s="549"/>
      <c r="AB544" s="549"/>
      <c r="AC544" s="549"/>
      <c r="AD544" s="549"/>
      <c r="AE544" s="549"/>
      <c r="AF544" s="549"/>
      <c r="AG544" s="549"/>
      <c r="AH544" s="549"/>
      <c r="AI544" s="549"/>
      <c r="AJ544" s="549"/>
      <c r="AK544" s="549"/>
      <c r="AL544" s="549"/>
      <c r="AM544" s="549"/>
      <c r="AN544" s="549"/>
      <c r="AO544" s="549"/>
      <c r="AP544" s="549"/>
      <c r="AQ544" s="549"/>
      <c r="AR544" s="549"/>
      <c r="AS544" s="549"/>
      <c r="AT544" s="549"/>
      <c r="AU544" s="549"/>
      <c r="AV544" s="549"/>
      <c r="AW544" s="549"/>
      <c r="AX544" s="549"/>
      <c r="AY544" s="549"/>
      <c r="AZ544" s="549"/>
      <c r="BA544" s="549"/>
      <c r="BB544" s="549"/>
      <c r="BC544" s="549"/>
      <c r="BD544" s="549"/>
      <c r="BE544" s="549"/>
      <c r="BF544" s="549"/>
      <c r="BG544" s="549"/>
      <c r="BH544" s="549"/>
      <c r="BI544" s="549"/>
    </row>
    <row r="545" spans="16:61" s="254" customFormat="1" ht="9.9">
      <c r="P545" s="549"/>
      <c r="Q545" s="549"/>
      <c r="R545" s="549"/>
      <c r="S545" s="549"/>
      <c r="T545" s="549"/>
      <c r="U545" s="549"/>
      <c r="V545" s="549"/>
      <c r="W545" s="549"/>
      <c r="X545" s="549"/>
      <c r="Y545" s="549"/>
      <c r="Z545" s="549"/>
      <c r="AA545" s="549"/>
      <c r="AB545" s="549"/>
      <c r="AC545" s="549"/>
      <c r="AD545" s="549"/>
      <c r="AE545" s="549"/>
      <c r="AF545" s="549"/>
      <c r="AG545" s="549"/>
      <c r="AH545" s="549"/>
      <c r="AI545" s="549"/>
      <c r="AJ545" s="549"/>
      <c r="AK545" s="549"/>
      <c r="AL545" s="549"/>
      <c r="AM545" s="549"/>
      <c r="AN545" s="549"/>
      <c r="AO545" s="549"/>
      <c r="AP545" s="549"/>
      <c r="AQ545" s="549"/>
      <c r="AR545" s="549"/>
      <c r="AS545" s="549"/>
      <c r="AT545" s="549"/>
      <c r="AU545" s="549"/>
      <c r="AV545" s="549"/>
      <c r="AW545" s="549"/>
      <c r="AX545" s="549"/>
      <c r="AY545" s="549"/>
      <c r="AZ545" s="549"/>
      <c r="BA545" s="549"/>
      <c r="BB545" s="549"/>
      <c r="BC545" s="549"/>
      <c r="BD545" s="549"/>
      <c r="BE545" s="549"/>
      <c r="BF545" s="549"/>
      <c r="BG545" s="549"/>
      <c r="BH545" s="549"/>
      <c r="BI545" s="549"/>
    </row>
    <row r="546" spans="16:61" s="254" customFormat="1" ht="9.9">
      <c r="P546" s="549"/>
      <c r="Q546" s="549"/>
      <c r="R546" s="549"/>
      <c r="S546" s="549"/>
      <c r="T546" s="549"/>
      <c r="U546" s="549"/>
      <c r="V546" s="549"/>
      <c r="W546" s="549"/>
      <c r="X546" s="549"/>
      <c r="Y546" s="549"/>
      <c r="Z546" s="549"/>
      <c r="AA546" s="549"/>
      <c r="AB546" s="549"/>
      <c r="AC546" s="549"/>
      <c r="AD546" s="549"/>
      <c r="AE546" s="549"/>
      <c r="AF546" s="549"/>
      <c r="AG546" s="549"/>
      <c r="AH546" s="549"/>
      <c r="AI546" s="549"/>
      <c r="AJ546" s="549"/>
      <c r="AK546" s="549"/>
      <c r="AL546" s="549"/>
      <c r="AM546" s="549"/>
      <c r="AN546" s="549"/>
      <c r="AO546" s="549"/>
      <c r="AP546" s="549"/>
      <c r="AQ546" s="549"/>
      <c r="AR546" s="549"/>
      <c r="AS546" s="549"/>
      <c r="AT546" s="549"/>
      <c r="AU546" s="549"/>
      <c r="AV546" s="549"/>
      <c r="AW546" s="549"/>
      <c r="AX546" s="549"/>
      <c r="AY546" s="549"/>
      <c r="AZ546" s="549"/>
      <c r="BA546" s="549"/>
      <c r="BB546" s="549"/>
      <c r="BC546" s="549"/>
      <c r="BD546" s="549"/>
      <c r="BE546" s="549"/>
      <c r="BF546" s="549"/>
      <c r="BG546" s="549"/>
      <c r="BH546" s="549"/>
      <c r="BI546" s="549"/>
    </row>
    <row r="547" spans="16:61" s="254" customFormat="1" ht="9.9">
      <c r="P547" s="549"/>
      <c r="Q547" s="549"/>
      <c r="R547" s="549"/>
      <c r="S547" s="549"/>
      <c r="T547" s="549"/>
      <c r="U547" s="549"/>
      <c r="V547" s="549"/>
      <c r="W547" s="549"/>
      <c r="X547" s="549"/>
      <c r="Y547" s="549"/>
      <c r="Z547" s="549"/>
      <c r="AA547" s="549"/>
      <c r="AB547" s="549"/>
      <c r="AC547" s="549"/>
      <c r="AD547" s="549"/>
      <c r="AE547" s="549"/>
      <c r="AF547" s="549"/>
      <c r="AG547" s="549"/>
      <c r="AH547" s="549"/>
      <c r="AI547" s="549"/>
      <c r="AJ547" s="549"/>
      <c r="AK547" s="549"/>
      <c r="AL547" s="549"/>
      <c r="AM547" s="549"/>
      <c r="AN547" s="549"/>
      <c r="AO547" s="549"/>
      <c r="AP547" s="549"/>
      <c r="AQ547" s="549"/>
      <c r="AR547" s="549"/>
      <c r="AS547" s="549"/>
      <c r="AT547" s="549"/>
      <c r="AU547" s="549"/>
      <c r="AV547" s="549"/>
      <c r="AW547" s="549"/>
      <c r="AX547" s="549"/>
      <c r="AY547" s="549"/>
      <c r="AZ547" s="549"/>
      <c r="BA547" s="549"/>
      <c r="BB547" s="549"/>
      <c r="BC547" s="549"/>
      <c r="BD547" s="549"/>
      <c r="BE547" s="549"/>
      <c r="BF547" s="549"/>
      <c r="BG547" s="549"/>
      <c r="BH547" s="549"/>
      <c r="BI547" s="549"/>
    </row>
    <row r="548" spans="16:61" s="254" customFormat="1" ht="9.9">
      <c r="P548" s="549"/>
      <c r="Q548" s="549"/>
      <c r="R548" s="549"/>
      <c r="S548" s="549"/>
      <c r="T548" s="549"/>
      <c r="U548" s="549"/>
      <c r="V548" s="549"/>
      <c r="W548" s="549"/>
      <c r="X548" s="549"/>
      <c r="Y548" s="549"/>
      <c r="Z548" s="549"/>
      <c r="AA548" s="549"/>
      <c r="AB548" s="549"/>
      <c r="AC548" s="549"/>
      <c r="AD548" s="549"/>
      <c r="AE548" s="549"/>
      <c r="AF548" s="549"/>
      <c r="AG548" s="549"/>
      <c r="AH548" s="549"/>
      <c r="AI548" s="549"/>
      <c r="AJ548" s="549"/>
      <c r="AK548" s="549"/>
      <c r="AL548" s="549"/>
      <c r="AM548" s="549"/>
      <c r="AN548" s="549"/>
      <c r="AO548" s="549"/>
      <c r="AP548" s="549"/>
      <c r="AQ548" s="549"/>
      <c r="AR548" s="549"/>
      <c r="AS548" s="549"/>
      <c r="AT548" s="549"/>
      <c r="AU548" s="549"/>
      <c r="AV548" s="549"/>
      <c r="AW548" s="549"/>
      <c r="AX548" s="549"/>
      <c r="AY548" s="549"/>
      <c r="AZ548" s="549"/>
      <c r="BA548" s="549"/>
      <c r="BB548" s="549"/>
      <c r="BC548" s="549"/>
      <c r="BD548" s="549"/>
      <c r="BE548" s="549"/>
      <c r="BF548" s="549"/>
      <c r="BG548" s="549"/>
      <c r="BH548" s="549"/>
      <c r="BI548" s="549"/>
    </row>
    <row r="549" spans="16:61" s="254" customFormat="1" ht="9.9">
      <c r="P549" s="549"/>
      <c r="Q549" s="549"/>
      <c r="R549" s="549"/>
      <c r="S549" s="549"/>
      <c r="T549" s="549"/>
      <c r="U549" s="549"/>
      <c r="V549" s="549"/>
      <c r="W549" s="549"/>
      <c r="X549" s="549"/>
      <c r="Y549" s="549"/>
      <c r="Z549" s="549"/>
      <c r="AA549" s="549"/>
      <c r="AB549" s="549"/>
      <c r="AC549" s="549"/>
      <c r="AD549" s="549"/>
      <c r="AE549" s="549"/>
      <c r="AF549" s="549"/>
      <c r="AG549" s="549"/>
      <c r="AH549" s="549"/>
      <c r="AI549" s="549"/>
      <c r="AJ549" s="549"/>
      <c r="AK549" s="549"/>
      <c r="AL549" s="549"/>
      <c r="AM549" s="549"/>
      <c r="AN549" s="549"/>
      <c r="AO549" s="549"/>
      <c r="AP549" s="549"/>
      <c r="AQ549" s="549"/>
      <c r="AR549" s="549"/>
      <c r="AS549" s="549"/>
      <c r="AT549" s="549"/>
      <c r="AU549" s="549"/>
      <c r="AV549" s="549"/>
      <c r="AW549" s="549"/>
      <c r="AX549" s="549"/>
      <c r="AY549" s="549"/>
      <c r="AZ549" s="549"/>
      <c r="BA549" s="549"/>
      <c r="BB549" s="549"/>
      <c r="BC549" s="549"/>
      <c r="BD549" s="549"/>
      <c r="BE549" s="549"/>
      <c r="BF549" s="549"/>
      <c r="BG549" s="549"/>
      <c r="BH549" s="549"/>
      <c r="BI549" s="549"/>
    </row>
    <row r="550" spans="16:61" s="254" customFormat="1" ht="9.9">
      <c r="P550" s="549"/>
      <c r="Q550" s="549"/>
      <c r="R550" s="549"/>
      <c r="S550" s="549"/>
      <c r="T550" s="549"/>
      <c r="U550" s="549"/>
      <c r="V550" s="549"/>
      <c r="W550" s="549"/>
      <c r="X550" s="549"/>
      <c r="Y550" s="549"/>
      <c r="Z550" s="549"/>
      <c r="AA550" s="549"/>
      <c r="AB550" s="549"/>
      <c r="AC550" s="549"/>
      <c r="AD550" s="549"/>
      <c r="AE550" s="549"/>
      <c r="AF550" s="549"/>
      <c r="AG550" s="549"/>
      <c r="AH550" s="549"/>
      <c r="AI550" s="549"/>
      <c r="AJ550" s="549"/>
      <c r="AK550" s="549"/>
      <c r="AL550" s="549"/>
      <c r="AM550" s="549"/>
      <c r="AN550" s="549"/>
      <c r="AO550" s="549"/>
      <c r="AP550" s="549"/>
      <c r="AQ550" s="549"/>
      <c r="AR550" s="549"/>
      <c r="AS550" s="549"/>
      <c r="AT550" s="549"/>
      <c r="AU550" s="549"/>
      <c r="AV550" s="549"/>
      <c r="AW550" s="549"/>
      <c r="AX550" s="549"/>
      <c r="AY550" s="549"/>
      <c r="AZ550" s="549"/>
      <c r="BA550" s="549"/>
      <c r="BB550" s="549"/>
      <c r="BC550" s="549"/>
      <c r="BD550" s="549"/>
      <c r="BE550" s="549"/>
      <c r="BF550" s="549"/>
      <c r="BG550" s="549"/>
      <c r="BH550" s="549"/>
      <c r="BI550" s="549"/>
    </row>
    <row r="551" spans="16:61" s="254" customFormat="1" ht="9.9">
      <c r="P551" s="549"/>
      <c r="Q551" s="549"/>
      <c r="R551" s="549"/>
      <c r="S551" s="549"/>
      <c r="T551" s="549"/>
      <c r="U551" s="549"/>
      <c r="V551" s="549"/>
      <c r="W551" s="549"/>
      <c r="X551" s="549"/>
      <c r="Y551" s="549"/>
      <c r="Z551" s="549"/>
      <c r="AA551" s="549"/>
      <c r="AB551" s="549"/>
      <c r="AC551" s="549"/>
      <c r="AD551" s="549"/>
      <c r="AE551" s="549"/>
      <c r="AF551" s="549"/>
      <c r="AG551" s="549"/>
      <c r="AH551" s="549"/>
      <c r="AI551" s="549"/>
      <c r="AJ551" s="549"/>
      <c r="AK551" s="549"/>
      <c r="AL551" s="549"/>
      <c r="AM551" s="549"/>
      <c r="AN551" s="549"/>
      <c r="AO551" s="549"/>
      <c r="AP551" s="549"/>
      <c r="AQ551" s="549"/>
      <c r="AR551" s="549"/>
      <c r="AS551" s="549"/>
      <c r="AT551" s="549"/>
      <c r="AU551" s="549"/>
      <c r="AV551" s="549"/>
      <c r="AW551" s="549"/>
      <c r="AX551" s="549"/>
      <c r="AY551" s="549"/>
      <c r="AZ551" s="549"/>
      <c r="BA551" s="549"/>
      <c r="BB551" s="549"/>
      <c r="BC551" s="549"/>
      <c r="BD551" s="549"/>
      <c r="BE551" s="549"/>
      <c r="BF551" s="549"/>
      <c r="BG551" s="549"/>
      <c r="BH551" s="549"/>
      <c r="BI551" s="549"/>
    </row>
    <row r="552" spans="16:61" s="254" customFormat="1" ht="9.9">
      <c r="P552" s="549"/>
      <c r="Q552" s="549"/>
      <c r="R552" s="549"/>
      <c r="S552" s="549"/>
      <c r="T552" s="549"/>
      <c r="U552" s="549"/>
      <c r="V552" s="549"/>
      <c r="W552" s="549"/>
      <c r="X552" s="549"/>
      <c r="Y552" s="549"/>
      <c r="Z552" s="549"/>
      <c r="AA552" s="549"/>
      <c r="AB552" s="549"/>
      <c r="AC552" s="549"/>
      <c r="AD552" s="549"/>
      <c r="AE552" s="549"/>
      <c r="AF552" s="549"/>
      <c r="AG552" s="549"/>
      <c r="AH552" s="549"/>
      <c r="AI552" s="549"/>
      <c r="AJ552" s="549"/>
      <c r="AK552" s="549"/>
      <c r="AL552" s="549"/>
      <c r="AM552" s="549"/>
      <c r="AN552" s="549"/>
      <c r="AO552" s="549"/>
      <c r="AP552" s="549"/>
      <c r="AQ552" s="549"/>
      <c r="AR552" s="549"/>
      <c r="AS552" s="549"/>
      <c r="AT552" s="549"/>
      <c r="AU552" s="549"/>
      <c r="AV552" s="549"/>
      <c r="AW552" s="549"/>
      <c r="AX552" s="549"/>
      <c r="AY552" s="549"/>
      <c r="AZ552" s="549"/>
      <c r="BA552" s="549"/>
      <c r="BB552" s="549"/>
      <c r="BC552" s="549"/>
      <c r="BD552" s="549"/>
      <c r="BE552" s="549"/>
      <c r="BF552" s="549"/>
      <c r="BG552" s="549"/>
      <c r="BH552" s="549"/>
      <c r="BI552" s="549"/>
    </row>
    <row r="553" spans="16:61" s="254" customFormat="1" ht="9.9">
      <c r="P553" s="549"/>
      <c r="Q553" s="549"/>
      <c r="R553" s="549"/>
      <c r="S553" s="549"/>
      <c r="T553" s="549"/>
      <c r="U553" s="549"/>
      <c r="V553" s="549"/>
      <c r="W553" s="549"/>
      <c r="X553" s="549"/>
      <c r="Y553" s="549"/>
      <c r="Z553" s="549"/>
      <c r="AA553" s="549"/>
      <c r="AB553" s="549"/>
      <c r="AC553" s="549"/>
      <c r="AD553" s="549"/>
      <c r="AE553" s="549"/>
      <c r="AF553" s="549"/>
      <c r="AG553" s="549"/>
      <c r="AH553" s="549"/>
      <c r="AI553" s="549"/>
      <c r="AJ553" s="549"/>
      <c r="AK553" s="549"/>
      <c r="AL553" s="549"/>
      <c r="AM553" s="549"/>
      <c r="AN553" s="549"/>
      <c r="AO553" s="549"/>
      <c r="AP553" s="549"/>
      <c r="AQ553" s="549"/>
      <c r="AR553" s="549"/>
      <c r="AS553" s="549"/>
      <c r="AT553" s="549"/>
      <c r="AU553" s="549"/>
      <c r="AV553" s="549"/>
      <c r="AW553" s="549"/>
      <c r="AX553" s="549"/>
      <c r="AY553" s="549"/>
      <c r="AZ553" s="549"/>
      <c r="BA553" s="549"/>
      <c r="BB553" s="549"/>
      <c r="BC553" s="549"/>
      <c r="BD553" s="549"/>
      <c r="BE553" s="549"/>
      <c r="BF553" s="549"/>
      <c r="BG553" s="549"/>
      <c r="BH553" s="549"/>
      <c r="BI553" s="549"/>
    </row>
    <row r="554" spans="16:61" s="254" customFormat="1" ht="9.9">
      <c r="P554" s="549"/>
      <c r="Q554" s="549"/>
      <c r="R554" s="549"/>
      <c r="S554" s="549"/>
      <c r="T554" s="549"/>
      <c r="U554" s="549"/>
      <c r="V554" s="549"/>
      <c r="W554" s="549"/>
      <c r="X554" s="549"/>
      <c r="Y554" s="549"/>
      <c r="Z554" s="549"/>
      <c r="AA554" s="549"/>
      <c r="AB554" s="549"/>
      <c r="AC554" s="549"/>
      <c r="AD554" s="549"/>
      <c r="AE554" s="549"/>
      <c r="AF554" s="549"/>
      <c r="AG554" s="549"/>
      <c r="AH554" s="549"/>
      <c r="AI554" s="549"/>
      <c r="AJ554" s="549"/>
      <c r="AK554" s="549"/>
      <c r="AL554" s="549"/>
      <c r="AM554" s="549"/>
      <c r="AN554" s="549"/>
      <c r="AO554" s="549"/>
      <c r="AP554" s="549"/>
      <c r="AQ554" s="549"/>
      <c r="AR554" s="549"/>
      <c r="AS554" s="549"/>
      <c r="AT554" s="549"/>
      <c r="AU554" s="549"/>
      <c r="AV554" s="549"/>
      <c r="AW554" s="549"/>
      <c r="AX554" s="549"/>
      <c r="AY554" s="549"/>
      <c r="AZ554" s="549"/>
      <c r="BA554" s="549"/>
      <c r="BB554" s="549"/>
      <c r="BC554" s="549"/>
      <c r="BD554" s="549"/>
      <c r="BE554" s="549"/>
      <c r="BF554" s="549"/>
      <c r="BG554" s="549"/>
      <c r="BH554" s="549"/>
      <c r="BI554" s="549"/>
    </row>
    <row r="555" spans="16:61" s="254" customFormat="1" ht="9.9">
      <c r="P555" s="549"/>
      <c r="Q555" s="549"/>
      <c r="R555" s="549"/>
      <c r="S555" s="549"/>
      <c r="T555" s="549"/>
      <c r="U555" s="549"/>
      <c r="V555" s="549"/>
      <c r="W555" s="549"/>
      <c r="X555" s="549"/>
      <c r="Y555" s="549"/>
      <c r="Z555" s="549"/>
      <c r="AA555" s="549"/>
      <c r="AB555" s="549"/>
      <c r="AC555" s="549"/>
      <c r="AD555" s="549"/>
      <c r="AE555" s="549"/>
      <c r="AF555" s="549"/>
      <c r="AG555" s="549"/>
      <c r="AH555" s="549"/>
      <c r="AI555" s="549"/>
      <c r="AJ555" s="549"/>
      <c r="AK555" s="549"/>
      <c r="AL555" s="549"/>
      <c r="AM555" s="549"/>
      <c r="AN555" s="549"/>
      <c r="AO555" s="549"/>
      <c r="AP555" s="549"/>
      <c r="AQ555" s="549"/>
      <c r="AR555" s="549"/>
      <c r="AS555" s="549"/>
      <c r="AT555" s="549"/>
      <c r="AU555" s="549"/>
      <c r="AV555" s="549"/>
      <c r="AW555" s="549"/>
      <c r="AX555" s="549"/>
      <c r="AY555" s="549"/>
      <c r="AZ555" s="549"/>
      <c r="BA555" s="549"/>
      <c r="BB555" s="549"/>
      <c r="BC555" s="549"/>
      <c r="BD555" s="549"/>
      <c r="BE555" s="549"/>
      <c r="BF555" s="549"/>
      <c r="BG555" s="549"/>
      <c r="BH555" s="549"/>
      <c r="BI555" s="549"/>
    </row>
    <row r="556" spans="16:61" s="254" customFormat="1" ht="9.9">
      <c r="P556" s="549"/>
      <c r="Q556" s="549"/>
      <c r="R556" s="549"/>
      <c r="S556" s="549"/>
      <c r="T556" s="549"/>
      <c r="U556" s="549"/>
      <c r="V556" s="549"/>
      <c r="W556" s="549"/>
      <c r="X556" s="549"/>
      <c r="Y556" s="549"/>
      <c r="Z556" s="549"/>
      <c r="AA556" s="549"/>
      <c r="AB556" s="549"/>
      <c r="AC556" s="549"/>
      <c r="AD556" s="549"/>
      <c r="AE556" s="549"/>
      <c r="AF556" s="549"/>
      <c r="AG556" s="549"/>
      <c r="AH556" s="549"/>
      <c r="AI556" s="549"/>
      <c r="AJ556" s="549"/>
      <c r="AK556" s="549"/>
      <c r="AL556" s="549"/>
      <c r="AM556" s="549"/>
      <c r="AN556" s="549"/>
      <c r="AO556" s="549"/>
      <c r="AP556" s="549"/>
      <c r="AQ556" s="549"/>
      <c r="AR556" s="549"/>
      <c r="AS556" s="549"/>
      <c r="AT556" s="549"/>
      <c r="AU556" s="549"/>
      <c r="AV556" s="549"/>
      <c r="AW556" s="549"/>
      <c r="AX556" s="549"/>
      <c r="AY556" s="549"/>
      <c r="AZ556" s="549"/>
      <c r="BA556" s="549"/>
      <c r="BB556" s="549"/>
      <c r="BC556" s="549"/>
      <c r="BD556" s="549"/>
      <c r="BE556" s="549"/>
      <c r="BF556" s="549"/>
      <c r="BG556" s="549"/>
      <c r="BH556" s="549"/>
      <c r="BI556" s="549"/>
    </row>
    <row r="557" spans="16:61" s="254" customFormat="1" ht="9.9">
      <c r="P557" s="549"/>
      <c r="Q557" s="549"/>
      <c r="R557" s="549"/>
      <c r="S557" s="549"/>
      <c r="T557" s="549"/>
      <c r="U557" s="549"/>
      <c r="V557" s="549"/>
      <c r="W557" s="549"/>
      <c r="X557" s="549"/>
      <c r="Y557" s="549"/>
      <c r="Z557" s="549"/>
      <c r="AA557" s="549"/>
      <c r="AB557" s="549"/>
      <c r="AC557" s="549"/>
      <c r="AD557" s="549"/>
      <c r="AE557" s="549"/>
      <c r="AF557" s="549"/>
      <c r="AG557" s="549"/>
      <c r="AH557" s="549"/>
      <c r="AI557" s="549"/>
      <c r="AJ557" s="549"/>
      <c r="AK557" s="549"/>
      <c r="AL557" s="549"/>
      <c r="AM557" s="549"/>
      <c r="AN557" s="549"/>
      <c r="AO557" s="549"/>
      <c r="AP557" s="549"/>
      <c r="AQ557" s="549"/>
      <c r="AR557" s="549"/>
      <c r="AS557" s="549"/>
      <c r="AT557" s="549"/>
      <c r="AU557" s="549"/>
      <c r="AV557" s="549"/>
      <c r="AW557" s="549"/>
      <c r="AX557" s="549"/>
      <c r="AY557" s="549"/>
      <c r="AZ557" s="549"/>
      <c r="BA557" s="549"/>
      <c r="BB557" s="549"/>
      <c r="BC557" s="549"/>
      <c r="BD557" s="549"/>
      <c r="BE557" s="549"/>
      <c r="BF557" s="549"/>
      <c r="BG557" s="549"/>
      <c r="BH557" s="549"/>
      <c r="BI557" s="549"/>
    </row>
    <row r="558" spans="16:61" s="254" customFormat="1" ht="9.9">
      <c r="P558" s="549"/>
      <c r="Q558" s="549"/>
      <c r="R558" s="549"/>
      <c r="S558" s="549"/>
      <c r="T558" s="549"/>
      <c r="U558" s="549"/>
      <c r="V558" s="549"/>
      <c r="W558" s="549"/>
      <c r="X558" s="549"/>
      <c r="Y558" s="549"/>
      <c r="Z558" s="549"/>
      <c r="AA558" s="549"/>
      <c r="AB558" s="549"/>
      <c r="AC558" s="549"/>
      <c r="AD558" s="549"/>
      <c r="AE558" s="549"/>
      <c r="AF558" s="549"/>
      <c r="AG558" s="549"/>
      <c r="AH558" s="549"/>
      <c r="AI558" s="549"/>
      <c r="AJ558" s="549"/>
      <c r="AK558" s="549"/>
      <c r="AL558" s="549"/>
      <c r="AM558" s="549"/>
      <c r="AN558" s="549"/>
      <c r="AO558" s="549"/>
      <c r="AP558" s="549"/>
      <c r="AQ558" s="549"/>
      <c r="AR558" s="549"/>
      <c r="AS558" s="549"/>
      <c r="AT558" s="549"/>
      <c r="AU558" s="549"/>
      <c r="AV558" s="549"/>
      <c r="AW558" s="549"/>
      <c r="AX558" s="549"/>
      <c r="AY558" s="549"/>
      <c r="AZ558" s="549"/>
      <c r="BA558" s="549"/>
      <c r="BB558" s="549"/>
      <c r="BC558" s="549"/>
      <c r="BD558" s="549"/>
      <c r="BE558" s="549"/>
      <c r="BF558" s="549"/>
      <c r="BG558" s="549"/>
      <c r="BH558" s="549"/>
      <c r="BI558" s="549"/>
    </row>
    <row r="559" spans="16:61" s="254" customFormat="1" ht="9.9">
      <c r="P559" s="549"/>
      <c r="Q559" s="549"/>
      <c r="R559" s="549"/>
      <c r="S559" s="549"/>
      <c r="T559" s="549"/>
      <c r="U559" s="549"/>
      <c r="V559" s="549"/>
      <c r="W559" s="549"/>
      <c r="X559" s="549"/>
      <c r="Y559" s="549"/>
      <c r="Z559" s="549"/>
      <c r="AA559" s="549"/>
      <c r="AB559" s="549"/>
      <c r="AC559" s="549"/>
      <c r="AD559" s="549"/>
      <c r="AE559" s="549"/>
      <c r="AF559" s="549"/>
      <c r="AG559" s="549"/>
      <c r="AH559" s="549"/>
      <c r="AI559" s="549"/>
      <c r="AJ559" s="549"/>
      <c r="AK559" s="549"/>
      <c r="AL559" s="549"/>
      <c r="AM559" s="549"/>
      <c r="AN559" s="549"/>
      <c r="AO559" s="549"/>
      <c r="AP559" s="549"/>
      <c r="AQ559" s="549"/>
      <c r="AR559" s="549"/>
      <c r="AS559" s="549"/>
      <c r="AT559" s="549"/>
      <c r="AU559" s="549"/>
      <c r="AV559" s="549"/>
      <c r="AW559" s="549"/>
      <c r="AX559" s="549"/>
      <c r="AY559" s="549"/>
      <c r="AZ559" s="549"/>
      <c r="BA559" s="549"/>
      <c r="BB559" s="549"/>
      <c r="BC559" s="549"/>
      <c r="BD559" s="549"/>
      <c r="BE559" s="549"/>
      <c r="BF559" s="549"/>
      <c r="BG559" s="549"/>
      <c r="BH559" s="549"/>
      <c r="BI559" s="549"/>
    </row>
    <row r="560" spans="16:61" s="254" customFormat="1" ht="9.9">
      <c r="P560" s="549"/>
      <c r="Q560" s="549"/>
      <c r="R560" s="549"/>
      <c r="S560" s="549"/>
      <c r="T560" s="549"/>
      <c r="U560" s="549"/>
      <c r="V560" s="549"/>
      <c r="W560" s="549"/>
      <c r="X560" s="549"/>
      <c r="Y560" s="549"/>
      <c r="Z560" s="549"/>
      <c r="AA560" s="549"/>
      <c r="AB560" s="549"/>
      <c r="AC560" s="549"/>
      <c r="AD560" s="549"/>
      <c r="AE560" s="549"/>
      <c r="AF560" s="549"/>
      <c r="AG560" s="549"/>
      <c r="AH560" s="549"/>
      <c r="AI560" s="549"/>
      <c r="AJ560" s="549"/>
      <c r="AK560" s="549"/>
      <c r="AL560" s="549"/>
      <c r="AM560" s="549"/>
      <c r="AN560" s="549"/>
      <c r="AO560" s="549"/>
      <c r="AP560" s="549"/>
      <c r="AQ560" s="549"/>
      <c r="AR560" s="549"/>
      <c r="AS560" s="549"/>
      <c r="AT560" s="549"/>
      <c r="AU560" s="549"/>
      <c r="AV560" s="549"/>
      <c r="AW560" s="549"/>
      <c r="AX560" s="549"/>
      <c r="AY560" s="549"/>
      <c r="AZ560" s="549"/>
      <c r="BA560" s="549"/>
      <c r="BB560" s="549"/>
      <c r="BC560" s="549"/>
      <c r="BD560" s="549"/>
      <c r="BE560" s="549"/>
      <c r="BF560" s="549"/>
      <c r="BG560" s="549"/>
      <c r="BH560" s="549"/>
      <c r="BI560" s="549"/>
    </row>
    <row r="561" spans="16:61" s="254" customFormat="1" ht="9.9">
      <c r="P561" s="549"/>
      <c r="Q561" s="549"/>
      <c r="R561" s="549"/>
      <c r="S561" s="549"/>
      <c r="T561" s="549"/>
      <c r="U561" s="549"/>
      <c r="V561" s="549"/>
      <c r="W561" s="549"/>
      <c r="X561" s="549"/>
      <c r="Y561" s="549"/>
      <c r="Z561" s="549"/>
      <c r="AA561" s="549"/>
      <c r="AB561" s="549"/>
      <c r="AC561" s="549"/>
      <c r="AD561" s="549"/>
      <c r="AE561" s="549"/>
      <c r="AF561" s="549"/>
      <c r="AG561" s="549"/>
      <c r="AH561" s="549"/>
      <c r="AI561" s="549"/>
      <c r="AJ561" s="549"/>
      <c r="AK561" s="549"/>
      <c r="AL561" s="549"/>
      <c r="AM561" s="549"/>
      <c r="AN561" s="549"/>
      <c r="AO561" s="549"/>
      <c r="AP561" s="549"/>
      <c r="AQ561" s="549"/>
      <c r="AR561" s="549"/>
      <c r="AS561" s="549"/>
      <c r="AT561" s="549"/>
      <c r="AU561" s="549"/>
      <c r="AV561" s="549"/>
      <c r="AW561" s="549"/>
      <c r="AX561" s="549"/>
      <c r="AY561" s="549"/>
      <c r="AZ561" s="549"/>
      <c r="BA561" s="549"/>
      <c r="BB561" s="549"/>
      <c r="BC561" s="549"/>
      <c r="BD561" s="549"/>
      <c r="BE561" s="549"/>
      <c r="BF561" s="549"/>
      <c r="BG561" s="549"/>
      <c r="BH561" s="549"/>
      <c r="BI561" s="549"/>
    </row>
    <row r="562" spans="16:61" s="254" customFormat="1" ht="9.9">
      <c r="P562" s="549"/>
      <c r="Q562" s="549"/>
      <c r="R562" s="549"/>
      <c r="S562" s="549"/>
      <c r="T562" s="549"/>
      <c r="U562" s="549"/>
      <c r="V562" s="549"/>
      <c r="W562" s="549"/>
      <c r="X562" s="549"/>
      <c r="Y562" s="549"/>
      <c r="Z562" s="549"/>
      <c r="AA562" s="549"/>
      <c r="AB562" s="549"/>
      <c r="AC562" s="549"/>
      <c r="AD562" s="549"/>
      <c r="AE562" s="549"/>
      <c r="AF562" s="549"/>
      <c r="AG562" s="549"/>
      <c r="AH562" s="549"/>
      <c r="AI562" s="549"/>
      <c r="AJ562" s="549"/>
      <c r="AK562" s="549"/>
      <c r="AL562" s="549"/>
      <c r="AM562" s="549"/>
      <c r="AN562" s="549"/>
      <c r="AO562" s="549"/>
      <c r="AP562" s="549"/>
      <c r="AQ562" s="549"/>
      <c r="AR562" s="549"/>
      <c r="AS562" s="549"/>
      <c r="AT562" s="549"/>
      <c r="AU562" s="549"/>
      <c r="AV562" s="549"/>
      <c r="AW562" s="549"/>
      <c r="AX562" s="549"/>
      <c r="AY562" s="549"/>
      <c r="AZ562" s="549"/>
      <c r="BA562" s="549"/>
      <c r="BB562" s="549"/>
      <c r="BC562" s="549"/>
      <c r="BD562" s="549"/>
      <c r="BE562" s="549"/>
      <c r="BF562" s="549"/>
      <c r="BG562" s="549"/>
      <c r="BH562" s="549"/>
      <c r="BI562" s="549"/>
    </row>
    <row r="563" spans="16:61" s="254" customFormat="1" ht="9.9">
      <c r="P563" s="549"/>
      <c r="Q563" s="549"/>
      <c r="R563" s="549"/>
      <c r="S563" s="549"/>
      <c r="T563" s="549"/>
      <c r="U563" s="549"/>
      <c r="V563" s="549"/>
      <c r="W563" s="549"/>
      <c r="X563" s="549"/>
      <c r="Y563" s="549"/>
      <c r="Z563" s="549"/>
      <c r="AA563" s="549"/>
      <c r="AB563" s="549"/>
      <c r="AC563" s="549"/>
      <c r="AD563" s="549"/>
      <c r="AE563" s="549"/>
      <c r="AF563" s="549"/>
      <c r="AG563" s="549"/>
      <c r="AH563" s="549"/>
      <c r="AI563" s="549"/>
      <c r="AJ563" s="549"/>
      <c r="AK563" s="549"/>
      <c r="AL563" s="549"/>
      <c r="AM563" s="549"/>
      <c r="AN563" s="549"/>
      <c r="AO563" s="549"/>
      <c r="AP563" s="549"/>
      <c r="AQ563" s="549"/>
      <c r="AR563" s="549"/>
      <c r="AS563" s="549"/>
      <c r="AT563" s="549"/>
      <c r="AU563" s="549"/>
      <c r="AV563" s="549"/>
      <c r="AW563" s="549"/>
      <c r="AX563" s="549"/>
      <c r="AY563" s="549"/>
      <c r="AZ563" s="549"/>
      <c r="BA563" s="549"/>
      <c r="BB563" s="549"/>
      <c r="BC563" s="549"/>
      <c r="BD563" s="549"/>
      <c r="BE563" s="549"/>
      <c r="BF563" s="549"/>
      <c r="BG563" s="549"/>
      <c r="BH563" s="549"/>
      <c r="BI563" s="549"/>
    </row>
    <row r="564" spans="16:61" s="254" customFormat="1" ht="9.9">
      <c r="P564" s="549"/>
      <c r="Q564" s="549"/>
      <c r="R564" s="549"/>
      <c r="S564" s="549"/>
      <c r="T564" s="549"/>
      <c r="U564" s="549"/>
      <c r="V564" s="549"/>
      <c r="W564" s="549"/>
      <c r="X564" s="549"/>
      <c r="Y564" s="549"/>
      <c r="Z564" s="549"/>
      <c r="AA564" s="549"/>
      <c r="AB564" s="549"/>
      <c r="AC564" s="549"/>
      <c r="AD564" s="549"/>
      <c r="AE564" s="549"/>
      <c r="AF564" s="549"/>
      <c r="AG564" s="549"/>
      <c r="AH564" s="549"/>
      <c r="AI564" s="549"/>
      <c r="AJ564" s="549"/>
      <c r="AK564" s="549"/>
      <c r="AL564" s="549"/>
      <c r="AM564" s="549"/>
      <c r="AN564" s="549"/>
      <c r="AO564" s="549"/>
      <c r="AP564" s="549"/>
      <c r="AQ564" s="549"/>
      <c r="AR564" s="549"/>
      <c r="AS564" s="549"/>
      <c r="AT564" s="549"/>
      <c r="AU564" s="549"/>
      <c r="AV564" s="549"/>
      <c r="AW564" s="549"/>
      <c r="AX564" s="549"/>
      <c r="AY564" s="549"/>
      <c r="AZ564" s="549"/>
      <c r="BA564" s="549"/>
      <c r="BB564" s="549"/>
      <c r="BC564" s="549"/>
      <c r="BD564" s="549"/>
      <c r="BE564" s="549"/>
      <c r="BF564" s="549"/>
      <c r="BG564" s="549"/>
      <c r="BH564" s="549"/>
      <c r="BI564" s="549"/>
    </row>
    <row r="565" spans="16:61" s="254" customFormat="1" ht="9.9">
      <c r="P565" s="549"/>
      <c r="Q565" s="549"/>
      <c r="R565" s="549"/>
      <c r="S565" s="549"/>
      <c r="T565" s="549"/>
      <c r="U565" s="549"/>
      <c r="V565" s="549"/>
      <c r="W565" s="549"/>
      <c r="X565" s="549"/>
      <c r="Y565" s="549"/>
      <c r="Z565" s="549"/>
      <c r="AA565" s="549"/>
      <c r="AB565" s="549"/>
      <c r="AC565" s="549"/>
      <c r="AD565" s="549"/>
      <c r="AE565" s="549"/>
      <c r="AF565" s="549"/>
      <c r="AG565" s="549"/>
      <c r="AH565" s="549"/>
      <c r="AI565" s="549"/>
      <c r="AJ565" s="549"/>
      <c r="AK565" s="549"/>
      <c r="AL565" s="549"/>
      <c r="AM565" s="549"/>
      <c r="AN565" s="549"/>
      <c r="AO565" s="549"/>
      <c r="AP565" s="549"/>
      <c r="AQ565" s="549"/>
      <c r="AR565" s="549"/>
      <c r="AS565" s="549"/>
      <c r="AT565" s="549"/>
      <c r="AU565" s="549"/>
      <c r="AV565" s="549"/>
      <c r="AW565" s="549"/>
      <c r="AX565" s="549"/>
      <c r="AY565" s="549"/>
      <c r="AZ565" s="549"/>
      <c r="BA565" s="549"/>
      <c r="BB565" s="549"/>
      <c r="BC565" s="549"/>
      <c r="BD565" s="549"/>
      <c r="BE565" s="549"/>
      <c r="BF565" s="549"/>
      <c r="BG565" s="549"/>
      <c r="BH565" s="549"/>
      <c r="BI565" s="549"/>
    </row>
    <row r="566" spans="16:61" s="254" customFormat="1" ht="9.9">
      <c r="P566" s="549"/>
      <c r="Q566" s="549"/>
      <c r="R566" s="549"/>
      <c r="S566" s="549"/>
      <c r="T566" s="549"/>
      <c r="U566" s="549"/>
      <c r="V566" s="549"/>
      <c r="W566" s="549"/>
      <c r="X566" s="549"/>
      <c r="Y566" s="549"/>
      <c r="Z566" s="549"/>
      <c r="AA566" s="549"/>
      <c r="AB566" s="549"/>
      <c r="AC566" s="549"/>
      <c r="AD566" s="549"/>
      <c r="AE566" s="549"/>
      <c r="AF566" s="549"/>
      <c r="AG566" s="549"/>
      <c r="AH566" s="549"/>
      <c r="AI566" s="549"/>
      <c r="AJ566" s="549"/>
      <c r="AK566" s="549"/>
      <c r="AL566" s="549"/>
      <c r="AM566" s="549"/>
      <c r="AN566" s="549"/>
      <c r="AO566" s="549"/>
      <c r="AP566" s="549"/>
      <c r="AQ566" s="549"/>
      <c r="AR566" s="549"/>
      <c r="AS566" s="549"/>
      <c r="AT566" s="549"/>
      <c r="AU566" s="549"/>
      <c r="AV566" s="549"/>
      <c r="AW566" s="549"/>
      <c r="AX566" s="549"/>
      <c r="AY566" s="549"/>
      <c r="AZ566" s="549"/>
      <c r="BA566" s="549"/>
      <c r="BB566" s="549"/>
      <c r="BC566" s="549"/>
      <c r="BD566" s="549"/>
      <c r="BE566" s="549"/>
      <c r="BF566" s="549"/>
      <c r="BG566" s="549"/>
      <c r="BH566" s="549"/>
      <c r="BI566" s="549"/>
    </row>
    <row r="567" spans="16:61" s="254" customFormat="1" ht="9.9">
      <c r="P567" s="549"/>
      <c r="Q567" s="549"/>
      <c r="R567" s="549"/>
      <c r="S567" s="549"/>
      <c r="T567" s="549"/>
      <c r="U567" s="549"/>
      <c r="V567" s="549"/>
      <c r="W567" s="549"/>
      <c r="X567" s="549"/>
      <c r="Y567" s="549"/>
      <c r="Z567" s="549"/>
      <c r="AA567" s="549"/>
      <c r="AB567" s="549"/>
      <c r="AC567" s="549"/>
      <c r="AD567" s="549"/>
      <c r="AE567" s="549"/>
      <c r="AF567" s="549"/>
      <c r="AG567" s="549"/>
      <c r="AH567" s="549"/>
      <c r="AI567" s="549"/>
      <c r="AJ567" s="549"/>
      <c r="AK567" s="549"/>
      <c r="AL567" s="549"/>
      <c r="AM567" s="549"/>
      <c r="AN567" s="549"/>
      <c r="AO567" s="549"/>
      <c r="AP567" s="549"/>
      <c r="AQ567" s="549"/>
      <c r="AR567" s="549"/>
      <c r="AS567" s="549"/>
      <c r="AT567" s="549"/>
      <c r="AU567" s="549"/>
      <c r="AV567" s="549"/>
      <c r="AW567" s="549"/>
      <c r="AX567" s="549"/>
      <c r="AY567" s="549"/>
      <c r="AZ567" s="549"/>
      <c r="BA567" s="549"/>
      <c r="BB567" s="549"/>
      <c r="BC567" s="549"/>
      <c r="BD567" s="549"/>
      <c r="BE567" s="549"/>
      <c r="BF567" s="549"/>
      <c r="BG567" s="549"/>
      <c r="BH567" s="549"/>
      <c r="BI567" s="549"/>
    </row>
    <row r="568" spans="16:61" s="254" customFormat="1" ht="9.9">
      <c r="P568" s="549"/>
      <c r="Q568" s="549"/>
      <c r="R568" s="549"/>
      <c r="S568" s="549"/>
      <c r="T568" s="549"/>
      <c r="U568" s="549"/>
      <c r="V568" s="549"/>
      <c r="W568" s="549"/>
      <c r="X568" s="549"/>
      <c r="Y568" s="549"/>
      <c r="Z568" s="549"/>
      <c r="AA568" s="549"/>
      <c r="AB568" s="549"/>
      <c r="AC568" s="549"/>
      <c r="AD568" s="549"/>
      <c r="AE568" s="549"/>
      <c r="AF568" s="549"/>
      <c r="AG568" s="549"/>
      <c r="AH568" s="549"/>
      <c r="AI568" s="549"/>
      <c r="AJ568" s="549"/>
      <c r="AK568" s="549"/>
      <c r="AL568" s="549"/>
      <c r="AM568" s="549"/>
      <c r="AN568" s="549"/>
      <c r="AO568" s="549"/>
      <c r="AP568" s="549"/>
      <c r="AQ568" s="549"/>
      <c r="AR568" s="549"/>
      <c r="AS568" s="549"/>
      <c r="AT568" s="549"/>
      <c r="AU568" s="549"/>
      <c r="AV568" s="549"/>
      <c r="AW568" s="549"/>
      <c r="AX568" s="549"/>
      <c r="AY568" s="549"/>
      <c r="AZ568" s="549"/>
      <c r="BA568" s="549"/>
      <c r="BB568" s="549"/>
      <c r="BC568" s="549"/>
      <c r="BD568" s="549"/>
      <c r="BE568" s="549"/>
      <c r="BF568" s="549"/>
      <c r="BG568" s="549"/>
      <c r="BH568" s="549"/>
      <c r="BI568" s="549"/>
    </row>
    <row r="569" spans="16:61" s="254" customFormat="1" ht="9.9">
      <c r="P569" s="549"/>
      <c r="Q569" s="549"/>
      <c r="R569" s="549"/>
      <c r="S569" s="549"/>
      <c r="T569" s="549"/>
      <c r="U569" s="549"/>
      <c r="V569" s="549"/>
      <c r="W569" s="549"/>
      <c r="X569" s="549"/>
      <c r="Y569" s="549"/>
      <c r="Z569" s="549"/>
      <c r="AA569" s="549"/>
      <c r="AB569" s="549"/>
      <c r="AC569" s="549"/>
      <c r="AD569" s="549"/>
      <c r="AE569" s="549"/>
      <c r="AF569" s="549"/>
      <c r="AG569" s="549"/>
      <c r="AH569" s="549"/>
      <c r="AI569" s="549"/>
      <c r="AJ569" s="549"/>
      <c r="AK569" s="549"/>
      <c r="AL569" s="549"/>
      <c r="AM569" s="549"/>
      <c r="AN569" s="549"/>
      <c r="AO569" s="549"/>
      <c r="AP569" s="549"/>
      <c r="AQ569" s="549"/>
      <c r="AR569" s="549"/>
      <c r="AS569" s="549"/>
      <c r="AT569" s="549"/>
      <c r="AU569" s="549"/>
      <c r="AV569" s="549"/>
      <c r="AW569" s="549"/>
      <c r="AX569" s="549"/>
      <c r="AY569" s="549"/>
      <c r="AZ569" s="549"/>
      <c r="BA569" s="549"/>
      <c r="BB569" s="549"/>
      <c r="BC569" s="549"/>
      <c r="BD569" s="549"/>
      <c r="BE569" s="549"/>
      <c r="BF569" s="549"/>
      <c r="BG569" s="549"/>
      <c r="BH569" s="549"/>
      <c r="BI569" s="549"/>
    </row>
    <row r="570" spans="16:61" s="254" customFormat="1" ht="9.9">
      <c r="P570" s="549"/>
      <c r="Q570" s="549"/>
      <c r="R570" s="549"/>
      <c r="S570" s="549"/>
      <c r="T570" s="549"/>
      <c r="U570" s="549"/>
      <c r="V570" s="549"/>
      <c r="W570" s="549"/>
      <c r="X570" s="549"/>
      <c r="Y570" s="549"/>
      <c r="Z570" s="549"/>
      <c r="AA570" s="549"/>
      <c r="AB570" s="549"/>
      <c r="AC570" s="549"/>
      <c r="AD570" s="549"/>
      <c r="AE570" s="549"/>
      <c r="AF570" s="549"/>
      <c r="AG570" s="549"/>
      <c r="AH570" s="549"/>
      <c r="AI570" s="549"/>
      <c r="AJ570" s="549"/>
      <c r="AK570" s="549"/>
      <c r="AL570" s="549"/>
      <c r="AM570" s="549"/>
      <c r="AN570" s="549"/>
      <c r="AO570" s="549"/>
      <c r="AP570" s="549"/>
      <c r="AQ570" s="549"/>
      <c r="AR570" s="549"/>
      <c r="AS570" s="549"/>
      <c r="AT570" s="549"/>
      <c r="AU570" s="549"/>
      <c r="AV570" s="549"/>
      <c r="AW570" s="549"/>
      <c r="AX570" s="549"/>
      <c r="AY570" s="549"/>
      <c r="AZ570" s="549"/>
      <c r="BA570" s="549"/>
      <c r="BB570" s="549"/>
      <c r="BC570" s="549"/>
      <c r="BD570" s="549"/>
      <c r="BE570" s="549"/>
      <c r="BF570" s="549"/>
      <c r="BG570" s="549"/>
      <c r="BH570" s="549"/>
      <c r="BI570" s="549"/>
    </row>
    <row r="571" spans="16:61" s="254" customFormat="1" ht="9.9">
      <c r="P571" s="549"/>
      <c r="Q571" s="549"/>
      <c r="R571" s="549"/>
      <c r="S571" s="549"/>
      <c r="T571" s="549"/>
      <c r="U571" s="549"/>
      <c r="V571" s="549"/>
      <c r="W571" s="549"/>
      <c r="X571" s="549"/>
      <c r="Y571" s="549"/>
      <c r="Z571" s="549"/>
      <c r="AA571" s="549"/>
      <c r="AB571" s="549"/>
      <c r="AC571" s="549"/>
      <c r="AD571" s="549"/>
      <c r="AE571" s="549"/>
      <c r="AF571" s="549"/>
      <c r="AG571" s="549"/>
      <c r="AH571" s="549"/>
      <c r="AI571" s="549"/>
      <c r="AJ571" s="549"/>
      <c r="AK571" s="549"/>
      <c r="AL571" s="549"/>
      <c r="AM571" s="549"/>
      <c r="AN571" s="549"/>
      <c r="AO571" s="549"/>
      <c r="AP571" s="549"/>
      <c r="AQ571" s="549"/>
      <c r="AR571" s="549"/>
      <c r="AS571" s="549"/>
      <c r="AT571" s="549"/>
      <c r="AU571" s="549"/>
      <c r="AV571" s="549"/>
      <c r="AW571" s="549"/>
      <c r="AX571" s="549"/>
      <c r="AY571" s="549"/>
      <c r="AZ571" s="549"/>
      <c r="BA571" s="549"/>
      <c r="BB571" s="549"/>
      <c r="BC571" s="549"/>
      <c r="BD571" s="549"/>
      <c r="BE571" s="549"/>
      <c r="BF571" s="549"/>
      <c r="BG571" s="549"/>
      <c r="BH571" s="549"/>
      <c r="BI571" s="549"/>
    </row>
    <row r="572" spans="16:61" s="254" customFormat="1" ht="9.9">
      <c r="P572" s="549"/>
      <c r="Q572" s="549"/>
      <c r="R572" s="549"/>
      <c r="S572" s="549"/>
      <c r="T572" s="549"/>
      <c r="U572" s="549"/>
      <c r="V572" s="549"/>
      <c r="W572" s="549"/>
      <c r="X572" s="549"/>
      <c r="Y572" s="549"/>
      <c r="Z572" s="549"/>
      <c r="AA572" s="549"/>
      <c r="AB572" s="549"/>
      <c r="AC572" s="549"/>
      <c r="AD572" s="549"/>
      <c r="AE572" s="549"/>
      <c r="AF572" s="549"/>
      <c r="AG572" s="549"/>
      <c r="AH572" s="549"/>
      <c r="AI572" s="549"/>
      <c r="AJ572" s="549"/>
      <c r="AK572" s="549"/>
      <c r="AL572" s="549"/>
      <c r="AM572" s="549"/>
      <c r="AN572" s="549"/>
      <c r="AO572" s="549"/>
      <c r="AP572" s="549"/>
      <c r="AQ572" s="549"/>
      <c r="AR572" s="549"/>
      <c r="AS572" s="549"/>
      <c r="AT572" s="549"/>
      <c r="AU572" s="549"/>
      <c r="AV572" s="549"/>
      <c r="AW572" s="549"/>
      <c r="AX572" s="549"/>
      <c r="AY572" s="549"/>
      <c r="AZ572" s="549"/>
      <c r="BA572" s="549"/>
      <c r="BB572" s="549"/>
      <c r="BC572" s="549"/>
      <c r="BD572" s="549"/>
      <c r="BE572" s="549"/>
      <c r="BF572" s="549"/>
      <c r="BG572" s="549"/>
      <c r="BH572" s="549"/>
      <c r="BI572" s="549"/>
    </row>
    <row r="573" spans="16:61" s="254" customFormat="1" ht="9.9">
      <c r="P573" s="549"/>
      <c r="Q573" s="549"/>
      <c r="R573" s="549"/>
      <c r="S573" s="549"/>
      <c r="T573" s="549"/>
      <c r="U573" s="549"/>
      <c r="V573" s="549"/>
      <c r="W573" s="549"/>
      <c r="X573" s="549"/>
      <c r="Y573" s="549"/>
      <c r="Z573" s="549"/>
      <c r="AA573" s="549"/>
      <c r="AB573" s="549"/>
      <c r="AC573" s="549"/>
      <c r="AD573" s="549"/>
      <c r="AE573" s="549"/>
      <c r="AF573" s="549"/>
      <c r="AG573" s="549"/>
      <c r="AH573" s="549"/>
      <c r="AI573" s="549"/>
      <c r="AJ573" s="549"/>
      <c r="AK573" s="549"/>
      <c r="AL573" s="549"/>
      <c r="AM573" s="549"/>
      <c r="AN573" s="549"/>
      <c r="AO573" s="549"/>
      <c r="AP573" s="549"/>
      <c r="AQ573" s="549"/>
      <c r="AR573" s="549"/>
      <c r="AS573" s="549"/>
      <c r="AT573" s="549"/>
      <c r="AU573" s="549"/>
      <c r="AV573" s="549"/>
      <c r="AW573" s="549"/>
      <c r="AX573" s="549"/>
      <c r="AY573" s="549"/>
      <c r="AZ573" s="549"/>
      <c r="BA573" s="549"/>
      <c r="BB573" s="549"/>
      <c r="BC573" s="549"/>
      <c r="BD573" s="549"/>
      <c r="BE573" s="549"/>
      <c r="BF573" s="549"/>
      <c r="BG573" s="549"/>
      <c r="BH573" s="549"/>
      <c r="BI573" s="549"/>
    </row>
    <row r="574" spans="16:61" s="254" customFormat="1" ht="9.9">
      <c r="P574" s="549"/>
      <c r="Q574" s="549"/>
      <c r="R574" s="549"/>
      <c r="S574" s="549"/>
      <c r="T574" s="549"/>
      <c r="U574" s="549"/>
      <c r="V574" s="549"/>
      <c r="W574" s="549"/>
      <c r="X574" s="549"/>
      <c r="Y574" s="549"/>
      <c r="Z574" s="549"/>
      <c r="AA574" s="549"/>
      <c r="AB574" s="549"/>
      <c r="AC574" s="549"/>
      <c r="AD574" s="549"/>
      <c r="AE574" s="549"/>
      <c r="AF574" s="549"/>
      <c r="AG574" s="549"/>
      <c r="AH574" s="549"/>
      <c r="AI574" s="549"/>
      <c r="AJ574" s="549"/>
      <c r="AK574" s="549"/>
      <c r="AL574" s="549"/>
      <c r="AM574" s="549"/>
      <c r="AN574" s="549"/>
      <c r="AO574" s="549"/>
      <c r="AP574" s="549"/>
      <c r="AQ574" s="549"/>
      <c r="AR574" s="549"/>
      <c r="AS574" s="549"/>
      <c r="AT574" s="549"/>
      <c r="AU574" s="549"/>
      <c r="AV574" s="549"/>
      <c r="AW574" s="549"/>
      <c r="AX574" s="549"/>
      <c r="AY574" s="549"/>
      <c r="AZ574" s="549"/>
      <c r="BA574" s="549"/>
      <c r="BB574" s="549"/>
      <c r="BC574" s="549"/>
      <c r="BD574" s="549"/>
      <c r="BE574" s="549"/>
      <c r="BF574" s="549"/>
      <c r="BG574" s="549"/>
      <c r="BH574" s="549"/>
      <c r="BI574" s="549"/>
    </row>
    <row r="575" spans="16:61" s="254" customFormat="1" ht="9.9">
      <c r="P575" s="549"/>
      <c r="Q575" s="549"/>
      <c r="R575" s="549"/>
      <c r="S575" s="549"/>
      <c r="T575" s="549"/>
      <c r="U575" s="549"/>
      <c r="V575" s="549"/>
      <c r="W575" s="549"/>
      <c r="X575" s="549"/>
      <c r="Y575" s="549"/>
      <c r="Z575" s="549"/>
      <c r="AA575" s="549"/>
      <c r="AB575" s="549"/>
      <c r="AC575" s="549"/>
      <c r="AD575" s="549"/>
      <c r="AE575" s="549"/>
      <c r="AF575" s="549"/>
      <c r="AG575" s="549"/>
      <c r="AH575" s="549"/>
      <c r="AI575" s="549"/>
      <c r="AJ575" s="549"/>
      <c r="AK575" s="549"/>
      <c r="AL575" s="549"/>
      <c r="AM575" s="549"/>
      <c r="AN575" s="549"/>
      <c r="AO575" s="549"/>
      <c r="AP575" s="549"/>
      <c r="AQ575" s="549"/>
      <c r="AR575" s="549"/>
      <c r="AS575" s="549"/>
      <c r="AT575" s="549"/>
      <c r="AU575" s="549"/>
      <c r="AV575" s="549"/>
      <c r="AW575" s="549"/>
      <c r="AX575" s="549"/>
      <c r="AY575" s="549"/>
      <c r="AZ575" s="549"/>
      <c r="BA575" s="549"/>
      <c r="BB575" s="549"/>
      <c r="BC575" s="549"/>
      <c r="BD575" s="549"/>
      <c r="BE575" s="549"/>
      <c r="BF575" s="549"/>
      <c r="BG575" s="549"/>
      <c r="BH575" s="549"/>
      <c r="BI575" s="549"/>
    </row>
    <row r="576" spans="16:61" s="254" customFormat="1" ht="9.9">
      <c r="P576" s="549"/>
      <c r="Q576" s="549"/>
      <c r="R576" s="549"/>
      <c r="S576" s="549"/>
      <c r="T576" s="549"/>
      <c r="U576" s="549"/>
      <c r="V576" s="549"/>
      <c r="W576" s="549"/>
      <c r="X576" s="549"/>
      <c r="Y576" s="549"/>
      <c r="Z576" s="549"/>
      <c r="AA576" s="549"/>
      <c r="AB576" s="549"/>
      <c r="AC576" s="549"/>
      <c r="AD576" s="549"/>
      <c r="AE576" s="549"/>
      <c r="AF576" s="549"/>
      <c r="AG576" s="549"/>
      <c r="AH576" s="549"/>
      <c r="AI576" s="549"/>
      <c r="AJ576" s="549"/>
      <c r="AK576" s="549"/>
      <c r="AL576" s="549"/>
      <c r="AM576" s="549"/>
      <c r="AN576" s="549"/>
      <c r="AO576" s="549"/>
      <c r="AP576" s="549"/>
      <c r="AQ576" s="549"/>
      <c r="AR576" s="549"/>
      <c r="AS576" s="549"/>
      <c r="AT576" s="549"/>
      <c r="AU576" s="549"/>
      <c r="AV576" s="549"/>
      <c r="AW576" s="549"/>
      <c r="AX576" s="549"/>
      <c r="AY576" s="549"/>
      <c r="AZ576" s="549"/>
      <c r="BA576" s="549"/>
      <c r="BB576" s="549"/>
      <c r="BC576" s="549"/>
      <c r="BD576" s="549"/>
      <c r="BE576" s="549"/>
      <c r="BF576" s="549"/>
      <c r="BG576" s="549"/>
      <c r="BH576" s="549"/>
      <c r="BI576" s="549"/>
    </row>
    <row r="577" spans="16:61" s="254" customFormat="1" ht="9.9">
      <c r="P577" s="549"/>
      <c r="Q577" s="549"/>
      <c r="R577" s="549"/>
      <c r="S577" s="549"/>
      <c r="T577" s="549"/>
      <c r="U577" s="549"/>
      <c r="V577" s="549"/>
      <c r="W577" s="549"/>
      <c r="X577" s="549"/>
      <c r="Y577" s="549"/>
      <c r="Z577" s="549"/>
      <c r="AA577" s="549"/>
      <c r="AB577" s="549"/>
      <c r="AC577" s="549"/>
      <c r="AD577" s="549"/>
      <c r="AE577" s="549"/>
      <c r="AF577" s="549"/>
      <c r="AG577" s="549"/>
      <c r="AH577" s="549"/>
      <c r="AI577" s="549"/>
      <c r="AJ577" s="549"/>
      <c r="AK577" s="549"/>
      <c r="AL577" s="549"/>
      <c r="AM577" s="549"/>
      <c r="AN577" s="549"/>
      <c r="AO577" s="549"/>
      <c r="AP577" s="549"/>
      <c r="AQ577" s="549"/>
      <c r="AR577" s="549"/>
      <c r="AS577" s="549"/>
      <c r="AT577" s="549"/>
      <c r="AU577" s="549"/>
      <c r="AV577" s="549"/>
      <c r="AW577" s="549"/>
      <c r="AX577" s="549"/>
      <c r="AY577" s="549"/>
      <c r="AZ577" s="549"/>
      <c r="BA577" s="549"/>
      <c r="BB577" s="549"/>
      <c r="BC577" s="549"/>
      <c r="BD577" s="549"/>
      <c r="BE577" s="549"/>
      <c r="BF577" s="549"/>
      <c r="BG577" s="549"/>
      <c r="BH577" s="549"/>
      <c r="BI577" s="549"/>
    </row>
    <row r="578" spans="16:61" s="254" customFormat="1" ht="9.9">
      <c r="P578" s="549"/>
      <c r="Q578" s="549"/>
      <c r="R578" s="549"/>
      <c r="S578" s="549"/>
      <c r="T578" s="549"/>
      <c r="U578" s="549"/>
      <c r="V578" s="549"/>
      <c r="W578" s="549"/>
      <c r="X578" s="549"/>
      <c r="Y578" s="549"/>
      <c r="Z578" s="549"/>
      <c r="AA578" s="549"/>
      <c r="AB578" s="549"/>
      <c r="AC578" s="549"/>
      <c r="AD578" s="549"/>
      <c r="AE578" s="549"/>
      <c r="AF578" s="549"/>
      <c r="AG578" s="549"/>
      <c r="AH578" s="549"/>
      <c r="AI578" s="549"/>
      <c r="AJ578" s="549"/>
      <c r="AK578" s="549"/>
      <c r="AL578" s="549"/>
      <c r="AM578" s="549"/>
      <c r="AN578" s="549"/>
      <c r="AO578" s="549"/>
      <c r="AP578" s="549"/>
      <c r="AQ578" s="549"/>
      <c r="AR578" s="549"/>
      <c r="AS578" s="549"/>
      <c r="AT578" s="549"/>
      <c r="AU578" s="549"/>
      <c r="AV578" s="549"/>
      <c r="AW578" s="549"/>
      <c r="AX578" s="549"/>
      <c r="AY578" s="549"/>
      <c r="AZ578" s="549"/>
      <c r="BA578" s="549"/>
      <c r="BB578" s="549"/>
      <c r="BC578" s="549"/>
      <c r="BD578" s="549"/>
      <c r="BE578" s="549"/>
      <c r="BF578" s="549"/>
      <c r="BG578" s="549"/>
      <c r="BH578" s="549"/>
      <c r="BI578" s="549"/>
    </row>
    <row r="579" spans="16:61" s="254" customFormat="1" ht="9.9">
      <c r="P579" s="549"/>
      <c r="Q579" s="549"/>
      <c r="R579" s="549"/>
      <c r="S579" s="549"/>
      <c r="T579" s="549"/>
      <c r="U579" s="549"/>
      <c r="V579" s="549"/>
      <c r="W579" s="549"/>
      <c r="X579" s="549"/>
      <c r="Y579" s="549"/>
      <c r="Z579" s="549"/>
      <c r="AA579" s="549"/>
      <c r="AB579" s="549"/>
      <c r="AC579" s="549"/>
      <c r="AD579" s="549"/>
      <c r="AE579" s="549"/>
      <c r="AF579" s="549"/>
      <c r="AG579" s="549"/>
      <c r="AH579" s="549"/>
      <c r="AI579" s="549"/>
      <c r="AJ579" s="549"/>
      <c r="AK579" s="549"/>
      <c r="AL579" s="549"/>
      <c r="AM579" s="549"/>
      <c r="AN579" s="549"/>
      <c r="AO579" s="549"/>
      <c r="AP579" s="549"/>
      <c r="AQ579" s="549"/>
      <c r="AR579" s="549"/>
      <c r="AS579" s="549"/>
      <c r="AT579" s="549"/>
      <c r="AU579" s="549"/>
      <c r="AV579" s="549"/>
      <c r="AW579" s="549"/>
      <c r="AX579" s="549"/>
      <c r="AY579" s="549"/>
      <c r="AZ579" s="549"/>
      <c r="BA579" s="549"/>
      <c r="BB579" s="549"/>
      <c r="BC579" s="549"/>
      <c r="BD579" s="549"/>
      <c r="BE579" s="549"/>
      <c r="BF579" s="549"/>
      <c r="BG579" s="549"/>
      <c r="BH579" s="549"/>
      <c r="BI579" s="549"/>
    </row>
    <row r="580" spans="16:61" s="254" customFormat="1" ht="9.9">
      <c r="P580" s="549"/>
      <c r="Q580" s="549"/>
      <c r="R580" s="549"/>
      <c r="S580" s="549"/>
      <c r="T580" s="549"/>
      <c r="U580" s="549"/>
      <c r="V580" s="549"/>
      <c r="W580" s="549"/>
      <c r="X580" s="549"/>
      <c r="Y580" s="549"/>
      <c r="Z580" s="549"/>
      <c r="AA580" s="549"/>
      <c r="AB580" s="549"/>
      <c r="AC580" s="549"/>
      <c r="AD580" s="549"/>
      <c r="AE580" s="549"/>
      <c r="AF580" s="549"/>
      <c r="AG580" s="549"/>
      <c r="AH580" s="549"/>
      <c r="AI580" s="549"/>
      <c r="AJ580" s="549"/>
      <c r="AK580" s="549"/>
      <c r="AL580" s="549"/>
      <c r="AM580" s="549"/>
      <c r="AN580" s="549"/>
      <c r="AO580" s="549"/>
      <c r="AP580" s="549"/>
      <c r="AQ580" s="549"/>
      <c r="AR580" s="549"/>
      <c r="AS580" s="549"/>
      <c r="AT580" s="549"/>
      <c r="AU580" s="549"/>
      <c r="AV580" s="549"/>
      <c r="AW580" s="549"/>
      <c r="AX580" s="549"/>
      <c r="AY580" s="549"/>
      <c r="AZ580" s="549"/>
      <c r="BA580" s="549"/>
      <c r="BB580" s="549"/>
      <c r="BC580" s="549"/>
      <c r="BD580" s="549"/>
      <c r="BE580" s="549"/>
      <c r="BF580" s="549"/>
      <c r="BG580" s="549"/>
      <c r="BH580" s="549"/>
      <c r="BI580" s="549"/>
    </row>
    <row r="581" spans="16:61" s="254" customFormat="1" ht="9.9">
      <c r="P581" s="549"/>
      <c r="Q581" s="549"/>
      <c r="R581" s="549"/>
      <c r="S581" s="549"/>
      <c r="T581" s="549"/>
      <c r="U581" s="549"/>
      <c r="V581" s="549"/>
      <c r="W581" s="549"/>
      <c r="X581" s="549"/>
      <c r="Y581" s="549"/>
      <c r="Z581" s="549"/>
      <c r="AA581" s="549"/>
      <c r="AB581" s="549"/>
      <c r="AC581" s="549"/>
      <c r="AD581" s="549"/>
      <c r="AE581" s="549"/>
      <c r="AF581" s="549"/>
      <c r="AG581" s="549"/>
      <c r="AH581" s="549"/>
      <c r="AI581" s="549"/>
      <c r="AJ581" s="549"/>
      <c r="AK581" s="549"/>
      <c r="AL581" s="549"/>
      <c r="AM581" s="549"/>
      <c r="AN581" s="549"/>
      <c r="AO581" s="549"/>
      <c r="AP581" s="549"/>
      <c r="AQ581" s="549"/>
      <c r="AR581" s="549"/>
      <c r="AS581" s="549"/>
      <c r="AT581" s="549"/>
      <c r="AU581" s="549"/>
      <c r="AV581" s="549"/>
      <c r="AW581" s="549"/>
      <c r="AX581" s="549"/>
      <c r="AY581" s="549"/>
      <c r="AZ581" s="549"/>
      <c r="BA581" s="549"/>
      <c r="BB581" s="549"/>
      <c r="BC581" s="549"/>
      <c r="BD581" s="549"/>
      <c r="BE581" s="549"/>
      <c r="BF581" s="549"/>
      <c r="BG581" s="549"/>
      <c r="BH581" s="549"/>
      <c r="BI581" s="549"/>
    </row>
    <row r="582" spans="16:61" s="254" customFormat="1" ht="9.9">
      <c r="P582" s="549"/>
      <c r="Q582" s="549"/>
      <c r="R582" s="549"/>
      <c r="S582" s="549"/>
      <c r="T582" s="549"/>
      <c r="U582" s="549"/>
      <c r="V582" s="549"/>
      <c r="W582" s="549"/>
      <c r="X582" s="549"/>
      <c r="Y582" s="549"/>
      <c r="Z582" s="549"/>
      <c r="AA582" s="549"/>
      <c r="AB582" s="549"/>
      <c r="AC582" s="549"/>
      <c r="AD582" s="549"/>
      <c r="AE582" s="549"/>
      <c r="AF582" s="549"/>
      <c r="AG582" s="549"/>
      <c r="AH582" s="549"/>
      <c r="AI582" s="549"/>
      <c r="AJ582" s="549"/>
      <c r="AK582" s="549"/>
      <c r="AL582" s="549"/>
      <c r="AM582" s="549"/>
      <c r="AN582" s="549"/>
      <c r="AO582" s="549"/>
      <c r="AP582" s="549"/>
      <c r="AQ582" s="549"/>
      <c r="AR582" s="549"/>
      <c r="AS582" s="549"/>
      <c r="AT582" s="549"/>
      <c r="AU582" s="549"/>
      <c r="AV582" s="549"/>
      <c r="AW582" s="549"/>
      <c r="AX582" s="549"/>
      <c r="AY582" s="549"/>
      <c r="AZ582" s="549"/>
      <c r="BA582" s="549"/>
      <c r="BB582" s="549"/>
      <c r="BC582" s="549"/>
      <c r="BD582" s="549"/>
      <c r="BE582" s="549"/>
      <c r="BF582" s="549"/>
      <c r="BG582" s="549"/>
      <c r="BH582" s="549"/>
      <c r="BI582" s="549"/>
    </row>
    <row r="583" spans="16:61" s="254" customFormat="1" ht="9.9">
      <c r="P583" s="549"/>
      <c r="Q583" s="549"/>
      <c r="R583" s="549"/>
      <c r="S583" s="549"/>
      <c r="T583" s="549"/>
      <c r="U583" s="549"/>
      <c r="V583" s="549"/>
      <c r="W583" s="549"/>
      <c r="X583" s="549"/>
      <c r="Y583" s="549"/>
      <c r="Z583" s="549"/>
      <c r="AA583" s="549"/>
      <c r="AB583" s="549"/>
      <c r="AC583" s="549"/>
      <c r="AD583" s="549"/>
      <c r="AE583" s="549"/>
      <c r="AF583" s="549"/>
      <c r="AG583" s="549"/>
      <c r="AH583" s="549"/>
      <c r="AI583" s="549"/>
      <c r="AJ583" s="549"/>
      <c r="AK583" s="549"/>
      <c r="AL583" s="549"/>
      <c r="AM583" s="549"/>
      <c r="AN583" s="549"/>
      <c r="AO583" s="549"/>
      <c r="AP583" s="549"/>
      <c r="AQ583" s="549"/>
      <c r="AR583" s="549"/>
      <c r="AS583" s="549"/>
      <c r="AT583" s="549"/>
      <c r="AU583" s="549"/>
      <c r="AV583" s="549"/>
      <c r="AW583" s="549"/>
      <c r="AX583" s="549"/>
      <c r="AY583" s="549"/>
      <c r="AZ583" s="549"/>
      <c r="BA583" s="549"/>
      <c r="BB583" s="549"/>
      <c r="BC583" s="549"/>
      <c r="BD583" s="549"/>
      <c r="BE583" s="549"/>
      <c r="BF583" s="549"/>
      <c r="BG583" s="549"/>
      <c r="BH583" s="549"/>
      <c r="BI583" s="549"/>
    </row>
    <row r="584" spans="16:61" s="254" customFormat="1" ht="9.9">
      <c r="P584" s="549"/>
      <c r="Q584" s="549"/>
      <c r="R584" s="549"/>
      <c r="S584" s="549"/>
      <c r="T584" s="549"/>
      <c r="U584" s="549"/>
      <c r="V584" s="549"/>
      <c r="W584" s="549"/>
      <c r="X584" s="549"/>
      <c r="Y584" s="549"/>
      <c r="Z584" s="549"/>
      <c r="AA584" s="549"/>
      <c r="AB584" s="549"/>
      <c r="AC584" s="549"/>
      <c r="AD584" s="549"/>
      <c r="AE584" s="549"/>
      <c r="AF584" s="549"/>
      <c r="AG584" s="549"/>
      <c r="AH584" s="549"/>
      <c r="AI584" s="549"/>
      <c r="AJ584" s="549"/>
      <c r="AK584" s="549"/>
      <c r="AL584" s="549"/>
      <c r="AM584" s="549"/>
      <c r="AN584" s="549"/>
      <c r="AO584" s="549"/>
      <c r="AP584" s="549"/>
      <c r="AQ584" s="549"/>
      <c r="AR584" s="549"/>
      <c r="AS584" s="549"/>
      <c r="AT584" s="549"/>
      <c r="AU584" s="549"/>
      <c r="AV584" s="549"/>
      <c r="AW584" s="549"/>
      <c r="AX584" s="549"/>
      <c r="AY584" s="549"/>
      <c r="AZ584" s="549"/>
      <c r="BA584" s="549"/>
      <c r="BB584" s="549"/>
      <c r="BC584" s="549"/>
      <c r="BD584" s="549"/>
      <c r="BE584" s="549"/>
      <c r="BF584" s="549"/>
      <c r="BG584" s="549"/>
      <c r="BH584" s="549"/>
      <c r="BI584" s="549"/>
    </row>
    <row r="585" spans="16:61" s="254" customFormat="1" ht="9.9">
      <c r="P585" s="549"/>
      <c r="Q585" s="549"/>
      <c r="R585" s="549"/>
      <c r="S585" s="549"/>
      <c r="T585" s="549"/>
      <c r="U585" s="549"/>
      <c r="V585" s="549"/>
      <c r="W585" s="549"/>
      <c r="X585" s="549"/>
      <c r="Y585" s="549"/>
      <c r="Z585" s="549"/>
      <c r="AA585" s="549"/>
      <c r="AB585" s="549"/>
      <c r="AC585" s="549"/>
      <c r="AD585" s="549"/>
      <c r="AE585" s="549"/>
      <c r="AF585" s="549"/>
      <c r="AG585" s="549"/>
      <c r="AH585" s="549"/>
      <c r="AI585" s="549"/>
      <c r="AJ585" s="549"/>
      <c r="AK585" s="549"/>
      <c r="AL585" s="549"/>
      <c r="AM585" s="549"/>
      <c r="AN585" s="549"/>
      <c r="AO585" s="549"/>
      <c r="AP585" s="549"/>
      <c r="AQ585" s="549"/>
      <c r="AR585" s="549"/>
      <c r="AS585" s="549"/>
      <c r="AT585" s="549"/>
      <c r="AU585" s="549"/>
      <c r="AV585" s="549"/>
      <c r="AW585" s="549"/>
      <c r="AX585" s="549"/>
      <c r="AY585" s="549"/>
      <c r="AZ585" s="549"/>
      <c r="BA585" s="549"/>
      <c r="BB585" s="549"/>
      <c r="BC585" s="549"/>
      <c r="BD585" s="549"/>
      <c r="BE585" s="549"/>
      <c r="BF585" s="549"/>
      <c r="BG585" s="549"/>
      <c r="BH585" s="549"/>
      <c r="BI585" s="549"/>
    </row>
    <row r="586" spans="16:61" s="254" customFormat="1" ht="9.9">
      <c r="P586" s="549"/>
      <c r="Q586" s="549"/>
      <c r="R586" s="549"/>
      <c r="S586" s="549"/>
      <c r="T586" s="549"/>
      <c r="U586" s="549"/>
      <c r="V586" s="549"/>
      <c r="W586" s="549"/>
      <c r="X586" s="549"/>
      <c r="Y586" s="549"/>
      <c r="Z586" s="549"/>
      <c r="AA586" s="549"/>
      <c r="AB586" s="549"/>
      <c r="AC586" s="549"/>
      <c r="AD586" s="549"/>
      <c r="AE586" s="549"/>
      <c r="AF586" s="549"/>
      <c r="AG586" s="549"/>
      <c r="AH586" s="549"/>
      <c r="AI586" s="549"/>
      <c r="AJ586" s="549"/>
      <c r="AK586" s="549"/>
      <c r="AL586" s="549"/>
      <c r="AM586" s="549"/>
      <c r="AN586" s="549"/>
      <c r="AO586" s="549"/>
      <c r="AP586" s="549"/>
      <c r="AQ586" s="549"/>
      <c r="AR586" s="549"/>
      <c r="AS586" s="549"/>
      <c r="AT586" s="549"/>
      <c r="AU586" s="549"/>
      <c r="AV586" s="549"/>
      <c r="AW586" s="549"/>
      <c r="AX586" s="549"/>
      <c r="AY586" s="549"/>
      <c r="AZ586" s="549"/>
      <c r="BA586" s="549"/>
      <c r="BB586" s="549"/>
      <c r="BC586" s="549"/>
      <c r="BD586" s="549"/>
      <c r="BE586" s="549"/>
      <c r="BF586" s="549"/>
      <c r="BG586" s="549"/>
      <c r="BH586" s="549"/>
      <c r="BI586" s="549"/>
    </row>
    <row r="587" spans="16:61" s="254" customFormat="1" ht="9.9">
      <c r="P587" s="549"/>
      <c r="Q587" s="549"/>
      <c r="R587" s="549"/>
      <c r="S587" s="549"/>
      <c r="T587" s="549"/>
      <c r="U587" s="549"/>
      <c r="V587" s="549"/>
      <c r="W587" s="549"/>
      <c r="X587" s="549"/>
      <c r="Y587" s="549"/>
      <c r="Z587" s="549"/>
      <c r="AA587" s="549"/>
      <c r="AB587" s="549"/>
      <c r="AC587" s="549"/>
      <c r="AD587" s="549"/>
      <c r="AE587" s="549"/>
      <c r="AF587" s="549"/>
      <c r="AG587" s="549"/>
      <c r="AH587" s="549"/>
      <c r="AI587" s="549"/>
      <c r="AJ587" s="549"/>
      <c r="AK587" s="549"/>
      <c r="AL587" s="549"/>
      <c r="AM587" s="549"/>
      <c r="AN587" s="549"/>
      <c r="AO587" s="549"/>
      <c r="AP587" s="549"/>
      <c r="AQ587" s="549"/>
      <c r="AR587" s="549"/>
      <c r="AS587" s="549"/>
      <c r="AT587" s="549"/>
      <c r="AU587" s="549"/>
      <c r="AV587" s="549"/>
      <c r="AW587" s="549"/>
      <c r="AX587" s="549"/>
      <c r="AY587" s="549"/>
      <c r="AZ587" s="549"/>
      <c r="BA587" s="549"/>
      <c r="BB587" s="549"/>
      <c r="BC587" s="549"/>
      <c r="BD587" s="549"/>
      <c r="BE587" s="549"/>
      <c r="BF587" s="549"/>
      <c r="BG587" s="549"/>
      <c r="BH587" s="549"/>
      <c r="BI587" s="549"/>
    </row>
    <row r="588" spans="16:61" s="254" customFormat="1" ht="9.9">
      <c r="P588" s="549"/>
      <c r="Q588" s="549"/>
      <c r="R588" s="549"/>
      <c r="S588" s="549"/>
      <c r="T588" s="549"/>
      <c r="U588" s="549"/>
      <c r="V588" s="549"/>
      <c r="W588" s="549"/>
      <c r="X588" s="549"/>
      <c r="Y588" s="549"/>
      <c r="Z588" s="549"/>
      <c r="AA588" s="549"/>
      <c r="AB588" s="549"/>
      <c r="AC588" s="549"/>
      <c r="AD588" s="549"/>
      <c r="AE588" s="549"/>
      <c r="AF588" s="549"/>
      <c r="AG588" s="549"/>
      <c r="AH588" s="549"/>
      <c r="AI588" s="549"/>
      <c r="AJ588" s="549"/>
      <c r="AK588" s="549"/>
      <c r="AL588" s="549"/>
      <c r="AM588" s="549"/>
      <c r="AN588" s="549"/>
      <c r="AO588" s="549"/>
      <c r="AP588" s="549"/>
      <c r="AQ588" s="549"/>
      <c r="AR588" s="549"/>
      <c r="AS588" s="549"/>
      <c r="AT588" s="549"/>
      <c r="AU588" s="549"/>
      <c r="AV588" s="549"/>
      <c r="AW588" s="549"/>
      <c r="AX588" s="549"/>
      <c r="AY588" s="549"/>
      <c r="AZ588" s="549"/>
      <c r="BA588" s="549"/>
      <c r="BB588" s="549"/>
      <c r="BC588" s="549"/>
      <c r="BD588" s="549"/>
      <c r="BE588" s="549"/>
      <c r="BF588" s="549"/>
      <c r="BG588" s="549"/>
      <c r="BH588" s="549"/>
      <c r="BI588" s="549"/>
    </row>
    <row r="589" spans="16:61" s="254" customFormat="1" ht="9.9">
      <c r="P589" s="549"/>
      <c r="Q589" s="549"/>
      <c r="R589" s="549"/>
      <c r="S589" s="549"/>
      <c r="T589" s="549"/>
      <c r="U589" s="549"/>
      <c r="V589" s="549"/>
      <c r="W589" s="549"/>
      <c r="X589" s="549"/>
      <c r="Y589" s="549"/>
      <c r="Z589" s="549"/>
      <c r="AA589" s="549"/>
      <c r="AB589" s="549"/>
      <c r="AC589" s="549"/>
      <c r="AD589" s="549"/>
      <c r="AE589" s="549"/>
      <c r="AF589" s="549"/>
      <c r="AG589" s="549"/>
      <c r="AH589" s="549"/>
      <c r="AI589" s="549"/>
      <c r="AJ589" s="549"/>
      <c r="AK589" s="549"/>
      <c r="AL589" s="549"/>
      <c r="AM589" s="549"/>
      <c r="AN589" s="549"/>
      <c r="AO589" s="549"/>
      <c r="AP589" s="549"/>
      <c r="AQ589" s="549"/>
      <c r="AR589" s="549"/>
      <c r="AS589" s="549"/>
      <c r="AT589" s="549"/>
      <c r="AU589" s="549"/>
      <c r="AV589" s="549"/>
      <c r="AW589" s="549"/>
      <c r="AX589" s="549"/>
      <c r="AY589" s="549"/>
      <c r="AZ589" s="549"/>
      <c r="BA589" s="549"/>
      <c r="BB589" s="549"/>
      <c r="BC589" s="549"/>
      <c r="BD589" s="549"/>
      <c r="BE589" s="549"/>
      <c r="BF589" s="549"/>
      <c r="BG589" s="549"/>
      <c r="BH589" s="549"/>
      <c r="BI589" s="549"/>
    </row>
    <row r="590" spans="16:61" s="254" customFormat="1" ht="9.9">
      <c r="P590" s="549"/>
      <c r="Q590" s="549"/>
      <c r="R590" s="549"/>
      <c r="S590" s="549"/>
      <c r="T590" s="549"/>
      <c r="U590" s="549"/>
      <c r="V590" s="549"/>
      <c r="W590" s="549"/>
      <c r="X590" s="549"/>
      <c r="Y590" s="549"/>
      <c r="Z590" s="549"/>
      <c r="AA590" s="549"/>
      <c r="AB590" s="549"/>
      <c r="AC590" s="549"/>
      <c r="AD590" s="549"/>
      <c r="AE590" s="549"/>
      <c r="AF590" s="549"/>
      <c r="AG590" s="549"/>
      <c r="AH590" s="549"/>
      <c r="AI590" s="549"/>
      <c r="AJ590" s="549"/>
      <c r="AK590" s="549"/>
      <c r="AL590" s="549"/>
      <c r="AM590" s="549"/>
      <c r="AN590" s="549"/>
      <c r="AO590" s="549"/>
      <c r="AP590" s="549"/>
      <c r="AQ590" s="549"/>
      <c r="AR590" s="549"/>
      <c r="AS590" s="549"/>
      <c r="AT590" s="549"/>
      <c r="AU590" s="549"/>
      <c r="AV590" s="549"/>
      <c r="AW590" s="549"/>
      <c r="AX590" s="549"/>
      <c r="AY590" s="549"/>
      <c r="AZ590" s="549"/>
      <c r="BA590" s="549"/>
      <c r="BB590" s="549"/>
      <c r="BC590" s="549"/>
      <c r="BD590" s="549"/>
      <c r="BE590" s="549"/>
      <c r="BF590" s="549"/>
      <c r="BG590" s="549"/>
      <c r="BH590" s="549"/>
      <c r="BI590" s="549"/>
    </row>
    <row r="591" spans="16:61" s="254" customFormat="1" ht="9.9">
      <c r="P591" s="549"/>
      <c r="Q591" s="549"/>
      <c r="R591" s="549"/>
      <c r="S591" s="549"/>
      <c r="T591" s="549"/>
      <c r="U591" s="549"/>
      <c r="V591" s="549"/>
      <c r="W591" s="549"/>
      <c r="X591" s="549"/>
      <c r="Y591" s="549"/>
      <c r="Z591" s="549"/>
      <c r="AA591" s="549"/>
      <c r="AB591" s="549"/>
      <c r="AC591" s="549"/>
      <c r="AD591" s="549"/>
      <c r="AE591" s="549"/>
      <c r="AF591" s="549"/>
      <c r="AG591" s="549"/>
      <c r="AH591" s="549"/>
      <c r="AI591" s="549"/>
      <c r="AJ591" s="549"/>
      <c r="AK591" s="549"/>
      <c r="AL591" s="549"/>
      <c r="AM591" s="549"/>
      <c r="AN591" s="549"/>
      <c r="AO591" s="549"/>
      <c r="AP591" s="549"/>
      <c r="AQ591" s="549"/>
      <c r="AR591" s="549"/>
      <c r="AS591" s="549"/>
      <c r="AT591" s="549"/>
      <c r="AU591" s="549"/>
      <c r="AV591" s="549"/>
      <c r="AW591" s="549"/>
      <c r="AX591" s="549"/>
      <c r="AY591" s="549"/>
      <c r="AZ591" s="549"/>
      <c r="BA591" s="549"/>
      <c r="BB591" s="549"/>
      <c r="BC591" s="549"/>
      <c r="BD591" s="549"/>
      <c r="BE591" s="549"/>
      <c r="BF591" s="549"/>
      <c r="BG591" s="549"/>
      <c r="BH591" s="549"/>
      <c r="BI591" s="549"/>
    </row>
    <row r="592" spans="16:61" s="254" customFormat="1" ht="9.9">
      <c r="P592" s="549"/>
      <c r="Q592" s="549"/>
      <c r="R592" s="549"/>
      <c r="S592" s="549"/>
      <c r="T592" s="549"/>
      <c r="U592" s="549"/>
      <c r="V592" s="549"/>
      <c r="W592" s="549"/>
      <c r="X592" s="549"/>
      <c r="Y592" s="549"/>
      <c r="Z592" s="549"/>
      <c r="AA592" s="549"/>
      <c r="AB592" s="549"/>
      <c r="AC592" s="549"/>
      <c r="AD592" s="549"/>
      <c r="AE592" s="549"/>
      <c r="AF592" s="549"/>
      <c r="AG592" s="549"/>
      <c r="AH592" s="549"/>
      <c r="AI592" s="549"/>
      <c r="AJ592" s="549"/>
      <c r="AK592" s="549"/>
      <c r="AL592" s="549"/>
      <c r="AM592" s="549"/>
      <c r="AN592" s="549"/>
      <c r="AO592" s="549"/>
      <c r="AP592" s="549"/>
      <c r="AQ592" s="549"/>
      <c r="AR592" s="549"/>
      <c r="AS592" s="549"/>
      <c r="AT592" s="549"/>
      <c r="AU592" s="549"/>
      <c r="AV592" s="549"/>
      <c r="AW592" s="549"/>
      <c r="AX592" s="549"/>
      <c r="AY592" s="549"/>
      <c r="AZ592" s="549"/>
      <c r="BA592" s="549"/>
      <c r="BB592" s="549"/>
      <c r="BC592" s="549"/>
      <c r="BD592" s="549"/>
      <c r="BE592" s="549"/>
      <c r="BF592" s="549"/>
      <c r="BG592" s="549"/>
      <c r="BH592" s="549"/>
      <c r="BI592" s="549"/>
    </row>
    <row r="593" spans="16:61" s="254" customFormat="1" ht="9.9">
      <c r="P593" s="549"/>
      <c r="Q593" s="549"/>
      <c r="R593" s="549"/>
      <c r="S593" s="549"/>
      <c r="T593" s="549"/>
      <c r="U593" s="549"/>
      <c r="V593" s="549"/>
      <c r="W593" s="549"/>
      <c r="X593" s="549"/>
      <c r="Y593" s="549"/>
      <c r="Z593" s="549"/>
      <c r="AA593" s="549"/>
      <c r="AB593" s="549"/>
      <c r="AC593" s="549"/>
      <c r="AD593" s="549"/>
      <c r="AE593" s="549"/>
      <c r="AF593" s="549"/>
      <c r="AG593" s="549"/>
      <c r="AH593" s="549"/>
      <c r="AI593" s="549"/>
      <c r="AJ593" s="549"/>
      <c r="AK593" s="549"/>
      <c r="AL593" s="549"/>
      <c r="AM593" s="549"/>
      <c r="AN593" s="549"/>
      <c r="AO593" s="549"/>
      <c r="AP593" s="549"/>
      <c r="AQ593" s="549"/>
      <c r="AR593" s="549"/>
      <c r="AS593" s="549"/>
      <c r="AT593" s="549"/>
      <c r="AU593" s="549"/>
      <c r="AV593" s="549"/>
      <c r="AW593" s="549"/>
      <c r="AX593" s="549"/>
      <c r="AY593" s="549"/>
      <c r="AZ593" s="549"/>
      <c r="BA593" s="549"/>
      <c r="BB593" s="549"/>
      <c r="BC593" s="549"/>
      <c r="BD593" s="549"/>
      <c r="BE593" s="549"/>
      <c r="BF593" s="549"/>
      <c r="BG593" s="549"/>
      <c r="BH593" s="549"/>
      <c r="BI593" s="549"/>
    </row>
    <row r="594" spans="16:61" s="254" customFormat="1" ht="9.9">
      <c r="P594" s="549"/>
      <c r="Q594" s="549"/>
      <c r="R594" s="549"/>
      <c r="S594" s="549"/>
      <c r="T594" s="549"/>
      <c r="U594" s="549"/>
      <c r="V594" s="549"/>
      <c r="W594" s="549"/>
      <c r="X594" s="549"/>
      <c r="Y594" s="549"/>
      <c r="Z594" s="549"/>
      <c r="AA594" s="549"/>
      <c r="AB594" s="549"/>
      <c r="AC594" s="549"/>
      <c r="AD594" s="549"/>
      <c r="AE594" s="549"/>
      <c r="AF594" s="549"/>
      <c r="AG594" s="549"/>
      <c r="AH594" s="549"/>
      <c r="AI594" s="549"/>
      <c r="AJ594" s="549"/>
      <c r="AK594" s="549"/>
      <c r="AL594" s="549"/>
      <c r="AM594" s="549"/>
      <c r="AN594" s="549"/>
      <c r="AO594" s="549"/>
      <c r="AP594" s="549"/>
      <c r="AQ594" s="549"/>
      <c r="AR594" s="549"/>
      <c r="AS594" s="549"/>
      <c r="AT594" s="549"/>
      <c r="AU594" s="549"/>
      <c r="AV594" s="549"/>
      <c r="AW594" s="549"/>
      <c r="AX594" s="549"/>
      <c r="AY594" s="549"/>
      <c r="AZ594" s="549"/>
      <c r="BA594" s="549"/>
      <c r="BB594" s="549"/>
      <c r="BC594" s="549"/>
      <c r="BD594" s="549"/>
      <c r="BE594" s="549"/>
      <c r="BF594" s="549"/>
      <c r="BG594" s="549"/>
      <c r="BH594" s="549"/>
      <c r="BI594" s="549"/>
    </row>
    <row r="595" spans="16:61" s="254" customFormat="1" ht="9.9">
      <c r="P595" s="549"/>
      <c r="Q595" s="549"/>
      <c r="R595" s="549"/>
      <c r="S595" s="549"/>
      <c r="T595" s="549"/>
      <c r="U595" s="549"/>
      <c r="V595" s="549"/>
      <c r="W595" s="549"/>
      <c r="X595" s="549"/>
      <c r="Y595" s="549"/>
      <c r="Z595" s="549"/>
      <c r="AA595" s="549"/>
      <c r="AB595" s="549"/>
      <c r="AC595" s="549"/>
      <c r="AD595" s="549"/>
      <c r="AE595" s="549"/>
      <c r="AF595" s="549"/>
      <c r="AG595" s="549"/>
      <c r="AH595" s="549"/>
      <c r="AI595" s="549"/>
      <c r="AJ595" s="549"/>
      <c r="AK595" s="549"/>
      <c r="AL595" s="549"/>
      <c r="AM595" s="549"/>
      <c r="AN595" s="549"/>
      <c r="AO595" s="549"/>
      <c r="AP595" s="549"/>
      <c r="AQ595" s="549"/>
      <c r="AR595" s="549"/>
      <c r="AS595" s="549"/>
      <c r="AT595" s="549"/>
      <c r="AU595" s="549"/>
      <c r="AV595" s="549"/>
      <c r="AW595" s="549"/>
      <c r="AX595" s="549"/>
      <c r="AY595" s="549"/>
      <c r="AZ595" s="549"/>
      <c r="BA595" s="549"/>
      <c r="BB595" s="549"/>
      <c r="BC595" s="549"/>
      <c r="BD595" s="549"/>
      <c r="BE595" s="549"/>
      <c r="BF595" s="549"/>
      <c r="BG595" s="549"/>
      <c r="BH595" s="549"/>
      <c r="BI595" s="549"/>
    </row>
    <row r="596" spans="16:61" s="254" customFormat="1" ht="9.9">
      <c r="P596" s="549"/>
      <c r="Q596" s="549"/>
      <c r="R596" s="549"/>
      <c r="S596" s="549"/>
      <c r="T596" s="549"/>
      <c r="U596" s="549"/>
      <c r="V596" s="549"/>
      <c r="W596" s="549"/>
      <c r="X596" s="549"/>
      <c r="Y596" s="549"/>
      <c r="Z596" s="549"/>
      <c r="AA596" s="549"/>
      <c r="AB596" s="549"/>
      <c r="AC596" s="549"/>
      <c r="AD596" s="549"/>
      <c r="AE596" s="549"/>
      <c r="AF596" s="549"/>
      <c r="AG596" s="549"/>
      <c r="AH596" s="549"/>
      <c r="AI596" s="549"/>
      <c r="AJ596" s="549"/>
      <c r="AK596" s="549"/>
      <c r="AL596" s="549"/>
      <c r="AM596" s="549"/>
      <c r="AN596" s="549"/>
      <c r="AO596" s="549"/>
      <c r="AP596" s="549"/>
      <c r="AQ596" s="549"/>
      <c r="AR596" s="549"/>
      <c r="AS596" s="549"/>
      <c r="AT596" s="549"/>
      <c r="AU596" s="549"/>
      <c r="AV596" s="549"/>
      <c r="AW596" s="549"/>
      <c r="AX596" s="549"/>
      <c r="AY596" s="549"/>
      <c r="AZ596" s="549"/>
      <c r="BA596" s="549"/>
      <c r="BB596" s="549"/>
      <c r="BC596" s="549"/>
      <c r="BD596" s="549"/>
      <c r="BE596" s="549"/>
      <c r="BF596" s="549"/>
      <c r="BG596" s="549"/>
      <c r="BH596" s="549"/>
      <c r="BI596" s="549"/>
    </row>
    <row r="597" spans="16:61" s="254" customFormat="1" ht="9.9">
      <c r="P597" s="549"/>
      <c r="Q597" s="549"/>
      <c r="R597" s="549"/>
      <c r="S597" s="549"/>
      <c r="T597" s="549"/>
      <c r="U597" s="549"/>
      <c r="V597" s="549"/>
      <c r="W597" s="549"/>
      <c r="X597" s="549"/>
      <c r="Y597" s="549"/>
      <c r="Z597" s="549"/>
      <c r="AA597" s="549"/>
      <c r="AB597" s="549"/>
      <c r="AC597" s="549"/>
      <c r="AD597" s="549"/>
      <c r="AE597" s="549"/>
      <c r="AF597" s="549"/>
      <c r="AG597" s="549"/>
      <c r="AH597" s="549"/>
      <c r="AI597" s="549"/>
      <c r="AJ597" s="549"/>
      <c r="AK597" s="549"/>
      <c r="AL597" s="549"/>
      <c r="AM597" s="549"/>
      <c r="AN597" s="549"/>
      <c r="AO597" s="549"/>
      <c r="AP597" s="549"/>
      <c r="AQ597" s="549"/>
      <c r="AR597" s="549"/>
      <c r="AS597" s="549"/>
      <c r="AT597" s="549"/>
      <c r="AU597" s="549"/>
      <c r="AV597" s="549"/>
      <c r="AW597" s="549"/>
      <c r="AX597" s="549"/>
      <c r="AY597" s="549"/>
      <c r="AZ597" s="549"/>
      <c r="BA597" s="549"/>
      <c r="BB597" s="549"/>
      <c r="BC597" s="549"/>
      <c r="BD597" s="549"/>
      <c r="BE597" s="549"/>
      <c r="BF597" s="549"/>
      <c r="BG597" s="549"/>
      <c r="BH597" s="549"/>
      <c r="BI597" s="549"/>
    </row>
    <row r="598" spans="16:61" s="254" customFormat="1" ht="9.9">
      <c r="P598" s="549"/>
      <c r="Q598" s="549"/>
      <c r="R598" s="549"/>
      <c r="S598" s="549"/>
      <c r="T598" s="549"/>
      <c r="U598" s="549"/>
      <c r="V598" s="549"/>
      <c r="W598" s="549"/>
      <c r="X598" s="549"/>
      <c r="Y598" s="549"/>
      <c r="Z598" s="549"/>
      <c r="AA598" s="549"/>
      <c r="AB598" s="549"/>
      <c r="AC598" s="549"/>
      <c r="AD598" s="549"/>
      <c r="AE598" s="549"/>
      <c r="AF598" s="549"/>
      <c r="AG598" s="549"/>
      <c r="AH598" s="549"/>
      <c r="AI598" s="549"/>
      <c r="AJ598" s="549"/>
      <c r="AK598" s="549"/>
      <c r="AL598" s="549"/>
      <c r="AM598" s="549"/>
      <c r="AN598" s="549"/>
      <c r="AO598" s="549"/>
      <c r="AP598" s="549"/>
      <c r="AQ598" s="549"/>
      <c r="AR598" s="549"/>
      <c r="AS598" s="549"/>
      <c r="AT598" s="549"/>
      <c r="AU598" s="549"/>
      <c r="AV598" s="549"/>
      <c r="AW598" s="549"/>
      <c r="AX598" s="549"/>
      <c r="AY598" s="549"/>
      <c r="AZ598" s="549"/>
      <c r="BA598" s="549"/>
      <c r="BB598" s="549"/>
      <c r="BC598" s="549"/>
      <c r="BD598" s="549"/>
      <c r="BE598" s="549"/>
      <c r="BF598" s="549"/>
      <c r="BG598" s="549"/>
      <c r="BH598" s="549"/>
      <c r="BI598" s="549"/>
    </row>
    <row r="599" spans="16:61" s="254" customFormat="1" ht="9.9">
      <c r="P599" s="549"/>
      <c r="Q599" s="549"/>
      <c r="R599" s="549"/>
      <c r="S599" s="549"/>
      <c r="T599" s="549"/>
      <c r="U599" s="549"/>
      <c r="V599" s="549"/>
      <c r="W599" s="549"/>
      <c r="X599" s="549"/>
      <c r="Y599" s="549"/>
      <c r="Z599" s="549"/>
      <c r="AA599" s="549"/>
      <c r="AB599" s="549"/>
      <c r="AC599" s="549"/>
      <c r="AD599" s="549"/>
      <c r="AE599" s="549"/>
      <c r="AF599" s="549"/>
      <c r="AG599" s="549"/>
      <c r="AH599" s="549"/>
      <c r="AI599" s="549"/>
      <c r="AJ599" s="549"/>
      <c r="AK599" s="549"/>
      <c r="AL599" s="549"/>
      <c r="AM599" s="549"/>
      <c r="AN599" s="549"/>
      <c r="AO599" s="549"/>
      <c r="AP599" s="549"/>
      <c r="AQ599" s="549"/>
      <c r="AR599" s="549"/>
      <c r="AS599" s="549"/>
      <c r="AT599" s="549"/>
      <c r="AU599" s="549"/>
      <c r="AV599" s="549"/>
      <c r="AW599" s="549"/>
      <c r="AX599" s="549"/>
      <c r="AY599" s="549"/>
      <c r="AZ599" s="549"/>
      <c r="BA599" s="549"/>
      <c r="BB599" s="549"/>
      <c r="BC599" s="549"/>
      <c r="BD599" s="549"/>
      <c r="BE599" s="549"/>
      <c r="BF599" s="549"/>
      <c r="BG599" s="549"/>
      <c r="BH599" s="549"/>
      <c r="BI599" s="549"/>
    </row>
    <row r="600" spans="16:61" s="254" customFormat="1" ht="9.9">
      <c r="P600" s="549"/>
      <c r="Q600" s="549"/>
      <c r="R600" s="549"/>
      <c r="S600" s="549"/>
      <c r="T600" s="549"/>
      <c r="U600" s="549"/>
      <c r="V600" s="549"/>
      <c r="W600" s="549"/>
      <c r="X600" s="549"/>
      <c r="Y600" s="549"/>
      <c r="Z600" s="549"/>
      <c r="AA600" s="549"/>
      <c r="AB600" s="549"/>
      <c r="AC600" s="549"/>
      <c r="AD600" s="549"/>
      <c r="AE600" s="549"/>
      <c r="AF600" s="549"/>
      <c r="AG600" s="549"/>
      <c r="AH600" s="549"/>
      <c r="AI600" s="549"/>
      <c r="AJ600" s="549"/>
      <c r="AK600" s="549"/>
      <c r="AL600" s="549"/>
      <c r="AM600" s="549"/>
      <c r="AN600" s="549"/>
      <c r="AO600" s="549"/>
      <c r="AP600" s="549"/>
      <c r="AQ600" s="549"/>
      <c r="AR600" s="549"/>
      <c r="AS600" s="549"/>
      <c r="AT600" s="549"/>
      <c r="AU600" s="549"/>
      <c r="AV600" s="549"/>
      <c r="AW600" s="549"/>
      <c r="AX600" s="549"/>
      <c r="AY600" s="549"/>
      <c r="AZ600" s="549"/>
      <c r="BA600" s="549"/>
      <c r="BB600" s="549"/>
      <c r="BC600" s="549"/>
      <c r="BD600" s="549"/>
      <c r="BE600" s="549"/>
      <c r="BF600" s="549"/>
      <c r="BG600" s="549"/>
      <c r="BH600" s="549"/>
      <c r="BI600" s="549"/>
    </row>
    <row r="601" spans="16:61" s="254" customFormat="1" ht="9.9">
      <c r="P601" s="549"/>
      <c r="Q601" s="549"/>
      <c r="R601" s="549"/>
      <c r="S601" s="549"/>
      <c r="T601" s="549"/>
      <c r="U601" s="549"/>
      <c r="V601" s="549"/>
      <c r="W601" s="549"/>
      <c r="X601" s="549"/>
      <c r="Y601" s="549"/>
      <c r="Z601" s="549"/>
      <c r="AA601" s="549"/>
      <c r="AB601" s="549"/>
      <c r="AC601" s="549"/>
      <c r="AD601" s="549"/>
      <c r="AE601" s="549"/>
      <c r="AF601" s="549"/>
      <c r="AG601" s="549"/>
      <c r="AH601" s="549"/>
      <c r="AI601" s="549"/>
      <c r="AJ601" s="549"/>
      <c r="AK601" s="549"/>
      <c r="AL601" s="549"/>
      <c r="AM601" s="549"/>
      <c r="AN601" s="549"/>
      <c r="AO601" s="549"/>
      <c r="AP601" s="549"/>
      <c r="AQ601" s="549"/>
      <c r="AR601" s="549"/>
      <c r="AS601" s="549"/>
      <c r="AT601" s="549"/>
      <c r="AU601" s="549"/>
      <c r="AV601" s="549"/>
      <c r="AW601" s="549"/>
      <c r="AX601" s="549"/>
      <c r="AY601" s="549"/>
      <c r="AZ601" s="549"/>
      <c r="BA601" s="549"/>
      <c r="BB601" s="549"/>
      <c r="BC601" s="549"/>
      <c r="BD601" s="549"/>
      <c r="BE601" s="549"/>
      <c r="BF601" s="549"/>
      <c r="BG601" s="549"/>
      <c r="BH601" s="549"/>
      <c r="BI601" s="549"/>
    </row>
    <row r="602" spans="16:61" s="254" customFormat="1" ht="9.9">
      <c r="P602" s="549"/>
      <c r="Q602" s="549"/>
      <c r="R602" s="549"/>
      <c r="S602" s="549"/>
      <c r="T602" s="549"/>
      <c r="U602" s="549"/>
      <c r="V602" s="549"/>
      <c r="W602" s="549"/>
      <c r="X602" s="549"/>
      <c r="Y602" s="549"/>
      <c r="Z602" s="549"/>
      <c r="AA602" s="549"/>
      <c r="AB602" s="549"/>
      <c r="AC602" s="549"/>
      <c r="AD602" s="549"/>
      <c r="AE602" s="549"/>
      <c r="AF602" s="549"/>
      <c r="AG602" s="549"/>
      <c r="AH602" s="549"/>
      <c r="AI602" s="549"/>
      <c r="AJ602" s="549"/>
      <c r="AK602" s="549"/>
      <c r="AL602" s="549"/>
      <c r="AM602" s="549"/>
      <c r="AN602" s="549"/>
      <c r="AO602" s="549"/>
      <c r="AP602" s="549"/>
      <c r="AQ602" s="549"/>
      <c r="AR602" s="549"/>
      <c r="AS602" s="549"/>
      <c r="AT602" s="549"/>
      <c r="AU602" s="549"/>
      <c r="AV602" s="549"/>
      <c r="AW602" s="549"/>
      <c r="AX602" s="549"/>
      <c r="AY602" s="549"/>
      <c r="AZ602" s="549"/>
      <c r="BA602" s="549"/>
      <c r="BB602" s="549"/>
      <c r="BC602" s="549"/>
      <c r="BD602" s="549"/>
      <c r="BE602" s="549"/>
      <c r="BF602" s="549"/>
      <c r="BG602" s="549"/>
      <c r="BH602" s="549"/>
      <c r="BI602" s="549"/>
    </row>
    <row r="603" spans="16:61" s="254" customFormat="1" ht="9.9">
      <c r="P603" s="549"/>
      <c r="Q603" s="549"/>
      <c r="R603" s="549"/>
      <c r="S603" s="549"/>
      <c r="T603" s="549"/>
      <c r="U603" s="549"/>
      <c r="V603" s="549"/>
      <c r="W603" s="549"/>
      <c r="X603" s="549"/>
      <c r="Y603" s="549"/>
      <c r="Z603" s="549"/>
      <c r="AA603" s="549"/>
      <c r="AB603" s="549"/>
      <c r="AC603" s="549"/>
      <c r="AD603" s="549"/>
      <c r="AE603" s="549"/>
      <c r="AF603" s="549"/>
      <c r="AG603" s="549"/>
      <c r="AH603" s="549"/>
      <c r="AI603" s="549"/>
      <c r="AJ603" s="549"/>
      <c r="AK603" s="549"/>
      <c r="AL603" s="549"/>
      <c r="AM603" s="549"/>
      <c r="AN603" s="549"/>
      <c r="AO603" s="549"/>
      <c r="AP603" s="549"/>
      <c r="AQ603" s="549"/>
      <c r="AR603" s="549"/>
      <c r="AS603" s="549"/>
      <c r="AT603" s="549"/>
      <c r="AU603" s="549"/>
      <c r="AV603" s="549"/>
      <c r="AW603" s="549"/>
      <c r="AX603" s="549"/>
      <c r="AY603" s="549"/>
      <c r="AZ603" s="549"/>
      <c r="BA603" s="549"/>
      <c r="BB603" s="549"/>
      <c r="BC603" s="549"/>
      <c r="BD603" s="549"/>
      <c r="BE603" s="549"/>
      <c r="BF603" s="549"/>
      <c r="BG603" s="549"/>
      <c r="BH603" s="549"/>
      <c r="BI603" s="549"/>
    </row>
    <row r="604" spans="16:61" s="254" customFormat="1" ht="9.9">
      <c r="P604" s="549"/>
      <c r="Q604" s="549"/>
      <c r="R604" s="549"/>
      <c r="S604" s="549"/>
      <c r="T604" s="549"/>
      <c r="U604" s="549"/>
      <c r="V604" s="549"/>
      <c r="W604" s="549"/>
      <c r="X604" s="549"/>
      <c r="Y604" s="549"/>
      <c r="Z604" s="549"/>
      <c r="AA604" s="549"/>
      <c r="AB604" s="549"/>
      <c r="AC604" s="549"/>
      <c r="AD604" s="549"/>
      <c r="AE604" s="549"/>
      <c r="AF604" s="549"/>
      <c r="AG604" s="549"/>
      <c r="AH604" s="549"/>
      <c r="AI604" s="549"/>
      <c r="AJ604" s="549"/>
      <c r="AK604" s="549"/>
      <c r="AL604" s="549"/>
      <c r="AM604" s="549"/>
      <c r="AN604" s="549"/>
      <c r="AO604" s="549"/>
      <c r="AP604" s="549"/>
      <c r="AQ604" s="549"/>
      <c r="AR604" s="549"/>
      <c r="AS604" s="549"/>
      <c r="AT604" s="549"/>
      <c r="AU604" s="549"/>
      <c r="AV604" s="549"/>
      <c r="AW604" s="549"/>
      <c r="AX604" s="549"/>
      <c r="AY604" s="549"/>
      <c r="AZ604" s="549"/>
      <c r="BA604" s="549"/>
      <c r="BB604" s="549"/>
      <c r="BC604" s="549"/>
      <c r="BD604" s="549"/>
      <c r="BE604" s="549"/>
      <c r="BF604" s="549"/>
      <c r="BG604" s="549"/>
      <c r="BH604" s="549"/>
      <c r="BI604" s="549"/>
    </row>
    <row r="605" spans="16:61" s="254" customFormat="1" ht="9.9">
      <c r="P605" s="549"/>
      <c r="Q605" s="549"/>
      <c r="R605" s="549"/>
      <c r="S605" s="549"/>
      <c r="T605" s="549"/>
      <c r="U605" s="549"/>
      <c r="V605" s="549"/>
      <c r="W605" s="549"/>
      <c r="X605" s="549"/>
      <c r="Y605" s="549"/>
      <c r="Z605" s="549"/>
      <c r="AA605" s="549"/>
      <c r="AB605" s="549"/>
      <c r="AC605" s="549"/>
      <c r="AD605" s="549"/>
      <c r="AE605" s="549"/>
      <c r="AF605" s="549"/>
      <c r="AG605" s="549"/>
      <c r="AH605" s="549"/>
      <c r="AI605" s="549"/>
      <c r="AJ605" s="549"/>
      <c r="AK605" s="549"/>
      <c r="AL605" s="549"/>
      <c r="AM605" s="549"/>
      <c r="AN605" s="549"/>
      <c r="AO605" s="549"/>
      <c r="AP605" s="549"/>
      <c r="AQ605" s="549"/>
      <c r="AR605" s="549"/>
      <c r="AS605" s="549"/>
      <c r="AT605" s="549"/>
      <c r="AU605" s="549"/>
      <c r="AV605" s="549"/>
      <c r="AW605" s="549"/>
      <c r="AX605" s="549"/>
      <c r="AY605" s="549"/>
      <c r="AZ605" s="549"/>
      <c r="BA605" s="549"/>
      <c r="BB605" s="549"/>
      <c r="BC605" s="549"/>
      <c r="BD605" s="549"/>
      <c r="BE605" s="549"/>
      <c r="BF605" s="549"/>
      <c r="BG605" s="549"/>
      <c r="BH605" s="549"/>
      <c r="BI605" s="549"/>
    </row>
    <row r="606" spans="16:61" s="254" customFormat="1" ht="9.9">
      <c r="P606" s="549"/>
      <c r="Q606" s="549"/>
      <c r="R606" s="549"/>
      <c r="S606" s="549"/>
      <c r="T606" s="549"/>
      <c r="U606" s="549"/>
      <c r="V606" s="549"/>
      <c r="W606" s="549"/>
      <c r="X606" s="549"/>
      <c r="Y606" s="549"/>
      <c r="Z606" s="549"/>
      <c r="AA606" s="549"/>
      <c r="AB606" s="549"/>
      <c r="AC606" s="549"/>
      <c r="AD606" s="549"/>
      <c r="AE606" s="549"/>
      <c r="AF606" s="549"/>
      <c r="AG606" s="549"/>
      <c r="AH606" s="549"/>
      <c r="AI606" s="549"/>
      <c r="AJ606" s="549"/>
      <c r="AK606" s="549"/>
      <c r="AL606" s="549"/>
      <c r="AM606" s="549"/>
      <c r="AN606" s="549"/>
      <c r="AO606" s="549"/>
      <c r="AP606" s="549"/>
      <c r="AQ606" s="549"/>
      <c r="AR606" s="549"/>
      <c r="AS606" s="549"/>
      <c r="AT606" s="549"/>
      <c r="AU606" s="549"/>
      <c r="AV606" s="549"/>
      <c r="AW606" s="549"/>
      <c r="AX606" s="549"/>
      <c r="AY606" s="549"/>
      <c r="AZ606" s="549"/>
      <c r="BA606" s="549"/>
      <c r="BB606" s="549"/>
      <c r="BC606" s="549"/>
      <c r="BD606" s="549"/>
      <c r="BE606" s="549"/>
      <c r="BF606" s="549"/>
      <c r="BG606" s="549"/>
      <c r="BH606" s="549"/>
      <c r="BI606" s="549"/>
    </row>
    <row r="607" spans="16:61" s="254" customFormat="1" ht="9.9">
      <c r="P607" s="549"/>
      <c r="Q607" s="549"/>
      <c r="R607" s="549"/>
      <c r="S607" s="549"/>
      <c r="T607" s="549"/>
      <c r="U607" s="549"/>
      <c r="V607" s="549"/>
      <c r="W607" s="549"/>
      <c r="X607" s="549"/>
      <c r="Y607" s="549"/>
      <c r="Z607" s="549"/>
      <c r="AA607" s="549"/>
      <c r="AB607" s="549"/>
      <c r="AC607" s="549"/>
      <c r="AD607" s="549"/>
      <c r="AE607" s="549"/>
      <c r="AF607" s="549"/>
      <c r="AG607" s="549"/>
      <c r="AH607" s="549"/>
      <c r="AI607" s="549"/>
      <c r="AJ607" s="549"/>
      <c r="AK607" s="549"/>
      <c r="AL607" s="549"/>
      <c r="AM607" s="549"/>
      <c r="AN607" s="549"/>
      <c r="AO607" s="549"/>
      <c r="AP607" s="549"/>
      <c r="AQ607" s="549"/>
      <c r="AR607" s="549"/>
      <c r="AS607" s="549"/>
      <c r="AT607" s="549"/>
      <c r="AU607" s="549"/>
      <c r="AV607" s="549"/>
      <c r="AW607" s="549"/>
      <c r="AX607" s="549"/>
      <c r="AY607" s="549"/>
      <c r="AZ607" s="549"/>
      <c r="BA607" s="549"/>
      <c r="BB607" s="549"/>
      <c r="BC607" s="549"/>
      <c r="BD607" s="549"/>
      <c r="BE607" s="549"/>
      <c r="BF607" s="549"/>
      <c r="BG607" s="549"/>
      <c r="BH607" s="549"/>
      <c r="BI607" s="549"/>
    </row>
    <row r="608" spans="16:61" s="254" customFormat="1" ht="9.9">
      <c r="P608" s="549"/>
      <c r="Q608" s="549"/>
      <c r="R608" s="549"/>
      <c r="S608" s="549"/>
      <c r="T608" s="549"/>
      <c r="U608" s="549"/>
      <c r="V608" s="549"/>
      <c r="W608" s="549"/>
      <c r="X608" s="549"/>
      <c r="Y608" s="549"/>
      <c r="Z608" s="549"/>
      <c r="AA608" s="549"/>
      <c r="AB608" s="549"/>
      <c r="AC608" s="549"/>
      <c r="AD608" s="549"/>
      <c r="AE608" s="549"/>
      <c r="AF608" s="549"/>
      <c r="AG608" s="549"/>
      <c r="AH608" s="549"/>
      <c r="AI608" s="549"/>
      <c r="AJ608" s="549"/>
      <c r="AK608" s="549"/>
      <c r="AL608" s="549"/>
      <c r="AM608" s="549"/>
      <c r="AN608" s="549"/>
      <c r="AO608" s="549"/>
      <c r="AP608" s="549"/>
      <c r="AQ608" s="549"/>
      <c r="AR608" s="549"/>
      <c r="AS608" s="549"/>
      <c r="AT608" s="549"/>
      <c r="AU608" s="549"/>
      <c r="AV608" s="549"/>
      <c r="AW608" s="549"/>
      <c r="AX608" s="549"/>
      <c r="AY608" s="549"/>
      <c r="AZ608" s="549"/>
      <c r="BA608" s="549"/>
      <c r="BB608" s="549"/>
      <c r="BC608" s="549"/>
      <c r="BD608" s="549"/>
      <c r="BE608" s="549"/>
      <c r="BF608" s="549"/>
      <c r="BG608" s="549"/>
      <c r="BH608" s="549"/>
      <c r="BI608" s="549"/>
    </row>
    <row r="609" spans="16:61" s="254" customFormat="1" ht="9.9">
      <c r="P609" s="549"/>
      <c r="Q609" s="549"/>
      <c r="R609" s="549"/>
      <c r="S609" s="549"/>
      <c r="T609" s="549"/>
      <c r="U609" s="549"/>
      <c r="V609" s="549"/>
      <c r="W609" s="549"/>
      <c r="X609" s="549"/>
      <c r="Y609" s="549"/>
      <c r="Z609" s="549"/>
      <c r="AA609" s="549"/>
      <c r="AB609" s="549"/>
      <c r="AC609" s="549"/>
      <c r="AD609" s="549"/>
      <c r="AE609" s="549"/>
      <c r="AF609" s="549"/>
      <c r="AG609" s="549"/>
      <c r="AH609" s="549"/>
      <c r="AI609" s="549"/>
      <c r="AJ609" s="549"/>
      <c r="AK609" s="549"/>
      <c r="AL609" s="549"/>
      <c r="AM609" s="549"/>
      <c r="AN609" s="549"/>
      <c r="AO609" s="549"/>
      <c r="AP609" s="549"/>
      <c r="AQ609" s="549"/>
      <c r="AR609" s="549"/>
      <c r="AS609" s="549"/>
      <c r="AT609" s="549"/>
      <c r="AU609" s="549"/>
      <c r="AV609" s="549"/>
      <c r="AW609" s="549"/>
      <c r="AX609" s="549"/>
      <c r="AY609" s="549"/>
      <c r="AZ609" s="549"/>
      <c r="BA609" s="549"/>
      <c r="BB609" s="549"/>
      <c r="BC609" s="549"/>
      <c r="BD609" s="549"/>
      <c r="BE609" s="549"/>
      <c r="BF609" s="549"/>
      <c r="BG609" s="549"/>
      <c r="BH609" s="549"/>
      <c r="BI609" s="549"/>
    </row>
    <row r="610" spans="16:61" s="254" customFormat="1" ht="9.9">
      <c r="P610" s="549"/>
      <c r="Q610" s="549"/>
      <c r="R610" s="549"/>
      <c r="S610" s="549"/>
      <c r="T610" s="549"/>
      <c r="U610" s="549"/>
      <c r="V610" s="549"/>
      <c r="W610" s="549"/>
      <c r="X610" s="549"/>
      <c r="Y610" s="549"/>
      <c r="Z610" s="549"/>
      <c r="AA610" s="549"/>
      <c r="AB610" s="549"/>
      <c r="AC610" s="549"/>
      <c r="AD610" s="549"/>
      <c r="AE610" s="549"/>
      <c r="AF610" s="549"/>
      <c r="AG610" s="549"/>
      <c r="AH610" s="549"/>
      <c r="AI610" s="549"/>
      <c r="AJ610" s="549"/>
      <c r="AK610" s="549"/>
      <c r="AL610" s="549"/>
      <c r="AM610" s="549"/>
      <c r="AN610" s="549"/>
      <c r="AO610" s="549"/>
      <c r="AP610" s="549"/>
      <c r="AQ610" s="549"/>
      <c r="AR610" s="549"/>
      <c r="AS610" s="549"/>
      <c r="AT610" s="549"/>
      <c r="AU610" s="549"/>
      <c r="AV610" s="549"/>
      <c r="AW610" s="549"/>
      <c r="AX610" s="549"/>
      <c r="AY610" s="549"/>
      <c r="AZ610" s="549"/>
      <c r="BA610" s="549"/>
      <c r="BB610" s="549"/>
      <c r="BC610" s="549"/>
      <c r="BD610" s="549"/>
      <c r="BE610" s="549"/>
      <c r="BF610" s="549"/>
      <c r="BG610" s="549"/>
      <c r="BH610" s="549"/>
      <c r="BI610" s="549"/>
    </row>
    <row r="611" spans="16:61" s="254" customFormat="1" ht="9.9">
      <c r="P611" s="549"/>
      <c r="Q611" s="549"/>
      <c r="R611" s="549"/>
      <c r="S611" s="549"/>
      <c r="T611" s="549"/>
      <c r="U611" s="549"/>
      <c r="V611" s="549"/>
      <c r="W611" s="549"/>
      <c r="X611" s="549"/>
      <c r="Y611" s="549"/>
      <c r="Z611" s="549"/>
      <c r="AA611" s="549"/>
      <c r="AB611" s="549"/>
      <c r="AC611" s="549"/>
      <c r="AD611" s="549"/>
      <c r="AE611" s="549"/>
      <c r="AF611" s="549"/>
      <c r="AG611" s="549"/>
      <c r="AH611" s="549"/>
      <c r="AI611" s="549"/>
      <c r="AJ611" s="549"/>
      <c r="AK611" s="549"/>
      <c r="AL611" s="549"/>
      <c r="AM611" s="549"/>
      <c r="AN611" s="549"/>
      <c r="AO611" s="549"/>
      <c r="AP611" s="549"/>
      <c r="AQ611" s="549"/>
      <c r="AR611" s="549"/>
      <c r="AS611" s="549"/>
      <c r="AT611" s="549"/>
      <c r="AU611" s="549"/>
      <c r="AV611" s="549"/>
      <c r="AW611" s="549"/>
      <c r="AX611" s="549"/>
      <c r="AY611" s="549"/>
      <c r="AZ611" s="549"/>
      <c r="BA611" s="549"/>
      <c r="BB611" s="549"/>
      <c r="BC611" s="549"/>
      <c r="BD611" s="549"/>
      <c r="BE611" s="549"/>
      <c r="BF611" s="549"/>
      <c r="BG611" s="549"/>
      <c r="BH611" s="549"/>
      <c r="BI611" s="549"/>
    </row>
    <row r="612" spans="16:61" s="254" customFormat="1" ht="9.9">
      <c r="P612" s="549"/>
      <c r="Q612" s="549"/>
      <c r="R612" s="549"/>
      <c r="S612" s="549"/>
      <c r="T612" s="549"/>
      <c r="U612" s="549"/>
      <c r="V612" s="549"/>
      <c r="W612" s="549"/>
      <c r="X612" s="549"/>
      <c r="Y612" s="549"/>
      <c r="Z612" s="549"/>
      <c r="AA612" s="549"/>
      <c r="AB612" s="549"/>
      <c r="AC612" s="549"/>
      <c r="AD612" s="549"/>
      <c r="AE612" s="549"/>
      <c r="AF612" s="549"/>
      <c r="AG612" s="549"/>
      <c r="AH612" s="549"/>
      <c r="AI612" s="549"/>
      <c r="AJ612" s="549"/>
      <c r="AK612" s="549"/>
      <c r="AL612" s="549"/>
      <c r="AM612" s="549"/>
      <c r="AN612" s="549"/>
      <c r="AO612" s="549"/>
      <c r="AP612" s="549"/>
      <c r="AQ612" s="549"/>
      <c r="AR612" s="549"/>
      <c r="AS612" s="549"/>
      <c r="AT612" s="549"/>
      <c r="AU612" s="549"/>
      <c r="AV612" s="549"/>
      <c r="AW612" s="549"/>
      <c r="AX612" s="549"/>
      <c r="AY612" s="549"/>
      <c r="AZ612" s="549"/>
      <c r="BA612" s="549"/>
      <c r="BB612" s="549"/>
      <c r="BC612" s="549"/>
      <c r="BD612" s="549"/>
      <c r="BE612" s="549"/>
      <c r="BF612" s="549"/>
      <c r="BG612" s="549"/>
      <c r="BH612" s="549"/>
      <c r="BI612" s="549"/>
    </row>
    <row r="613" spans="16:61" s="254" customFormat="1" ht="9.9">
      <c r="P613" s="549"/>
      <c r="Q613" s="549"/>
      <c r="R613" s="549"/>
      <c r="S613" s="549"/>
      <c r="T613" s="549"/>
      <c r="U613" s="549"/>
      <c r="V613" s="549"/>
      <c r="W613" s="549"/>
      <c r="X613" s="549"/>
      <c r="Y613" s="549"/>
      <c r="Z613" s="549"/>
      <c r="AA613" s="549"/>
      <c r="AB613" s="549"/>
      <c r="AC613" s="549"/>
      <c r="AD613" s="549"/>
      <c r="AE613" s="549"/>
      <c r="AF613" s="549"/>
      <c r="AG613" s="549"/>
      <c r="AH613" s="549"/>
      <c r="AI613" s="549"/>
      <c r="AJ613" s="549"/>
      <c r="AK613" s="549"/>
      <c r="AL613" s="549"/>
      <c r="AM613" s="549"/>
      <c r="AN613" s="549"/>
      <c r="AO613" s="549"/>
      <c r="AP613" s="549"/>
      <c r="AQ613" s="549"/>
      <c r="AR613" s="549"/>
      <c r="AS613" s="549"/>
      <c r="AT613" s="549"/>
      <c r="AU613" s="549"/>
      <c r="AV613" s="549"/>
      <c r="AW613" s="549"/>
      <c r="AX613" s="549"/>
      <c r="AY613" s="549"/>
      <c r="AZ613" s="549"/>
      <c r="BA613" s="549"/>
      <c r="BB613" s="549"/>
      <c r="BC613" s="549"/>
      <c r="BD613" s="549"/>
      <c r="BE613" s="549"/>
      <c r="BF613" s="549"/>
      <c r="BG613" s="549"/>
      <c r="BH613" s="549"/>
      <c r="BI613" s="549"/>
    </row>
    <row r="614" spans="16:61" s="254" customFormat="1" ht="9.9">
      <c r="P614" s="549"/>
      <c r="Q614" s="549"/>
      <c r="R614" s="549"/>
      <c r="S614" s="549"/>
      <c r="T614" s="549"/>
      <c r="U614" s="549"/>
      <c r="V614" s="549"/>
      <c r="W614" s="549"/>
      <c r="X614" s="549"/>
      <c r="Y614" s="549"/>
      <c r="Z614" s="549"/>
      <c r="AA614" s="549"/>
      <c r="AB614" s="549"/>
      <c r="AC614" s="549"/>
      <c r="AD614" s="549"/>
      <c r="AE614" s="549"/>
      <c r="AF614" s="549"/>
      <c r="AG614" s="549"/>
      <c r="AH614" s="549"/>
      <c r="AI614" s="549"/>
      <c r="AJ614" s="549"/>
      <c r="AK614" s="549"/>
      <c r="AL614" s="549"/>
      <c r="AM614" s="549"/>
      <c r="AN614" s="549"/>
      <c r="AO614" s="549"/>
      <c r="AP614" s="549"/>
      <c r="AQ614" s="549"/>
      <c r="AR614" s="549"/>
      <c r="AS614" s="549"/>
      <c r="AT614" s="549"/>
      <c r="AU614" s="549"/>
      <c r="AV614" s="549"/>
      <c r="AW614" s="549"/>
      <c r="AX614" s="549"/>
      <c r="AY614" s="549"/>
      <c r="AZ614" s="549"/>
      <c r="BA614" s="549"/>
      <c r="BB614" s="549"/>
      <c r="BC614" s="549"/>
      <c r="BD614" s="549"/>
      <c r="BE614" s="549"/>
      <c r="BF614" s="549"/>
      <c r="BG614" s="549"/>
      <c r="BH614" s="549"/>
      <c r="BI614" s="549"/>
    </row>
    <row r="615" spans="16:61" s="254" customFormat="1" ht="9.9">
      <c r="P615" s="549"/>
      <c r="Q615" s="549"/>
      <c r="R615" s="549"/>
      <c r="S615" s="549"/>
      <c r="T615" s="549"/>
      <c r="U615" s="549"/>
      <c r="V615" s="549"/>
      <c r="W615" s="549"/>
      <c r="X615" s="549"/>
      <c r="Y615" s="549"/>
      <c r="Z615" s="549"/>
      <c r="AA615" s="549"/>
      <c r="AB615" s="549"/>
      <c r="AC615" s="549"/>
      <c r="AD615" s="549"/>
      <c r="AE615" s="549"/>
      <c r="AF615" s="549"/>
      <c r="AG615" s="549"/>
      <c r="AH615" s="549"/>
      <c r="AI615" s="549"/>
      <c r="AJ615" s="549"/>
      <c r="AK615" s="549"/>
      <c r="AL615" s="549"/>
      <c r="AM615" s="549"/>
      <c r="AN615" s="549"/>
      <c r="AO615" s="549"/>
      <c r="AP615" s="549"/>
      <c r="AQ615" s="549"/>
      <c r="AR615" s="549"/>
      <c r="AS615" s="549"/>
      <c r="AT615" s="549"/>
      <c r="AU615" s="549"/>
      <c r="AV615" s="549"/>
      <c r="AW615" s="549"/>
      <c r="AX615" s="549"/>
      <c r="AY615" s="549"/>
      <c r="AZ615" s="549"/>
      <c r="BA615" s="549"/>
      <c r="BB615" s="549"/>
      <c r="BC615" s="549"/>
      <c r="BD615" s="549"/>
      <c r="BE615" s="549"/>
      <c r="BF615" s="549"/>
      <c r="BG615" s="549"/>
      <c r="BH615" s="549"/>
      <c r="BI615" s="549"/>
    </row>
    <row r="616" spans="16:61" s="254" customFormat="1" ht="9.9">
      <c r="P616" s="549"/>
      <c r="Q616" s="549"/>
      <c r="R616" s="549"/>
      <c r="S616" s="549"/>
      <c r="T616" s="549"/>
      <c r="U616" s="549"/>
      <c r="V616" s="549"/>
      <c r="W616" s="549"/>
      <c r="X616" s="549"/>
      <c r="Y616" s="549"/>
      <c r="Z616" s="549"/>
      <c r="AA616" s="549"/>
      <c r="AB616" s="549"/>
      <c r="AC616" s="549"/>
      <c r="AD616" s="549"/>
      <c r="AE616" s="549"/>
      <c r="AF616" s="549"/>
      <c r="AG616" s="549"/>
      <c r="AH616" s="549"/>
      <c r="AI616" s="549"/>
      <c r="AJ616" s="549"/>
      <c r="AK616" s="549"/>
      <c r="AL616" s="549"/>
      <c r="AM616" s="549"/>
      <c r="AN616" s="549"/>
      <c r="AO616" s="549"/>
      <c r="AP616" s="549"/>
      <c r="AQ616" s="549"/>
      <c r="AR616" s="549"/>
      <c r="AS616" s="549"/>
      <c r="AT616" s="549"/>
      <c r="AU616" s="549"/>
      <c r="AV616" s="549"/>
      <c r="AW616" s="549"/>
      <c r="AX616" s="549"/>
      <c r="AY616" s="549"/>
      <c r="AZ616" s="549"/>
      <c r="BA616" s="549"/>
      <c r="BB616" s="549"/>
      <c r="BC616" s="549"/>
      <c r="BD616" s="549"/>
      <c r="BE616" s="549"/>
      <c r="BF616" s="549"/>
      <c r="BG616" s="549"/>
      <c r="BH616" s="549"/>
      <c r="BI616" s="549"/>
    </row>
    <row r="617" spans="16:61" s="254" customFormat="1" ht="9.9">
      <c r="P617" s="549"/>
      <c r="Q617" s="549"/>
      <c r="R617" s="549"/>
      <c r="S617" s="549"/>
      <c r="T617" s="549"/>
      <c r="U617" s="549"/>
      <c r="V617" s="549"/>
      <c r="W617" s="549"/>
      <c r="X617" s="549"/>
      <c r="Y617" s="549"/>
      <c r="Z617" s="549"/>
      <c r="AA617" s="549"/>
      <c r="AB617" s="549"/>
      <c r="AC617" s="549"/>
      <c r="AD617" s="549"/>
      <c r="AE617" s="549"/>
      <c r="AF617" s="549"/>
      <c r="AG617" s="549"/>
      <c r="AH617" s="549"/>
      <c r="AI617" s="549"/>
      <c r="AJ617" s="549"/>
      <c r="AK617" s="549"/>
      <c r="AL617" s="549"/>
      <c r="AM617" s="549"/>
      <c r="AN617" s="549"/>
      <c r="AO617" s="549"/>
      <c r="AP617" s="549"/>
      <c r="AQ617" s="549"/>
      <c r="AR617" s="549"/>
      <c r="AS617" s="549"/>
      <c r="AT617" s="549"/>
      <c r="AU617" s="549"/>
      <c r="AV617" s="549"/>
      <c r="AW617" s="549"/>
      <c r="AX617" s="549"/>
      <c r="AY617" s="549"/>
      <c r="AZ617" s="549"/>
      <c r="BA617" s="549"/>
      <c r="BB617" s="549"/>
      <c r="BC617" s="549"/>
      <c r="BD617" s="549"/>
      <c r="BE617" s="549"/>
      <c r="BF617" s="549"/>
      <c r="BG617" s="549"/>
      <c r="BH617" s="549"/>
      <c r="BI617" s="549"/>
    </row>
    <row r="618" spans="16:61" s="254" customFormat="1" ht="9.9">
      <c r="P618" s="549"/>
      <c r="Q618" s="549"/>
      <c r="R618" s="549"/>
      <c r="S618" s="549"/>
      <c r="T618" s="549"/>
      <c r="U618" s="549"/>
      <c r="V618" s="549"/>
      <c r="W618" s="549"/>
      <c r="X618" s="549"/>
      <c r="Y618" s="549"/>
      <c r="Z618" s="549"/>
      <c r="AA618" s="549"/>
      <c r="AB618" s="549"/>
      <c r="AC618" s="549"/>
      <c r="AD618" s="549"/>
      <c r="AE618" s="549"/>
      <c r="AF618" s="549"/>
      <c r="AG618" s="549"/>
      <c r="AH618" s="549"/>
      <c r="AI618" s="549"/>
      <c r="AJ618" s="549"/>
      <c r="AK618" s="549"/>
      <c r="AL618" s="549"/>
      <c r="AM618" s="549"/>
      <c r="AN618" s="549"/>
      <c r="AO618" s="549"/>
      <c r="AP618" s="549"/>
      <c r="AQ618" s="549"/>
      <c r="AR618" s="549"/>
      <c r="AS618" s="549"/>
      <c r="AT618" s="549"/>
      <c r="AU618" s="549"/>
      <c r="AV618" s="549"/>
      <c r="AW618" s="549"/>
      <c r="AX618" s="549"/>
      <c r="AY618" s="549"/>
      <c r="AZ618" s="549"/>
      <c r="BA618" s="549"/>
      <c r="BB618" s="549"/>
      <c r="BC618" s="549"/>
      <c r="BD618" s="549"/>
      <c r="BE618" s="549"/>
      <c r="BF618" s="549"/>
      <c r="BG618" s="549"/>
      <c r="BH618" s="549"/>
      <c r="BI618" s="549"/>
    </row>
    <row r="619" spans="16:61" s="254" customFormat="1" ht="9.9">
      <c r="P619" s="549"/>
      <c r="Q619" s="549"/>
      <c r="R619" s="549"/>
      <c r="S619" s="549"/>
      <c r="T619" s="549"/>
      <c r="U619" s="549"/>
      <c r="V619" s="549"/>
      <c r="W619" s="549"/>
      <c r="X619" s="549"/>
      <c r="Y619" s="549"/>
      <c r="Z619" s="549"/>
      <c r="AA619" s="549"/>
      <c r="AB619" s="549"/>
      <c r="AC619" s="549"/>
      <c r="AD619" s="549"/>
      <c r="AE619" s="549"/>
      <c r="AF619" s="549"/>
      <c r="AG619" s="549"/>
      <c r="AH619" s="549"/>
      <c r="AI619" s="549"/>
      <c r="AJ619" s="549"/>
      <c r="AK619" s="549"/>
      <c r="AL619" s="549"/>
      <c r="AM619" s="549"/>
      <c r="AN619" s="549"/>
      <c r="AO619" s="549"/>
      <c r="AP619" s="549"/>
      <c r="AQ619" s="549"/>
      <c r="AR619" s="549"/>
      <c r="AS619" s="549"/>
      <c r="AT619" s="549"/>
      <c r="AU619" s="549"/>
      <c r="AV619" s="549"/>
      <c r="AW619" s="549"/>
      <c r="AX619" s="549"/>
      <c r="AY619" s="549"/>
      <c r="AZ619" s="549"/>
      <c r="BA619" s="549"/>
      <c r="BB619" s="549"/>
      <c r="BC619" s="549"/>
      <c r="BD619" s="549"/>
      <c r="BE619" s="549"/>
      <c r="BF619" s="549"/>
      <c r="BG619" s="549"/>
      <c r="BH619" s="549"/>
      <c r="BI619" s="549"/>
    </row>
    <row r="620" spans="16:61" s="254" customFormat="1" ht="9.9">
      <c r="P620" s="549"/>
      <c r="Q620" s="549"/>
      <c r="R620" s="549"/>
      <c r="S620" s="549"/>
      <c r="T620" s="549"/>
      <c r="U620" s="549"/>
      <c r="V620" s="549"/>
      <c r="W620" s="549"/>
      <c r="X620" s="549"/>
      <c r="Y620" s="549"/>
      <c r="Z620" s="549"/>
      <c r="AA620" s="549"/>
      <c r="AB620" s="549"/>
      <c r="AC620" s="549"/>
      <c r="AD620" s="549"/>
      <c r="AE620" s="549"/>
      <c r="AF620" s="549"/>
      <c r="AG620" s="549"/>
      <c r="AH620" s="549"/>
      <c r="AI620" s="549"/>
      <c r="AJ620" s="549"/>
      <c r="AK620" s="549"/>
      <c r="AL620" s="549"/>
      <c r="AM620" s="549"/>
      <c r="AN620" s="549"/>
      <c r="AO620" s="549"/>
      <c r="AP620" s="549"/>
      <c r="AQ620" s="549"/>
      <c r="AR620" s="549"/>
      <c r="AS620" s="549"/>
      <c r="AT620" s="549"/>
      <c r="AU620" s="549"/>
      <c r="AV620" s="549"/>
      <c r="AW620" s="549"/>
      <c r="AX620" s="549"/>
      <c r="AY620" s="549"/>
      <c r="AZ620" s="549"/>
      <c r="BA620" s="549"/>
      <c r="BB620" s="549"/>
      <c r="BC620" s="549"/>
      <c r="BD620" s="549"/>
      <c r="BE620" s="549"/>
      <c r="BF620" s="549"/>
      <c r="BG620" s="549"/>
      <c r="BH620" s="549"/>
      <c r="BI620" s="549"/>
    </row>
    <row r="621" spans="16:61" s="254" customFormat="1" ht="9.9">
      <c r="P621" s="549"/>
      <c r="Q621" s="549"/>
      <c r="R621" s="549"/>
      <c r="S621" s="549"/>
      <c r="T621" s="549"/>
      <c r="U621" s="549"/>
      <c r="V621" s="549"/>
      <c r="W621" s="549"/>
      <c r="X621" s="549"/>
      <c r="Y621" s="549"/>
      <c r="Z621" s="549"/>
      <c r="AA621" s="549"/>
      <c r="AB621" s="549"/>
      <c r="AC621" s="549"/>
      <c r="AD621" s="549"/>
      <c r="AE621" s="549"/>
      <c r="AF621" s="549"/>
      <c r="AG621" s="549"/>
      <c r="AH621" s="549"/>
      <c r="AI621" s="549"/>
      <c r="AJ621" s="549"/>
      <c r="AK621" s="549"/>
      <c r="AL621" s="549"/>
      <c r="AM621" s="549"/>
      <c r="AN621" s="549"/>
      <c r="AO621" s="549"/>
      <c r="AP621" s="549"/>
      <c r="AQ621" s="549"/>
      <c r="AR621" s="549"/>
      <c r="AS621" s="549"/>
      <c r="AT621" s="549"/>
      <c r="AU621" s="549"/>
      <c r="AV621" s="549"/>
      <c r="AW621" s="549"/>
      <c r="AX621" s="549"/>
      <c r="AY621" s="549"/>
      <c r="AZ621" s="549"/>
      <c r="BA621" s="549"/>
      <c r="BB621" s="549"/>
      <c r="BC621" s="549"/>
      <c r="BD621" s="549"/>
      <c r="BE621" s="549"/>
      <c r="BF621" s="549"/>
      <c r="BG621" s="549"/>
      <c r="BH621" s="549"/>
      <c r="BI621" s="549"/>
    </row>
    <row r="622" spans="16:61" s="254" customFormat="1" ht="9.9">
      <c r="P622" s="549"/>
      <c r="Q622" s="549"/>
      <c r="R622" s="549"/>
      <c r="S622" s="549"/>
      <c r="T622" s="549"/>
      <c r="U622" s="549"/>
      <c r="V622" s="549"/>
      <c r="W622" s="549"/>
      <c r="X622" s="549"/>
      <c r="Y622" s="549"/>
      <c r="Z622" s="549"/>
      <c r="AA622" s="549"/>
      <c r="AB622" s="549"/>
      <c r="AC622" s="549"/>
      <c r="AD622" s="549"/>
      <c r="AE622" s="549"/>
      <c r="AF622" s="549"/>
      <c r="AG622" s="549"/>
      <c r="AH622" s="549"/>
      <c r="AI622" s="549"/>
      <c r="AJ622" s="549"/>
      <c r="AK622" s="549"/>
      <c r="AL622" s="549"/>
      <c r="AM622" s="549"/>
      <c r="AN622" s="549"/>
      <c r="AO622" s="549"/>
      <c r="AP622" s="549"/>
      <c r="AQ622" s="549"/>
      <c r="AR622" s="549"/>
      <c r="AS622" s="549"/>
      <c r="AT622" s="549"/>
      <c r="AU622" s="549"/>
      <c r="AV622" s="549"/>
      <c r="AW622" s="549"/>
      <c r="AX622" s="549"/>
      <c r="AY622" s="549"/>
      <c r="AZ622" s="549"/>
      <c r="BA622" s="549"/>
      <c r="BB622" s="549"/>
      <c r="BC622" s="549"/>
      <c r="BD622" s="549"/>
      <c r="BE622" s="549"/>
      <c r="BF622" s="549"/>
      <c r="BG622" s="549"/>
      <c r="BH622" s="549"/>
      <c r="BI622" s="549"/>
    </row>
    <row r="623" spans="16:61" s="254" customFormat="1" ht="9.9">
      <c r="P623" s="549"/>
      <c r="Q623" s="549"/>
      <c r="R623" s="549"/>
      <c r="S623" s="549"/>
      <c r="T623" s="549"/>
      <c r="U623" s="549"/>
      <c r="V623" s="549"/>
      <c r="W623" s="549"/>
      <c r="X623" s="549"/>
      <c r="Y623" s="549"/>
      <c r="Z623" s="549"/>
      <c r="AA623" s="549"/>
      <c r="AB623" s="549"/>
      <c r="AC623" s="549"/>
      <c r="AD623" s="549"/>
      <c r="AE623" s="549"/>
      <c r="AF623" s="549"/>
      <c r="AG623" s="549"/>
      <c r="AH623" s="549"/>
      <c r="AI623" s="549"/>
      <c r="AJ623" s="549"/>
      <c r="AK623" s="549"/>
      <c r="AL623" s="549"/>
      <c r="AM623" s="549"/>
      <c r="AN623" s="549"/>
      <c r="AO623" s="549"/>
      <c r="AP623" s="549"/>
      <c r="AQ623" s="549"/>
      <c r="AR623" s="549"/>
      <c r="AS623" s="549"/>
      <c r="AT623" s="549"/>
      <c r="AU623" s="549"/>
      <c r="AV623" s="549"/>
      <c r="AW623" s="549"/>
      <c r="AX623" s="549"/>
      <c r="AY623" s="549"/>
      <c r="AZ623" s="549"/>
      <c r="BA623" s="549"/>
      <c r="BB623" s="549"/>
      <c r="BC623" s="549"/>
      <c r="BD623" s="549"/>
      <c r="BE623" s="549"/>
      <c r="BF623" s="549"/>
      <c r="BG623" s="549"/>
      <c r="BH623" s="549"/>
      <c r="BI623" s="549"/>
    </row>
    <row r="624" spans="16:61" s="254" customFormat="1" ht="9.9">
      <c r="P624" s="549"/>
      <c r="Q624" s="549"/>
      <c r="R624" s="549"/>
      <c r="S624" s="549"/>
      <c r="T624" s="549"/>
      <c r="U624" s="549"/>
      <c r="V624" s="549"/>
      <c r="W624" s="549"/>
      <c r="X624" s="549"/>
      <c r="Y624" s="549"/>
      <c r="Z624" s="549"/>
      <c r="AA624" s="549"/>
      <c r="AB624" s="549"/>
      <c r="AC624" s="549"/>
      <c r="AD624" s="549"/>
      <c r="AE624" s="549"/>
      <c r="AF624" s="549"/>
      <c r="AG624" s="549"/>
      <c r="AH624" s="549"/>
      <c r="AI624" s="549"/>
      <c r="AJ624" s="549"/>
      <c r="AK624" s="549"/>
      <c r="AL624" s="549"/>
      <c r="AM624" s="549"/>
      <c r="AN624" s="549"/>
      <c r="AO624" s="549"/>
      <c r="AP624" s="549"/>
      <c r="AQ624" s="549"/>
      <c r="AR624" s="549"/>
      <c r="AS624" s="549"/>
      <c r="AT624" s="549"/>
      <c r="AU624" s="549"/>
      <c r="AV624" s="549"/>
      <c r="AW624" s="549"/>
      <c r="AX624" s="549"/>
      <c r="AY624" s="549"/>
      <c r="AZ624" s="549"/>
      <c r="BA624" s="549"/>
      <c r="BB624" s="549"/>
      <c r="BC624" s="549"/>
      <c r="BD624" s="549"/>
      <c r="BE624" s="549"/>
      <c r="BF624" s="549"/>
      <c r="BG624" s="549"/>
      <c r="BH624" s="549"/>
      <c r="BI624" s="549"/>
    </row>
    <row r="625" spans="16:61" s="254" customFormat="1" ht="9.9">
      <c r="P625" s="549"/>
      <c r="Q625" s="549"/>
      <c r="R625" s="549"/>
      <c r="S625" s="549"/>
      <c r="T625" s="549"/>
      <c r="U625" s="549"/>
      <c r="V625" s="549"/>
      <c r="W625" s="549"/>
      <c r="X625" s="549"/>
      <c r="Y625" s="549"/>
      <c r="Z625" s="549"/>
      <c r="AA625" s="549"/>
      <c r="AB625" s="549"/>
      <c r="AC625" s="549"/>
      <c r="AD625" s="549"/>
      <c r="AE625" s="549"/>
      <c r="AF625" s="549"/>
      <c r="AG625" s="549"/>
      <c r="AH625" s="549"/>
      <c r="AI625" s="549"/>
      <c r="AJ625" s="549"/>
      <c r="AK625" s="549"/>
      <c r="AL625" s="549"/>
      <c r="AM625" s="549"/>
      <c r="AN625" s="549"/>
      <c r="AO625" s="549"/>
      <c r="AP625" s="549"/>
      <c r="AQ625" s="549"/>
      <c r="AR625" s="549"/>
      <c r="AS625" s="549"/>
      <c r="AT625" s="549"/>
      <c r="AU625" s="549"/>
      <c r="AV625" s="549"/>
      <c r="AW625" s="549"/>
      <c r="AX625" s="549"/>
      <c r="AY625" s="549"/>
      <c r="AZ625" s="549"/>
      <c r="BA625" s="549"/>
      <c r="BB625" s="549"/>
      <c r="BC625" s="549"/>
      <c r="BD625" s="549"/>
      <c r="BE625" s="549"/>
      <c r="BF625" s="549"/>
      <c r="BG625" s="549"/>
      <c r="BH625" s="549"/>
      <c r="BI625" s="549"/>
    </row>
    <row r="626" spans="16:61" s="254" customFormat="1" ht="9.9">
      <c r="P626" s="549"/>
      <c r="Q626" s="549"/>
      <c r="R626" s="549"/>
      <c r="S626" s="549"/>
      <c r="T626" s="549"/>
      <c r="U626" s="549"/>
      <c r="V626" s="549"/>
      <c r="W626" s="549"/>
      <c r="X626" s="549"/>
      <c r="Y626" s="549"/>
      <c r="Z626" s="549"/>
      <c r="AA626" s="549"/>
      <c r="AB626" s="549"/>
      <c r="AC626" s="549"/>
      <c r="AD626" s="549"/>
      <c r="AE626" s="549"/>
      <c r="AF626" s="549"/>
      <c r="AG626" s="549"/>
      <c r="AH626" s="549"/>
      <c r="AI626" s="549"/>
      <c r="AJ626" s="549"/>
      <c r="AK626" s="549"/>
      <c r="AL626" s="549"/>
      <c r="AM626" s="549"/>
      <c r="AN626" s="549"/>
      <c r="AO626" s="549"/>
      <c r="AP626" s="549"/>
      <c r="AQ626" s="549"/>
      <c r="AR626" s="549"/>
      <c r="AS626" s="549"/>
      <c r="AT626" s="549"/>
      <c r="AU626" s="549"/>
      <c r="AV626" s="549"/>
      <c r="AW626" s="549"/>
      <c r="AX626" s="549"/>
      <c r="AY626" s="549"/>
      <c r="AZ626" s="549"/>
      <c r="BA626" s="549"/>
      <c r="BB626" s="549"/>
      <c r="BC626" s="549"/>
      <c r="BD626" s="549"/>
      <c r="BE626" s="549"/>
      <c r="BF626" s="549"/>
      <c r="BG626" s="549"/>
      <c r="BH626" s="549"/>
      <c r="BI626" s="549"/>
    </row>
    <row r="627" spans="16:61" s="254" customFormat="1" ht="9.9">
      <c r="P627" s="549"/>
      <c r="Q627" s="549"/>
      <c r="R627" s="549"/>
      <c r="S627" s="549"/>
      <c r="T627" s="549"/>
      <c r="U627" s="549"/>
      <c r="V627" s="549"/>
      <c r="W627" s="549"/>
      <c r="X627" s="549"/>
      <c r="Y627" s="549"/>
      <c r="Z627" s="549"/>
      <c r="AA627" s="549"/>
      <c r="AB627" s="549"/>
      <c r="AC627" s="549"/>
      <c r="AD627" s="549"/>
      <c r="AE627" s="549"/>
      <c r="AF627" s="549"/>
      <c r="AG627" s="549"/>
      <c r="AH627" s="549"/>
      <c r="AI627" s="549"/>
      <c r="AJ627" s="549"/>
      <c r="AK627" s="549"/>
      <c r="AL627" s="549"/>
      <c r="AM627" s="549"/>
      <c r="AN627" s="549"/>
      <c r="AO627" s="549"/>
      <c r="AP627" s="549"/>
      <c r="AQ627" s="549"/>
      <c r="AR627" s="549"/>
      <c r="AS627" s="549"/>
      <c r="AT627" s="549"/>
      <c r="AU627" s="549"/>
      <c r="AV627" s="549"/>
      <c r="AW627" s="549"/>
      <c r="AX627" s="549"/>
      <c r="AY627" s="549"/>
      <c r="AZ627" s="549"/>
      <c r="BA627" s="549"/>
      <c r="BB627" s="549"/>
      <c r="BC627" s="549"/>
      <c r="BD627" s="549"/>
      <c r="BE627" s="549"/>
      <c r="BF627" s="549"/>
      <c r="BG627" s="549"/>
      <c r="BH627" s="549"/>
      <c r="BI627" s="549"/>
    </row>
    <row r="628" spans="16:61" s="254" customFormat="1" ht="9.9">
      <c r="P628" s="549"/>
      <c r="Q628" s="549"/>
      <c r="R628" s="549"/>
      <c r="S628" s="549"/>
      <c r="T628" s="549"/>
      <c r="U628" s="549"/>
      <c r="V628" s="549"/>
      <c r="W628" s="549"/>
      <c r="X628" s="549"/>
      <c r="Y628" s="549"/>
      <c r="Z628" s="549"/>
      <c r="AA628" s="549"/>
      <c r="AB628" s="549"/>
      <c r="AC628" s="549"/>
      <c r="AD628" s="549"/>
      <c r="AE628" s="549"/>
      <c r="AF628" s="549"/>
      <c r="AG628" s="549"/>
      <c r="AH628" s="549"/>
      <c r="AI628" s="549"/>
      <c r="AJ628" s="549"/>
      <c r="AK628" s="549"/>
      <c r="AL628" s="549"/>
      <c r="AM628" s="549"/>
      <c r="AN628" s="549"/>
      <c r="AO628" s="549"/>
      <c r="AP628" s="549"/>
      <c r="AQ628" s="549"/>
      <c r="AR628" s="549"/>
      <c r="AS628" s="549"/>
      <c r="AT628" s="549"/>
      <c r="AU628" s="549"/>
      <c r="AV628" s="549"/>
      <c r="AW628" s="549"/>
      <c r="AX628" s="549"/>
      <c r="AY628" s="549"/>
      <c r="AZ628" s="549"/>
      <c r="BA628" s="549"/>
      <c r="BB628" s="549"/>
      <c r="BC628" s="549"/>
      <c r="BD628" s="549"/>
      <c r="BE628" s="549"/>
      <c r="BF628" s="549"/>
      <c r="BG628" s="549"/>
      <c r="BH628" s="549"/>
      <c r="BI628" s="549"/>
    </row>
    <row r="629" spans="16:61" s="254" customFormat="1" ht="9.9">
      <c r="P629" s="549"/>
      <c r="Q629" s="549"/>
      <c r="R629" s="549"/>
      <c r="S629" s="549"/>
      <c r="T629" s="549"/>
      <c r="U629" s="549"/>
      <c r="V629" s="549"/>
      <c r="W629" s="549"/>
      <c r="X629" s="549"/>
      <c r="Y629" s="549"/>
      <c r="Z629" s="549"/>
      <c r="AA629" s="549"/>
      <c r="AB629" s="549"/>
      <c r="AC629" s="549"/>
      <c r="AD629" s="549"/>
      <c r="AE629" s="549"/>
      <c r="AF629" s="549"/>
      <c r="AG629" s="549"/>
      <c r="AH629" s="549"/>
      <c r="AI629" s="549"/>
      <c r="AJ629" s="549"/>
      <c r="AK629" s="549"/>
      <c r="AL629" s="549"/>
      <c r="AM629" s="549"/>
      <c r="AN629" s="549"/>
      <c r="AO629" s="549"/>
      <c r="AP629" s="549"/>
      <c r="AQ629" s="549"/>
      <c r="AR629" s="549"/>
      <c r="AS629" s="549"/>
      <c r="AT629" s="549"/>
      <c r="AU629" s="549"/>
      <c r="AV629" s="549"/>
      <c r="AW629" s="549"/>
      <c r="AX629" s="549"/>
      <c r="AY629" s="549"/>
      <c r="AZ629" s="549"/>
      <c r="BA629" s="549"/>
      <c r="BB629" s="549"/>
      <c r="BC629" s="549"/>
      <c r="BD629" s="549"/>
      <c r="BE629" s="549"/>
      <c r="BF629" s="549"/>
      <c r="BG629" s="549"/>
      <c r="BH629" s="549"/>
      <c r="BI629" s="549"/>
    </row>
    <row r="630" spans="16:61" s="254" customFormat="1" ht="9.9">
      <c r="P630" s="549"/>
      <c r="Q630" s="549"/>
      <c r="R630" s="549"/>
      <c r="S630" s="549"/>
      <c r="T630" s="549"/>
      <c r="U630" s="549"/>
      <c r="V630" s="549"/>
      <c r="W630" s="549"/>
      <c r="X630" s="549"/>
      <c r="Y630" s="549"/>
      <c r="Z630" s="549"/>
      <c r="AA630" s="549"/>
      <c r="AB630" s="549"/>
      <c r="AC630" s="549"/>
      <c r="AD630" s="549"/>
      <c r="AE630" s="549"/>
      <c r="AF630" s="549"/>
      <c r="AG630" s="549"/>
      <c r="AH630" s="549"/>
      <c r="AI630" s="549"/>
      <c r="AJ630" s="549"/>
      <c r="AK630" s="549"/>
      <c r="AL630" s="549"/>
      <c r="AM630" s="549"/>
      <c r="AN630" s="549"/>
      <c r="AO630" s="549"/>
      <c r="AP630" s="549"/>
      <c r="AQ630" s="549"/>
      <c r="AR630" s="549"/>
      <c r="AS630" s="549"/>
      <c r="AT630" s="549"/>
      <c r="AU630" s="549"/>
      <c r="AV630" s="549"/>
      <c r="AW630" s="549"/>
      <c r="AX630" s="549"/>
      <c r="AY630" s="549"/>
      <c r="AZ630" s="549"/>
      <c r="BA630" s="549"/>
      <c r="BB630" s="549"/>
      <c r="BC630" s="549"/>
      <c r="BD630" s="549"/>
      <c r="BE630" s="549"/>
      <c r="BF630" s="549"/>
      <c r="BG630" s="549"/>
      <c r="BH630" s="549"/>
      <c r="BI630" s="549"/>
    </row>
    <row r="631" spans="16:61" s="254" customFormat="1" ht="9.9">
      <c r="P631" s="549"/>
      <c r="Q631" s="549"/>
      <c r="R631" s="549"/>
      <c r="S631" s="549"/>
      <c r="T631" s="549"/>
      <c r="U631" s="549"/>
      <c r="V631" s="549"/>
      <c r="W631" s="549"/>
      <c r="X631" s="549"/>
      <c r="Y631" s="549"/>
      <c r="Z631" s="549"/>
      <c r="AA631" s="549"/>
      <c r="AB631" s="549"/>
      <c r="AC631" s="549"/>
      <c r="AD631" s="549"/>
      <c r="AE631" s="549"/>
      <c r="AF631" s="549"/>
      <c r="AG631" s="549"/>
      <c r="AH631" s="549"/>
      <c r="AI631" s="549"/>
      <c r="AJ631" s="549"/>
      <c r="AK631" s="549"/>
      <c r="AL631" s="549"/>
      <c r="AM631" s="549"/>
      <c r="AN631" s="549"/>
      <c r="AO631" s="549"/>
      <c r="AP631" s="549"/>
      <c r="AQ631" s="549"/>
      <c r="AR631" s="549"/>
      <c r="AS631" s="549"/>
      <c r="AT631" s="549"/>
      <c r="AU631" s="549"/>
      <c r="AV631" s="549"/>
      <c r="AW631" s="549"/>
      <c r="AX631" s="549"/>
      <c r="AY631" s="549"/>
      <c r="AZ631" s="549"/>
      <c r="BA631" s="549"/>
      <c r="BB631" s="549"/>
      <c r="BC631" s="549"/>
      <c r="BD631" s="549"/>
      <c r="BE631" s="549"/>
      <c r="BF631" s="549"/>
      <c r="BG631" s="549"/>
      <c r="BH631" s="549"/>
      <c r="BI631" s="549"/>
    </row>
    <row r="632" spans="16:61" s="254" customFormat="1" ht="9.9">
      <c r="P632" s="549"/>
      <c r="Q632" s="549"/>
      <c r="R632" s="549"/>
      <c r="S632" s="549"/>
      <c r="T632" s="549"/>
      <c r="U632" s="549"/>
      <c r="V632" s="549"/>
      <c r="W632" s="549"/>
      <c r="X632" s="549"/>
      <c r="Y632" s="549"/>
      <c r="Z632" s="549"/>
      <c r="AA632" s="549"/>
      <c r="AB632" s="549"/>
      <c r="AC632" s="549"/>
      <c r="AD632" s="549"/>
      <c r="AE632" s="549"/>
      <c r="AF632" s="549"/>
      <c r="AG632" s="549"/>
      <c r="AH632" s="549"/>
      <c r="AI632" s="549"/>
      <c r="AJ632" s="549"/>
      <c r="AK632" s="549"/>
      <c r="AL632" s="549"/>
      <c r="AM632" s="549"/>
      <c r="AN632" s="549"/>
      <c r="AO632" s="549"/>
      <c r="AP632" s="549"/>
      <c r="AQ632" s="549"/>
      <c r="AR632" s="549"/>
      <c r="AS632" s="549"/>
      <c r="AT632" s="549"/>
      <c r="AU632" s="549"/>
      <c r="AV632" s="549"/>
      <c r="AW632" s="549"/>
      <c r="AX632" s="549"/>
      <c r="AY632" s="549"/>
      <c r="AZ632" s="549"/>
      <c r="BA632" s="549"/>
      <c r="BB632" s="549"/>
      <c r="BC632" s="549"/>
      <c r="BD632" s="549"/>
      <c r="BE632" s="549"/>
      <c r="BF632" s="549"/>
      <c r="BG632" s="549"/>
      <c r="BH632" s="549"/>
      <c r="BI632" s="549"/>
    </row>
    <row r="633" spans="16:61" s="254" customFormat="1" ht="9.9">
      <c r="P633" s="549"/>
      <c r="Q633" s="549"/>
      <c r="R633" s="549"/>
      <c r="S633" s="549"/>
      <c r="T633" s="549"/>
      <c r="U633" s="549"/>
      <c r="V633" s="549"/>
      <c r="W633" s="549"/>
      <c r="X633" s="549"/>
      <c r="Y633" s="549"/>
      <c r="Z633" s="549"/>
      <c r="AA633" s="549"/>
      <c r="AB633" s="549"/>
      <c r="AC633" s="549"/>
      <c r="AD633" s="549"/>
      <c r="AE633" s="549"/>
      <c r="AF633" s="549"/>
      <c r="AG633" s="549"/>
      <c r="AH633" s="549"/>
      <c r="AI633" s="549"/>
      <c r="AJ633" s="549"/>
      <c r="AK633" s="549"/>
      <c r="AL633" s="549"/>
      <c r="AM633" s="549"/>
      <c r="AN633" s="549"/>
      <c r="AO633" s="549"/>
      <c r="AP633" s="549"/>
      <c r="AQ633" s="549"/>
      <c r="AR633" s="549"/>
      <c r="AS633" s="549"/>
      <c r="AT633" s="549"/>
      <c r="AU633" s="549"/>
      <c r="AV633" s="549"/>
      <c r="AW633" s="549"/>
      <c r="AX633" s="549"/>
      <c r="AY633" s="549"/>
      <c r="AZ633" s="549"/>
      <c r="BA633" s="549"/>
      <c r="BB633" s="549"/>
      <c r="BC633" s="549"/>
      <c r="BD633" s="549"/>
      <c r="BE633" s="549"/>
      <c r="BF633" s="549"/>
      <c r="BG633" s="549"/>
      <c r="BH633" s="549"/>
      <c r="BI633" s="549"/>
    </row>
    <row r="634" spans="16:61" s="254" customFormat="1" ht="9.9">
      <c r="P634" s="549"/>
      <c r="Q634" s="549"/>
      <c r="R634" s="549"/>
      <c r="S634" s="549"/>
      <c r="T634" s="549"/>
      <c r="U634" s="549"/>
      <c r="V634" s="549"/>
      <c r="W634" s="549"/>
      <c r="X634" s="549"/>
      <c r="Y634" s="549"/>
      <c r="Z634" s="549"/>
      <c r="AA634" s="549"/>
      <c r="AB634" s="549"/>
      <c r="AC634" s="549"/>
      <c r="AD634" s="549"/>
      <c r="AE634" s="549"/>
      <c r="AF634" s="549"/>
      <c r="AG634" s="549"/>
      <c r="AH634" s="549"/>
      <c r="AI634" s="549"/>
      <c r="AJ634" s="549"/>
      <c r="AK634" s="549"/>
      <c r="AL634" s="549"/>
      <c r="AM634" s="549"/>
      <c r="AN634" s="549"/>
      <c r="AO634" s="549"/>
      <c r="AP634" s="549"/>
      <c r="AQ634" s="549"/>
      <c r="AR634" s="549"/>
      <c r="AS634" s="549"/>
      <c r="AT634" s="549"/>
      <c r="AU634" s="549"/>
      <c r="AV634" s="549"/>
      <c r="AW634" s="549"/>
      <c r="AX634" s="549"/>
      <c r="AY634" s="549"/>
      <c r="AZ634" s="549"/>
      <c r="BA634" s="549"/>
      <c r="BB634" s="549"/>
      <c r="BC634" s="549"/>
      <c r="BD634" s="549"/>
      <c r="BE634" s="549"/>
      <c r="BF634" s="549"/>
      <c r="BG634" s="549"/>
      <c r="BH634" s="549"/>
      <c r="BI634" s="549"/>
    </row>
    <row r="635" spans="16:61" s="254" customFormat="1" ht="9.9">
      <c r="P635" s="549"/>
      <c r="Q635" s="549"/>
      <c r="R635" s="549"/>
      <c r="S635" s="549"/>
      <c r="T635" s="549"/>
      <c r="U635" s="549"/>
      <c r="V635" s="549"/>
      <c r="W635" s="549"/>
      <c r="X635" s="549"/>
      <c r="Y635" s="549"/>
      <c r="Z635" s="549"/>
      <c r="AA635" s="549"/>
      <c r="AB635" s="549"/>
      <c r="AC635" s="549"/>
      <c r="AD635" s="549"/>
      <c r="AE635" s="549"/>
      <c r="AF635" s="549"/>
      <c r="AG635" s="549"/>
      <c r="AH635" s="549"/>
      <c r="AI635" s="549"/>
      <c r="AJ635" s="549"/>
      <c r="AK635" s="549"/>
      <c r="AL635" s="549"/>
      <c r="AM635" s="549"/>
      <c r="AN635" s="549"/>
      <c r="AO635" s="549"/>
      <c r="AP635" s="549"/>
      <c r="AQ635" s="549"/>
      <c r="AR635" s="549"/>
      <c r="AS635" s="549"/>
      <c r="AT635" s="549"/>
      <c r="AU635" s="549"/>
      <c r="AV635" s="549"/>
      <c r="AW635" s="549"/>
      <c r="AX635" s="549"/>
      <c r="AY635" s="549"/>
      <c r="AZ635" s="549"/>
      <c r="BA635" s="549"/>
      <c r="BB635" s="549"/>
      <c r="BC635" s="549"/>
      <c r="BD635" s="549"/>
      <c r="BE635" s="549"/>
      <c r="BF635" s="549"/>
      <c r="BG635" s="549"/>
      <c r="BH635" s="549"/>
      <c r="BI635" s="549"/>
    </row>
    <row r="636" spans="16:61" s="254" customFormat="1" ht="9.9">
      <c r="P636" s="549"/>
      <c r="Q636" s="549"/>
      <c r="R636" s="549"/>
      <c r="S636" s="549"/>
      <c r="T636" s="549"/>
      <c r="U636" s="549"/>
      <c r="V636" s="549"/>
      <c r="W636" s="549"/>
      <c r="X636" s="549"/>
      <c r="Y636" s="549"/>
      <c r="Z636" s="549"/>
      <c r="AA636" s="549"/>
      <c r="AB636" s="549"/>
      <c r="AC636" s="549"/>
      <c r="AD636" s="549"/>
      <c r="AE636" s="549"/>
      <c r="AF636" s="549"/>
      <c r="AG636" s="549"/>
      <c r="AH636" s="549"/>
      <c r="AI636" s="549"/>
      <c r="AJ636" s="549"/>
      <c r="AK636" s="549"/>
      <c r="AL636" s="549"/>
      <c r="AM636" s="549"/>
      <c r="AN636" s="549"/>
      <c r="AO636" s="549"/>
      <c r="AP636" s="549"/>
      <c r="AQ636" s="549"/>
      <c r="AR636" s="549"/>
      <c r="AS636" s="549"/>
      <c r="AT636" s="549"/>
      <c r="AU636" s="549"/>
      <c r="AV636" s="549"/>
      <c r="AW636" s="549"/>
      <c r="AX636" s="549"/>
      <c r="AY636" s="549"/>
      <c r="AZ636" s="549"/>
      <c r="BA636" s="549"/>
      <c r="BB636" s="549"/>
      <c r="BC636" s="549"/>
      <c r="BD636" s="549"/>
      <c r="BE636" s="549"/>
      <c r="BF636" s="549"/>
      <c r="BG636" s="549"/>
      <c r="BH636" s="549"/>
      <c r="BI636" s="549"/>
    </row>
    <row r="637" spans="16:61" s="254" customFormat="1" ht="9.9">
      <c r="P637" s="549"/>
      <c r="Q637" s="549"/>
      <c r="R637" s="549"/>
      <c r="S637" s="549"/>
      <c r="T637" s="549"/>
      <c r="U637" s="549"/>
      <c r="V637" s="549"/>
      <c r="W637" s="549"/>
      <c r="X637" s="549"/>
      <c r="Y637" s="549"/>
      <c r="Z637" s="549"/>
      <c r="AA637" s="549"/>
      <c r="AB637" s="549"/>
      <c r="AC637" s="549"/>
      <c r="AD637" s="549"/>
      <c r="AE637" s="549"/>
      <c r="AF637" s="549"/>
      <c r="AG637" s="549"/>
      <c r="AH637" s="549"/>
      <c r="AI637" s="549"/>
      <c r="AJ637" s="549"/>
      <c r="AK637" s="549"/>
      <c r="AL637" s="549"/>
      <c r="AM637" s="549"/>
      <c r="AN637" s="549"/>
      <c r="AO637" s="549"/>
      <c r="AP637" s="549"/>
      <c r="AQ637" s="549"/>
      <c r="AR637" s="549"/>
      <c r="AS637" s="549"/>
      <c r="AT637" s="549"/>
      <c r="AU637" s="549"/>
      <c r="AV637" s="549"/>
      <c r="AW637" s="549"/>
      <c r="AX637" s="549"/>
      <c r="AY637" s="549"/>
      <c r="AZ637" s="549"/>
      <c r="BA637" s="549"/>
      <c r="BB637" s="549"/>
      <c r="BC637" s="549"/>
      <c r="BD637" s="549"/>
      <c r="BE637" s="549"/>
      <c r="BF637" s="549"/>
      <c r="BG637" s="549"/>
      <c r="BH637" s="549"/>
      <c r="BI637" s="549"/>
    </row>
    <row r="638" spans="16:61" s="254" customFormat="1" ht="9.9">
      <c r="P638" s="549"/>
      <c r="Q638" s="549"/>
      <c r="R638" s="549"/>
      <c r="S638" s="549"/>
      <c r="T638" s="549"/>
      <c r="U638" s="549"/>
      <c r="V638" s="549"/>
      <c r="W638" s="549"/>
      <c r="X638" s="549"/>
      <c r="Y638" s="549"/>
      <c r="Z638" s="549"/>
      <c r="AA638" s="549"/>
      <c r="AB638" s="549"/>
      <c r="AC638" s="549"/>
      <c r="AD638" s="549"/>
      <c r="AE638" s="549"/>
      <c r="AF638" s="549"/>
      <c r="AG638" s="549"/>
      <c r="AH638" s="549"/>
      <c r="AI638" s="549"/>
      <c r="AJ638" s="549"/>
      <c r="AK638" s="549"/>
      <c r="AL638" s="549"/>
      <c r="AM638" s="549"/>
      <c r="AN638" s="549"/>
      <c r="AO638" s="549"/>
      <c r="AP638" s="549"/>
      <c r="AQ638" s="549"/>
      <c r="AR638" s="549"/>
      <c r="AS638" s="549"/>
      <c r="AT638" s="549"/>
      <c r="AU638" s="549"/>
      <c r="AV638" s="549"/>
      <c r="AW638" s="549"/>
      <c r="AX638" s="549"/>
      <c r="AY638" s="549"/>
      <c r="AZ638" s="549"/>
      <c r="BA638" s="549"/>
      <c r="BB638" s="549"/>
      <c r="BC638" s="549"/>
      <c r="BD638" s="549"/>
      <c r="BE638" s="549"/>
      <c r="BF638" s="549"/>
      <c r="BG638" s="549"/>
      <c r="BH638" s="549"/>
      <c r="BI638" s="549"/>
    </row>
    <row r="639" spans="16:61" s="254" customFormat="1" ht="9.9">
      <c r="P639" s="549"/>
      <c r="Q639" s="549"/>
      <c r="R639" s="549"/>
      <c r="S639" s="549"/>
      <c r="T639" s="549"/>
      <c r="U639" s="549"/>
      <c r="V639" s="549"/>
      <c r="W639" s="549"/>
      <c r="X639" s="549"/>
      <c r="Y639" s="549"/>
      <c r="Z639" s="549"/>
      <c r="AA639" s="549"/>
      <c r="AB639" s="549"/>
      <c r="AC639" s="549"/>
      <c r="AD639" s="549"/>
      <c r="AE639" s="549"/>
      <c r="AF639" s="549"/>
      <c r="AG639" s="549"/>
      <c r="AH639" s="549"/>
      <c r="AI639" s="549"/>
      <c r="AJ639" s="549"/>
      <c r="AK639" s="549"/>
      <c r="AL639" s="549"/>
      <c r="AM639" s="549"/>
      <c r="AN639" s="549"/>
      <c r="AO639" s="549"/>
      <c r="AP639" s="549"/>
      <c r="AQ639" s="549"/>
      <c r="AR639" s="549"/>
      <c r="AS639" s="549"/>
      <c r="AT639" s="549"/>
      <c r="AU639" s="549"/>
      <c r="AV639" s="549"/>
      <c r="AW639" s="549"/>
      <c r="AX639" s="549"/>
      <c r="AY639" s="549"/>
      <c r="AZ639" s="549"/>
      <c r="BA639" s="549"/>
      <c r="BB639" s="549"/>
      <c r="BC639" s="549"/>
      <c r="BD639" s="549"/>
      <c r="BE639" s="549"/>
      <c r="BF639" s="549"/>
      <c r="BG639" s="549"/>
      <c r="BH639" s="549"/>
      <c r="BI639" s="549"/>
    </row>
    <row r="640" spans="16:61" s="254" customFormat="1" ht="9.9">
      <c r="P640" s="549"/>
      <c r="Q640" s="549"/>
      <c r="R640" s="549"/>
      <c r="S640" s="549"/>
      <c r="T640" s="549"/>
      <c r="U640" s="549"/>
      <c r="V640" s="549"/>
      <c r="W640" s="549"/>
      <c r="X640" s="549"/>
      <c r="Y640" s="549"/>
      <c r="Z640" s="549"/>
      <c r="AA640" s="549"/>
      <c r="AB640" s="549"/>
      <c r="AC640" s="549"/>
      <c r="AD640" s="549"/>
      <c r="AE640" s="549"/>
      <c r="AF640" s="549"/>
      <c r="AG640" s="549"/>
      <c r="AH640" s="549"/>
      <c r="AI640" s="549"/>
      <c r="AJ640" s="549"/>
      <c r="AK640" s="549"/>
      <c r="AL640" s="549"/>
      <c r="AM640" s="549"/>
      <c r="AN640" s="549"/>
      <c r="AO640" s="549"/>
      <c r="AP640" s="549"/>
      <c r="AQ640" s="549"/>
      <c r="AR640" s="549"/>
      <c r="AS640" s="549"/>
      <c r="AT640" s="549"/>
      <c r="AU640" s="549"/>
      <c r="AV640" s="549"/>
      <c r="AW640" s="549"/>
      <c r="AX640" s="549"/>
      <c r="AY640" s="549"/>
      <c r="AZ640" s="549"/>
      <c r="BA640" s="549"/>
      <c r="BB640" s="549"/>
      <c r="BC640" s="549"/>
      <c r="BD640" s="549"/>
      <c r="BE640" s="549"/>
      <c r="BF640" s="549"/>
      <c r="BG640" s="549"/>
      <c r="BH640" s="549"/>
      <c r="BI640" s="549"/>
    </row>
    <row r="641" spans="16:61" s="254" customFormat="1" ht="9.9">
      <c r="P641" s="549"/>
      <c r="Q641" s="549"/>
      <c r="R641" s="549"/>
      <c r="S641" s="549"/>
      <c r="T641" s="549"/>
      <c r="U641" s="549"/>
      <c r="V641" s="549"/>
      <c r="W641" s="549"/>
      <c r="X641" s="549"/>
      <c r="Y641" s="549"/>
      <c r="Z641" s="549"/>
      <c r="AA641" s="549"/>
      <c r="AB641" s="549"/>
      <c r="AC641" s="549"/>
      <c r="AD641" s="549"/>
      <c r="AE641" s="549"/>
      <c r="AF641" s="549"/>
      <c r="AG641" s="549"/>
      <c r="AH641" s="549"/>
      <c r="AI641" s="549"/>
      <c r="AJ641" s="549"/>
      <c r="AK641" s="549"/>
      <c r="AL641" s="549"/>
      <c r="AM641" s="549"/>
      <c r="AN641" s="549"/>
      <c r="AO641" s="549"/>
      <c r="AP641" s="549"/>
      <c r="AQ641" s="549"/>
      <c r="AR641" s="549"/>
      <c r="AS641" s="549"/>
      <c r="AT641" s="549"/>
      <c r="AU641" s="549"/>
      <c r="AV641" s="549"/>
      <c r="AW641" s="549"/>
      <c r="AX641" s="549"/>
      <c r="AY641" s="549"/>
      <c r="AZ641" s="549"/>
      <c r="BA641" s="549"/>
      <c r="BB641" s="549"/>
      <c r="BC641" s="549"/>
      <c r="BD641" s="549"/>
      <c r="BE641" s="549"/>
      <c r="BF641" s="549"/>
      <c r="BG641" s="549"/>
      <c r="BH641" s="549"/>
      <c r="BI641" s="549"/>
    </row>
    <row r="642" spans="16:61" s="254" customFormat="1" ht="9.9">
      <c r="P642" s="549"/>
      <c r="Q642" s="549"/>
      <c r="R642" s="549"/>
      <c r="S642" s="549"/>
      <c r="T642" s="549"/>
      <c r="U642" s="549"/>
      <c r="V642" s="549"/>
      <c r="W642" s="549"/>
      <c r="X642" s="549"/>
      <c r="Y642" s="549"/>
      <c r="Z642" s="549"/>
      <c r="AA642" s="549"/>
      <c r="AB642" s="549"/>
      <c r="AC642" s="549"/>
      <c r="AD642" s="549"/>
      <c r="AE642" s="549"/>
      <c r="AF642" s="549"/>
      <c r="AG642" s="549"/>
      <c r="AH642" s="549"/>
      <c r="AI642" s="549"/>
      <c r="AJ642" s="549"/>
      <c r="AK642" s="549"/>
      <c r="AL642" s="549"/>
      <c r="AM642" s="549"/>
      <c r="AN642" s="549"/>
      <c r="AO642" s="549"/>
      <c r="AP642" s="549"/>
      <c r="AQ642" s="549"/>
      <c r="AR642" s="549"/>
      <c r="AS642" s="549"/>
      <c r="AT642" s="549"/>
      <c r="AU642" s="549"/>
      <c r="AV642" s="549"/>
      <c r="AW642" s="549"/>
      <c r="AX642" s="549"/>
      <c r="AY642" s="549"/>
      <c r="AZ642" s="549"/>
      <c r="BA642" s="549"/>
      <c r="BB642" s="549"/>
      <c r="BC642" s="549"/>
      <c r="BD642" s="549"/>
      <c r="BE642" s="549"/>
      <c r="BF642" s="549"/>
      <c r="BG642" s="549"/>
      <c r="BH642" s="549"/>
      <c r="BI642" s="549"/>
    </row>
    <row r="643" spans="16:61" s="254" customFormat="1" ht="9.9">
      <c r="P643" s="549"/>
      <c r="Q643" s="549"/>
      <c r="R643" s="549"/>
      <c r="S643" s="549"/>
      <c r="T643" s="549"/>
      <c r="U643" s="549"/>
      <c r="V643" s="549"/>
      <c r="W643" s="549"/>
      <c r="X643" s="549"/>
      <c r="Y643" s="549"/>
      <c r="Z643" s="549"/>
      <c r="AA643" s="549"/>
      <c r="AB643" s="549"/>
      <c r="AC643" s="549"/>
      <c r="AD643" s="549"/>
      <c r="AE643" s="549"/>
      <c r="AF643" s="549"/>
      <c r="AG643" s="549"/>
      <c r="AH643" s="549"/>
      <c r="AI643" s="549"/>
      <c r="AJ643" s="549"/>
      <c r="AK643" s="549"/>
      <c r="AL643" s="549"/>
      <c r="AM643" s="549"/>
      <c r="AN643" s="549"/>
      <c r="AO643" s="549"/>
      <c r="AP643" s="549"/>
      <c r="AQ643" s="549"/>
      <c r="AR643" s="549"/>
      <c r="AS643" s="549"/>
      <c r="AT643" s="549"/>
      <c r="AU643" s="549"/>
      <c r="AV643" s="549"/>
      <c r="AW643" s="549"/>
      <c r="AX643" s="549"/>
      <c r="AY643" s="549"/>
      <c r="AZ643" s="549"/>
      <c r="BA643" s="549"/>
      <c r="BB643" s="549"/>
      <c r="BC643" s="549"/>
      <c r="BD643" s="549"/>
      <c r="BE643" s="549"/>
      <c r="BF643" s="549"/>
      <c r="BG643" s="549"/>
      <c r="BH643" s="549"/>
      <c r="BI643" s="549"/>
    </row>
    <row r="644" spans="16:61" s="254" customFormat="1" ht="9.9">
      <c r="P644" s="549"/>
      <c r="Q644" s="549"/>
      <c r="R644" s="549"/>
      <c r="S644" s="549"/>
      <c r="T644" s="549"/>
      <c r="U644" s="549"/>
      <c r="V644" s="549"/>
      <c r="W644" s="549"/>
      <c r="X644" s="549"/>
      <c r="Y644" s="549"/>
      <c r="Z644" s="549"/>
      <c r="AA644" s="549"/>
      <c r="AB644" s="549"/>
      <c r="AC644" s="549"/>
      <c r="AD644" s="549"/>
      <c r="AE644" s="549"/>
      <c r="AF644" s="549"/>
      <c r="AG644" s="549"/>
      <c r="AH644" s="549"/>
      <c r="AI644" s="549"/>
      <c r="AJ644" s="549"/>
      <c r="AK644" s="549"/>
      <c r="AL644" s="549"/>
      <c r="AM644" s="549"/>
      <c r="AN644" s="549"/>
      <c r="AO644" s="549"/>
      <c r="AP644" s="549"/>
      <c r="AQ644" s="549"/>
      <c r="AR644" s="549"/>
      <c r="AS644" s="549"/>
      <c r="AT644" s="549"/>
      <c r="AU644" s="549"/>
      <c r="AV644" s="549"/>
      <c r="AW644" s="549"/>
      <c r="AX644" s="549"/>
      <c r="AY644" s="549"/>
      <c r="AZ644" s="549"/>
      <c r="BA644" s="549"/>
      <c r="BB644" s="549"/>
      <c r="BC644" s="549"/>
      <c r="BD644" s="549"/>
      <c r="BE644" s="549"/>
      <c r="BF644" s="549"/>
      <c r="BG644" s="549"/>
      <c r="BH644" s="549"/>
      <c r="BI644" s="549"/>
    </row>
    <row r="645" spans="16:61" s="254" customFormat="1" ht="9.9">
      <c r="P645" s="549"/>
      <c r="Q645" s="549"/>
      <c r="R645" s="549"/>
      <c r="S645" s="549"/>
      <c r="T645" s="549"/>
      <c r="U645" s="549"/>
      <c r="V645" s="549"/>
      <c r="W645" s="549"/>
      <c r="X645" s="549"/>
      <c r="Y645" s="549"/>
      <c r="Z645" s="549"/>
      <c r="AA645" s="549"/>
      <c r="AB645" s="549"/>
      <c r="AC645" s="549"/>
      <c r="AD645" s="549"/>
      <c r="AE645" s="549"/>
      <c r="AF645" s="549"/>
      <c r="AG645" s="549"/>
      <c r="AH645" s="549"/>
      <c r="AI645" s="549"/>
      <c r="AJ645" s="549"/>
      <c r="AK645" s="549"/>
      <c r="AL645" s="549"/>
      <c r="AM645" s="549"/>
      <c r="AN645" s="549"/>
      <c r="AO645" s="549"/>
      <c r="AP645" s="549"/>
      <c r="AQ645" s="549"/>
      <c r="AR645" s="549"/>
      <c r="AS645" s="549"/>
      <c r="AT645" s="549"/>
      <c r="AU645" s="549"/>
      <c r="AV645" s="549"/>
      <c r="AW645" s="549"/>
      <c r="AX645" s="549"/>
      <c r="AY645" s="549"/>
      <c r="AZ645" s="549"/>
      <c r="BA645" s="549"/>
      <c r="BB645" s="549"/>
      <c r="BC645" s="549"/>
      <c r="BD645" s="549"/>
      <c r="BE645" s="549"/>
      <c r="BF645" s="549"/>
      <c r="BG645" s="549"/>
      <c r="BH645" s="549"/>
      <c r="BI645" s="549"/>
    </row>
    <row r="646" spans="16:61" s="254" customFormat="1" ht="9.9">
      <c r="P646" s="549"/>
      <c r="Q646" s="549"/>
      <c r="R646" s="549"/>
      <c r="S646" s="549"/>
      <c r="T646" s="549"/>
      <c r="U646" s="549"/>
      <c r="V646" s="549"/>
      <c r="W646" s="549"/>
      <c r="X646" s="549"/>
      <c r="Y646" s="549"/>
      <c r="Z646" s="549"/>
      <c r="AA646" s="549"/>
      <c r="AB646" s="549"/>
      <c r="AC646" s="549"/>
      <c r="AD646" s="549"/>
      <c r="AE646" s="549"/>
      <c r="AF646" s="549"/>
      <c r="AG646" s="549"/>
      <c r="AH646" s="549"/>
      <c r="AI646" s="549"/>
      <c r="AJ646" s="549"/>
      <c r="AK646" s="549"/>
      <c r="AL646" s="549"/>
      <c r="AM646" s="549"/>
      <c r="AN646" s="549"/>
      <c r="AO646" s="549"/>
      <c r="AP646" s="549"/>
      <c r="AQ646" s="549"/>
      <c r="AR646" s="549"/>
      <c r="AS646" s="549"/>
      <c r="AT646" s="549"/>
      <c r="AU646" s="549"/>
      <c r="AV646" s="549"/>
      <c r="AW646" s="549"/>
      <c r="AX646" s="549"/>
      <c r="AY646" s="549"/>
      <c r="AZ646" s="549"/>
      <c r="BA646" s="549"/>
      <c r="BB646" s="549"/>
      <c r="BC646" s="549"/>
      <c r="BD646" s="549"/>
      <c r="BE646" s="549"/>
      <c r="BF646" s="549"/>
      <c r="BG646" s="549"/>
      <c r="BH646" s="549"/>
      <c r="BI646" s="549"/>
    </row>
    <row r="647" spans="16:61" s="254" customFormat="1" ht="9.9">
      <c r="P647" s="549"/>
      <c r="Q647" s="549"/>
      <c r="R647" s="549"/>
      <c r="S647" s="549"/>
      <c r="T647" s="549"/>
      <c r="U647" s="549"/>
      <c r="V647" s="549"/>
      <c r="W647" s="549"/>
      <c r="X647" s="549"/>
      <c r="Y647" s="549"/>
      <c r="Z647" s="549"/>
      <c r="AA647" s="549"/>
      <c r="AB647" s="549"/>
      <c r="AC647" s="549"/>
      <c r="AD647" s="549"/>
      <c r="AE647" s="549"/>
      <c r="AF647" s="549"/>
      <c r="AG647" s="549"/>
      <c r="AH647" s="549"/>
      <c r="AI647" s="549"/>
      <c r="AJ647" s="549"/>
      <c r="AK647" s="549"/>
      <c r="AL647" s="549"/>
      <c r="AM647" s="549"/>
      <c r="AN647" s="549"/>
      <c r="AO647" s="549"/>
      <c r="AP647" s="549"/>
      <c r="AQ647" s="549"/>
      <c r="AR647" s="549"/>
      <c r="AS647" s="549"/>
      <c r="AT647" s="549"/>
      <c r="AU647" s="549"/>
      <c r="AV647" s="549"/>
      <c r="AW647" s="549"/>
      <c r="AX647" s="549"/>
      <c r="AY647" s="549"/>
      <c r="AZ647" s="549"/>
      <c r="BA647" s="549"/>
      <c r="BB647" s="549"/>
      <c r="BC647" s="549"/>
      <c r="BD647" s="549"/>
      <c r="BE647" s="549"/>
      <c r="BF647" s="549"/>
      <c r="BG647" s="549"/>
      <c r="BH647" s="549"/>
      <c r="BI647" s="549"/>
    </row>
    <row r="648" spans="16:61" s="254" customFormat="1" ht="9.9">
      <c r="P648" s="549"/>
      <c r="Q648" s="549"/>
      <c r="R648" s="549"/>
      <c r="S648" s="549"/>
      <c r="T648" s="549"/>
      <c r="U648" s="549"/>
      <c r="V648" s="549"/>
      <c r="W648" s="549"/>
      <c r="X648" s="549"/>
      <c r="Y648" s="549"/>
      <c r="Z648" s="549"/>
      <c r="AA648" s="549"/>
      <c r="AB648" s="549"/>
      <c r="AC648" s="549"/>
      <c r="AD648" s="549"/>
      <c r="AE648" s="549"/>
      <c r="AF648" s="549"/>
      <c r="AG648" s="549"/>
      <c r="AH648" s="549"/>
      <c r="AI648" s="549"/>
      <c r="AJ648" s="549"/>
      <c r="AK648" s="549"/>
      <c r="AL648" s="549"/>
      <c r="AM648" s="549"/>
      <c r="AN648" s="549"/>
      <c r="AO648" s="549"/>
      <c r="AP648" s="549"/>
      <c r="AQ648" s="549"/>
      <c r="AR648" s="549"/>
      <c r="AS648" s="549"/>
      <c r="AT648" s="549"/>
      <c r="AU648" s="549"/>
      <c r="AV648" s="549"/>
      <c r="AW648" s="549"/>
      <c r="AX648" s="549"/>
      <c r="AY648" s="549"/>
      <c r="AZ648" s="549"/>
      <c r="BA648" s="549"/>
      <c r="BB648" s="549"/>
      <c r="BC648" s="549"/>
      <c r="BD648" s="549"/>
      <c r="BE648" s="549"/>
      <c r="BF648" s="549"/>
      <c r="BG648" s="549"/>
      <c r="BH648" s="549"/>
      <c r="BI648" s="549"/>
    </row>
    <row r="649" spans="16:61" s="254" customFormat="1" ht="9.9">
      <c r="P649" s="549"/>
      <c r="Q649" s="549"/>
      <c r="R649" s="549"/>
      <c r="S649" s="549"/>
      <c r="T649" s="549"/>
      <c r="U649" s="549"/>
      <c r="V649" s="549"/>
      <c r="W649" s="549"/>
      <c r="X649" s="549"/>
      <c r="Y649" s="549"/>
      <c r="Z649" s="549"/>
      <c r="AA649" s="549"/>
      <c r="AB649" s="549"/>
      <c r="AC649" s="549"/>
      <c r="AD649" s="549"/>
      <c r="AE649" s="549"/>
      <c r="AF649" s="549"/>
      <c r="AG649" s="549"/>
      <c r="AH649" s="549"/>
      <c r="AI649" s="549"/>
      <c r="AJ649" s="549"/>
      <c r="AK649" s="549"/>
      <c r="AL649" s="549"/>
      <c r="AM649" s="549"/>
      <c r="AN649" s="549"/>
      <c r="AO649" s="549"/>
      <c r="AP649" s="549"/>
      <c r="AQ649" s="549"/>
      <c r="AR649" s="549"/>
      <c r="AS649" s="549"/>
      <c r="AT649" s="549"/>
      <c r="AU649" s="549"/>
      <c r="AV649" s="549"/>
      <c r="AW649" s="549"/>
      <c r="AX649" s="549"/>
      <c r="AY649" s="549"/>
      <c r="AZ649" s="549"/>
      <c r="BA649" s="549"/>
      <c r="BB649" s="549"/>
      <c r="BC649" s="549"/>
      <c r="BD649" s="549"/>
      <c r="BE649" s="549"/>
      <c r="BF649" s="549"/>
      <c r="BG649" s="549"/>
      <c r="BH649" s="549"/>
      <c r="BI649" s="549"/>
    </row>
    <row r="650" spans="16:61" s="254" customFormat="1" ht="9.9">
      <c r="P650" s="549"/>
      <c r="Q650" s="549"/>
      <c r="R650" s="549"/>
      <c r="S650" s="549"/>
      <c r="T650" s="549"/>
      <c r="U650" s="549"/>
      <c r="V650" s="549"/>
      <c r="W650" s="549"/>
      <c r="X650" s="549"/>
      <c r="Y650" s="549"/>
      <c r="Z650" s="549"/>
      <c r="AA650" s="549"/>
      <c r="AB650" s="549"/>
      <c r="AC650" s="549"/>
      <c r="AD650" s="549"/>
      <c r="AE650" s="549"/>
      <c r="AF650" s="549"/>
      <c r="AG650" s="549"/>
      <c r="AH650" s="549"/>
      <c r="AI650" s="549"/>
      <c r="AJ650" s="549"/>
      <c r="AK650" s="549"/>
      <c r="AL650" s="549"/>
      <c r="AM650" s="549"/>
      <c r="AN650" s="549"/>
      <c r="AO650" s="549"/>
      <c r="AP650" s="549"/>
      <c r="AQ650" s="549"/>
      <c r="AR650" s="549"/>
      <c r="AS650" s="549"/>
      <c r="AT650" s="549"/>
      <c r="AU650" s="549"/>
      <c r="AV650" s="549"/>
      <c r="AW650" s="549"/>
      <c r="AX650" s="549"/>
      <c r="AY650" s="549"/>
      <c r="AZ650" s="549"/>
      <c r="BA650" s="549"/>
      <c r="BB650" s="549"/>
      <c r="BC650" s="549"/>
      <c r="BD650" s="549"/>
      <c r="BE650" s="549"/>
      <c r="BF650" s="549"/>
      <c r="BG650" s="549"/>
      <c r="BH650" s="549"/>
      <c r="BI650" s="549"/>
    </row>
    <row r="651" spans="16:61" s="254" customFormat="1" ht="9.9">
      <c r="P651" s="549"/>
      <c r="Q651" s="549"/>
      <c r="R651" s="549"/>
      <c r="S651" s="549"/>
      <c r="T651" s="549"/>
      <c r="U651" s="549"/>
      <c r="V651" s="549"/>
      <c r="W651" s="549"/>
      <c r="X651" s="549"/>
      <c r="Y651" s="549"/>
      <c r="Z651" s="549"/>
      <c r="AA651" s="549"/>
      <c r="AB651" s="549"/>
      <c r="AC651" s="549"/>
      <c r="AD651" s="549"/>
      <c r="AE651" s="549"/>
      <c r="AF651" s="549"/>
      <c r="AG651" s="549"/>
      <c r="AH651" s="549"/>
      <c r="AI651" s="549"/>
      <c r="AJ651" s="549"/>
      <c r="AK651" s="549"/>
      <c r="AL651" s="549"/>
      <c r="AM651" s="549"/>
      <c r="AN651" s="549"/>
      <c r="AO651" s="549"/>
      <c r="AP651" s="549"/>
      <c r="AQ651" s="549"/>
      <c r="AR651" s="549"/>
      <c r="AS651" s="549"/>
      <c r="AT651" s="549"/>
      <c r="AU651" s="549"/>
      <c r="AV651" s="549"/>
      <c r="AW651" s="549"/>
      <c r="AX651" s="549"/>
      <c r="AY651" s="549"/>
      <c r="AZ651" s="549"/>
      <c r="BA651" s="549"/>
      <c r="BB651" s="549"/>
      <c r="BC651" s="549"/>
      <c r="BD651" s="549"/>
      <c r="BE651" s="549"/>
      <c r="BF651" s="549"/>
      <c r="BG651" s="549"/>
      <c r="BH651" s="549"/>
      <c r="BI651" s="549"/>
    </row>
    <row r="652" spans="16:61" s="254" customFormat="1" ht="9.9">
      <c r="P652" s="549"/>
      <c r="Q652" s="549"/>
      <c r="R652" s="549"/>
      <c r="S652" s="549"/>
      <c r="T652" s="549"/>
      <c r="U652" s="549"/>
      <c r="V652" s="549"/>
      <c r="W652" s="549"/>
      <c r="X652" s="549"/>
      <c r="Y652" s="549"/>
      <c r="Z652" s="549"/>
      <c r="AA652" s="549"/>
      <c r="AB652" s="549"/>
      <c r="AC652" s="549"/>
      <c r="AD652" s="549"/>
      <c r="AE652" s="549"/>
      <c r="AF652" s="549"/>
      <c r="AG652" s="549"/>
      <c r="AH652" s="549"/>
      <c r="AI652" s="549"/>
      <c r="AJ652" s="549"/>
      <c r="AK652" s="549"/>
      <c r="AL652" s="549"/>
      <c r="AM652" s="549"/>
      <c r="AN652" s="549"/>
      <c r="AO652" s="549"/>
      <c r="AP652" s="549"/>
      <c r="AQ652" s="549"/>
      <c r="AR652" s="549"/>
      <c r="AS652" s="549"/>
      <c r="AT652" s="549"/>
      <c r="AU652" s="549"/>
      <c r="AV652" s="549"/>
      <c r="AW652" s="549"/>
      <c r="AX652" s="549"/>
      <c r="AY652" s="549"/>
      <c r="AZ652" s="549"/>
      <c r="BA652" s="549"/>
      <c r="BB652" s="549"/>
      <c r="BC652" s="549"/>
      <c r="BD652" s="549"/>
      <c r="BE652" s="549"/>
      <c r="BF652" s="549"/>
      <c r="BG652" s="549"/>
      <c r="BH652" s="549"/>
      <c r="BI652" s="549"/>
    </row>
    <row r="653" spans="16:61" s="254" customFormat="1" ht="9.9">
      <c r="P653" s="549"/>
      <c r="Q653" s="549"/>
      <c r="R653" s="549"/>
      <c r="S653" s="549"/>
      <c r="T653" s="549"/>
      <c r="U653" s="549"/>
      <c r="V653" s="549"/>
      <c r="W653" s="549"/>
      <c r="X653" s="549"/>
      <c r="Y653" s="549"/>
      <c r="Z653" s="549"/>
      <c r="AA653" s="549"/>
      <c r="AB653" s="549"/>
      <c r="AC653" s="549"/>
      <c r="AD653" s="549"/>
      <c r="AE653" s="549"/>
      <c r="AF653" s="549"/>
      <c r="AG653" s="549"/>
      <c r="AH653" s="549"/>
      <c r="AI653" s="549"/>
      <c r="AJ653" s="549"/>
      <c r="AK653" s="549"/>
      <c r="AL653" s="549"/>
      <c r="AM653" s="549"/>
      <c r="AN653" s="549"/>
      <c r="AO653" s="549"/>
      <c r="AP653" s="549"/>
      <c r="AQ653" s="549"/>
      <c r="AR653" s="549"/>
      <c r="AS653" s="549"/>
      <c r="AT653" s="549"/>
      <c r="AU653" s="549"/>
      <c r="AV653" s="549"/>
      <c r="AW653" s="549"/>
      <c r="AX653" s="549"/>
      <c r="AY653" s="549"/>
      <c r="AZ653" s="549"/>
      <c r="BA653" s="549"/>
      <c r="BB653" s="549"/>
      <c r="BC653" s="549"/>
      <c r="BD653" s="549"/>
      <c r="BE653" s="549"/>
      <c r="BF653" s="549"/>
      <c r="BG653" s="549"/>
      <c r="BH653" s="549"/>
      <c r="BI653" s="549"/>
    </row>
    <row r="654" spans="16:61" s="254" customFormat="1" ht="9.9">
      <c r="P654" s="549"/>
      <c r="Q654" s="549"/>
      <c r="R654" s="549"/>
      <c r="S654" s="549"/>
      <c r="T654" s="549"/>
      <c r="U654" s="549"/>
      <c r="V654" s="549"/>
      <c r="W654" s="549"/>
      <c r="X654" s="549"/>
      <c r="Y654" s="549"/>
      <c r="Z654" s="549"/>
      <c r="AA654" s="549"/>
      <c r="AB654" s="549"/>
      <c r="AC654" s="549"/>
      <c r="AD654" s="549"/>
      <c r="AE654" s="549"/>
      <c r="AF654" s="549"/>
      <c r="AG654" s="549"/>
      <c r="AH654" s="549"/>
      <c r="AI654" s="549"/>
      <c r="AJ654" s="549"/>
      <c r="AK654" s="549"/>
      <c r="AL654" s="549"/>
      <c r="AM654" s="549"/>
      <c r="AN654" s="549"/>
      <c r="AO654" s="549"/>
      <c r="AP654" s="549"/>
      <c r="AQ654" s="549"/>
      <c r="AR654" s="549"/>
      <c r="AS654" s="549"/>
      <c r="AT654" s="549"/>
      <c r="AU654" s="549"/>
      <c r="AV654" s="549"/>
      <c r="AW654" s="549"/>
      <c r="AX654" s="549"/>
      <c r="AY654" s="549"/>
      <c r="AZ654" s="549"/>
      <c r="BA654" s="549"/>
      <c r="BB654" s="549"/>
      <c r="BC654" s="549"/>
      <c r="BD654" s="549"/>
      <c r="BE654" s="549"/>
      <c r="BF654" s="549"/>
      <c r="BG654" s="549"/>
      <c r="BH654" s="549"/>
      <c r="BI654" s="549"/>
    </row>
    <row r="655" spans="16:61" s="254" customFormat="1" ht="9.9">
      <c r="P655" s="549"/>
      <c r="Q655" s="549"/>
      <c r="R655" s="549"/>
      <c r="S655" s="549"/>
      <c r="T655" s="549"/>
      <c r="U655" s="549"/>
      <c r="V655" s="549"/>
      <c r="W655" s="549"/>
      <c r="X655" s="549"/>
      <c r="Y655" s="549"/>
      <c r="Z655" s="549"/>
      <c r="AA655" s="549"/>
      <c r="AB655" s="549"/>
      <c r="AC655" s="549"/>
      <c r="AD655" s="549"/>
      <c r="AE655" s="549"/>
      <c r="AF655" s="549"/>
      <c r="AG655" s="549"/>
      <c r="AH655" s="549"/>
      <c r="AI655" s="549"/>
      <c r="AJ655" s="549"/>
      <c r="AK655" s="549"/>
      <c r="AL655" s="549"/>
      <c r="AM655" s="549"/>
      <c r="AN655" s="549"/>
      <c r="AO655" s="549"/>
      <c r="AP655" s="549"/>
      <c r="AQ655" s="549"/>
      <c r="AR655" s="549"/>
      <c r="AS655" s="549"/>
      <c r="AT655" s="549"/>
      <c r="AU655" s="549"/>
      <c r="AV655" s="549"/>
      <c r="AW655" s="549"/>
      <c r="AX655" s="549"/>
      <c r="AY655" s="549"/>
      <c r="AZ655" s="549"/>
      <c r="BA655" s="549"/>
      <c r="BB655" s="549"/>
      <c r="BC655" s="549"/>
      <c r="BD655" s="549"/>
      <c r="BE655" s="549"/>
      <c r="BF655" s="549"/>
      <c r="BG655" s="549"/>
      <c r="BH655" s="549"/>
      <c r="BI655" s="549"/>
    </row>
    <row r="656" spans="16:61" s="254" customFormat="1" ht="9.9">
      <c r="P656" s="549"/>
      <c r="Q656" s="549"/>
      <c r="R656" s="549"/>
      <c r="S656" s="549"/>
      <c r="T656" s="549"/>
      <c r="U656" s="549"/>
      <c r="V656" s="549"/>
      <c r="W656" s="549"/>
      <c r="X656" s="549"/>
      <c r="Y656" s="549"/>
      <c r="Z656" s="549"/>
      <c r="AA656" s="549"/>
      <c r="AB656" s="549"/>
      <c r="AC656" s="549"/>
      <c r="AD656" s="549"/>
      <c r="AE656" s="549"/>
      <c r="AF656" s="549"/>
      <c r="AG656" s="549"/>
      <c r="AH656" s="549"/>
      <c r="AI656" s="549"/>
      <c r="AJ656" s="549"/>
      <c r="AK656" s="549"/>
      <c r="AL656" s="549"/>
      <c r="AM656" s="549"/>
      <c r="AN656" s="549"/>
      <c r="AO656" s="549"/>
      <c r="AP656" s="549"/>
      <c r="AQ656" s="549"/>
      <c r="AR656" s="549"/>
      <c r="AS656" s="549"/>
      <c r="AT656" s="549"/>
      <c r="AU656" s="549"/>
      <c r="AV656" s="549"/>
      <c r="AW656" s="549"/>
      <c r="AX656" s="549"/>
      <c r="AY656" s="549"/>
      <c r="AZ656" s="549"/>
      <c r="BA656" s="549"/>
      <c r="BB656" s="549"/>
      <c r="BC656" s="549"/>
      <c r="BD656" s="549"/>
      <c r="BE656" s="549"/>
      <c r="BF656" s="549"/>
      <c r="BG656" s="549"/>
      <c r="BH656" s="549"/>
      <c r="BI656" s="549"/>
    </row>
    <row r="657" spans="16:61" s="254" customFormat="1" ht="9.9">
      <c r="P657" s="549"/>
      <c r="Q657" s="549"/>
      <c r="R657" s="549"/>
      <c r="S657" s="549"/>
      <c r="T657" s="549"/>
      <c r="U657" s="549"/>
      <c r="V657" s="549"/>
      <c r="W657" s="549"/>
      <c r="X657" s="549"/>
      <c r="Y657" s="549"/>
      <c r="Z657" s="549"/>
      <c r="AA657" s="549"/>
      <c r="AB657" s="549"/>
      <c r="AC657" s="549"/>
      <c r="AD657" s="549"/>
      <c r="AE657" s="549"/>
      <c r="AF657" s="549"/>
      <c r="AG657" s="549"/>
      <c r="AH657" s="549"/>
      <c r="AI657" s="549"/>
      <c r="AJ657" s="549"/>
      <c r="AK657" s="549"/>
      <c r="AL657" s="549"/>
      <c r="AM657" s="549"/>
      <c r="AN657" s="549"/>
      <c r="AO657" s="549"/>
      <c r="AP657" s="549"/>
      <c r="AQ657" s="549"/>
      <c r="AR657" s="549"/>
      <c r="AS657" s="549"/>
      <c r="AT657" s="549"/>
      <c r="AU657" s="549"/>
      <c r="AV657" s="549"/>
      <c r="AW657" s="549"/>
      <c r="AX657" s="549"/>
      <c r="AY657" s="549"/>
      <c r="AZ657" s="549"/>
      <c r="BA657" s="549"/>
      <c r="BB657" s="549"/>
      <c r="BC657" s="549"/>
      <c r="BD657" s="549"/>
      <c r="BE657" s="549"/>
      <c r="BF657" s="549"/>
      <c r="BG657" s="549"/>
      <c r="BH657" s="549"/>
      <c r="BI657" s="549"/>
    </row>
    <row r="658" spans="16:61" s="254" customFormat="1" ht="9.9">
      <c r="P658" s="549"/>
      <c r="Q658" s="549"/>
      <c r="R658" s="549"/>
      <c r="S658" s="549"/>
      <c r="T658" s="549"/>
      <c r="U658" s="549"/>
      <c r="V658" s="549"/>
      <c r="W658" s="549"/>
      <c r="X658" s="549"/>
      <c r="Y658" s="549"/>
      <c r="Z658" s="549"/>
      <c r="AA658" s="549"/>
      <c r="AB658" s="549"/>
      <c r="AC658" s="549"/>
      <c r="AD658" s="549"/>
      <c r="AE658" s="549"/>
      <c r="AF658" s="549"/>
      <c r="AG658" s="549"/>
      <c r="AH658" s="549"/>
      <c r="AI658" s="549"/>
      <c r="AJ658" s="549"/>
      <c r="AK658" s="549"/>
      <c r="AL658" s="549"/>
      <c r="AM658" s="549"/>
      <c r="AN658" s="549"/>
      <c r="AO658" s="549"/>
      <c r="AP658" s="549"/>
      <c r="AQ658" s="549"/>
      <c r="AR658" s="549"/>
      <c r="AS658" s="549"/>
      <c r="AT658" s="549"/>
      <c r="AU658" s="549"/>
      <c r="AV658" s="549"/>
      <c r="AW658" s="549"/>
      <c r="AX658" s="549"/>
      <c r="AY658" s="549"/>
      <c r="AZ658" s="549"/>
      <c r="BA658" s="549"/>
      <c r="BB658" s="549"/>
      <c r="BC658" s="549"/>
      <c r="BD658" s="549"/>
      <c r="BE658" s="549"/>
      <c r="BF658" s="549"/>
      <c r="BG658" s="549"/>
      <c r="BH658" s="549"/>
      <c r="BI658" s="549"/>
    </row>
    <row r="659" spans="16:61" s="254" customFormat="1" ht="9.9">
      <c r="P659" s="549"/>
      <c r="Q659" s="549"/>
      <c r="R659" s="549"/>
      <c r="S659" s="549"/>
      <c r="T659" s="549"/>
      <c r="U659" s="549"/>
      <c r="V659" s="549"/>
      <c r="W659" s="549"/>
      <c r="X659" s="549"/>
      <c r="Y659" s="549"/>
      <c r="Z659" s="549"/>
      <c r="AA659" s="549"/>
      <c r="AB659" s="549"/>
      <c r="AC659" s="549"/>
      <c r="AD659" s="549"/>
      <c r="AE659" s="549"/>
      <c r="AF659" s="549"/>
      <c r="AG659" s="549"/>
      <c r="AH659" s="549"/>
      <c r="AI659" s="549"/>
      <c r="AJ659" s="549"/>
      <c r="AK659" s="549"/>
      <c r="AL659" s="549"/>
      <c r="AM659" s="549"/>
      <c r="AN659" s="549"/>
      <c r="AO659" s="549"/>
      <c r="AP659" s="549"/>
      <c r="AQ659" s="549"/>
      <c r="AR659" s="549"/>
      <c r="AS659" s="549"/>
      <c r="AT659" s="549"/>
      <c r="AU659" s="549"/>
      <c r="AV659" s="549"/>
      <c r="AW659" s="549"/>
      <c r="AX659" s="549"/>
      <c r="AY659" s="549"/>
      <c r="AZ659" s="549"/>
      <c r="BA659" s="549"/>
      <c r="BB659" s="549"/>
      <c r="BC659" s="549"/>
      <c r="BD659" s="549"/>
      <c r="BE659" s="549"/>
      <c r="BF659" s="549"/>
      <c r="BG659" s="549"/>
      <c r="BH659" s="549"/>
      <c r="BI659" s="549"/>
    </row>
    <row r="660" spans="16:61" s="254" customFormat="1" ht="9.9">
      <c r="P660" s="549"/>
      <c r="Q660" s="549"/>
      <c r="R660" s="549"/>
      <c r="S660" s="549"/>
      <c r="T660" s="549"/>
      <c r="U660" s="549"/>
      <c r="V660" s="549"/>
      <c r="W660" s="549"/>
      <c r="X660" s="549"/>
      <c r="Y660" s="549"/>
      <c r="Z660" s="549"/>
      <c r="AA660" s="549"/>
      <c r="AB660" s="549"/>
      <c r="AC660" s="549"/>
      <c r="AD660" s="549"/>
      <c r="AE660" s="549"/>
      <c r="AF660" s="549"/>
      <c r="AG660" s="549"/>
      <c r="AH660" s="549"/>
      <c r="AI660" s="549"/>
      <c r="AJ660" s="549"/>
      <c r="AK660" s="549"/>
      <c r="AL660" s="549"/>
      <c r="AM660" s="549"/>
      <c r="AN660" s="549"/>
      <c r="AO660" s="549"/>
      <c r="AP660" s="549"/>
      <c r="AQ660" s="549"/>
      <c r="AR660" s="549"/>
      <c r="AS660" s="549"/>
      <c r="AT660" s="549"/>
      <c r="AU660" s="549"/>
      <c r="AV660" s="549"/>
      <c r="AW660" s="549"/>
      <c r="AX660" s="549"/>
      <c r="AY660" s="549"/>
      <c r="AZ660" s="549"/>
      <c r="BA660" s="549"/>
      <c r="BB660" s="549"/>
      <c r="BC660" s="549"/>
      <c r="BD660" s="549"/>
      <c r="BE660" s="549"/>
      <c r="BF660" s="549"/>
      <c r="BG660" s="549"/>
      <c r="BH660" s="549"/>
      <c r="BI660" s="549"/>
    </row>
    <row r="661" spans="16:61" s="254" customFormat="1" ht="9.9">
      <c r="P661" s="549"/>
      <c r="Q661" s="549"/>
      <c r="R661" s="549"/>
      <c r="S661" s="549"/>
      <c r="T661" s="549"/>
      <c r="U661" s="549"/>
      <c r="V661" s="549"/>
      <c r="W661" s="549"/>
      <c r="X661" s="549"/>
      <c r="Y661" s="549"/>
      <c r="Z661" s="549"/>
      <c r="AA661" s="549"/>
      <c r="AB661" s="549"/>
      <c r="AC661" s="549"/>
      <c r="AD661" s="549"/>
      <c r="AE661" s="549"/>
      <c r="AF661" s="549"/>
      <c r="AG661" s="549"/>
      <c r="AH661" s="549"/>
      <c r="AI661" s="549"/>
      <c r="AJ661" s="549"/>
      <c r="AK661" s="549"/>
      <c r="AL661" s="549"/>
      <c r="AM661" s="549"/>
      <c r="AN661" s="549"/>
      <c r="AO661" s="549"/>
      <c r="AP661" s="549"/>
      <c r="AQ661" s="549"/>
      <c r="AR661" s="549"/>
      <c r="AS661" s="549"/>
      <c r="AT661" s="549"/>
      <c r="AU661" s="549"/>
      <c r="AV661" s="549"/>
      <c r="AW661" s="549"/>
      <c r="AX661" s="549"/>
      <c r="AY661" s="549"/>
      <c r="AZ661" s="549"/>
      <c r="BA661" s="549"/>
      <c r="BB661" s="549"/>
      <c r="BC661" s="549"/>
      <c r="BD661" s="549"/>
      <c r="BE661" s="549"/>
      <c r="BF661" s="549"/>
      <c r="BG661" s="549"/>
      <c r="BH661" s="549"/>
      <c r="BI661" s="549"/>
    </row>
    <row r="662" spans="16:61" s="254" customFormat="1" ht="9.9">
      <c r="P662" s="549"/>
      <c r="Q662" s="549"/>
      <c r="R662" s="549"/>
      <c r="S662" s="549"/>
      <c r="T662" s="549"/>
      <c r="U662" s="549"/>
      <c r="V662" s="549"/>
      <c r="W662" s="549"/>
      <c r="X662" s="549"/>
      <c r="Y662" s="549"/>
      <c r="Z662" s="549"/>
      <c r="AA662" s="549"/>
      <c r="AB662" s="549"/>
      <c r="AC662" s="549"/>
      <c r="AD662" s="549"/>
      <c r="AE662" s="549"/>
      <c r="AF662" s="549"/>
      <c r="AG662" s="549"/>
      <c r="AH662" s="549"/>
      <c r="AI662" s="549"/>
      <c r="AJ662" s="549"/>
      <c r="AK662" s="549"/>
      <c r="AL662" s="549"/>
      <c r="AM662" s="549"/>
      <c r="AN662" s="549"/>
      <c r="AO662" s="549"/>
      <c r="AP662" s="549"/>
      <c r="AQ662" s="549"/>
      <c r="AR662" s="549"/>
      <c r="AS662" s="549"/>
      <c r="AT662" s="549"/>
      <c r="AU662" s="549"/>
      <c r="AV662" s="549"/>
      <c r="AW662" s="549"/>
      <c r="AX662" s="549"/>
      <c r="AY662" s="549"/>
      <c r="AZ662" s="549"/>
      <c r="BA662" s="549"/>
      <c r="BB662" s="549"/>
      <c r="BC662" s="549"/>
      <c r="BD662" s="549"/>
      <c r="BE662" s="549"/>
      <c r="BF662" s="549"/>
      <c r="BG662" s="549"/>
      <c r="BH662" s="549"/>
      <c r="BI662" s="549"/>
    </row>
    <row r="663" spans="16:61" s="254" customFormat="1" ht="9.9">
      <c r="P663" s="549"/>
      <c r="Q663" s="549"/>
      <c r="R663" s="549"/>
      <c r="S663" s="549"/>
      <c r="T663" s="549"/>
      <c r="U663" s="549"/>
      <c r="V663" s="549"/>
      <c r="W663" s="549"/>
      <c r="X663" s="549"/>
      <c r="Y663" s="549"/>
      <c r="Z663" s="549"/>
      <c r="AA663" s="549"/>
      <c r="AB663" s="549"/>
      <c r="AC663" s="549"/>
      <c r="AD663" s="549"/>
      <c r="AE663" s="549"/>
      <c r="AF663" s="549"/>
      <c r="AG663" s="549"/>
      <c r="AH663" s="549"/>
      <c r="AI663" s="549"/>
      <c r="AJ663" s="549"/>
      <c r="AK663" s="549"/>
      <c r="AL663" s="549"/>
      <c r="AM663" s="549"/>
      <c r="AN663" s="549"/>
      <c r="AO663" s="549"/>
      <c r="AP663" s="549"/>
      <c r="AQ663" s="549"/>
      <c r="AR663" s="549"/>
      <c r="AS663" s="549"/>
      <c r="AT663" s="549"/>
      <c r="AU663" s="549"/>
      <c r="AV663" s="549"/>
      <c r="AW663" s="549"/>
      <c r="AX663" s="549"/>
      <c r="AY663" s="549"/>
      <c r="AZ663" s="549"/>
      <c r="BA663" s="549"/>
      <c r="BB663" s="549"/>
      <c r="BC663" s="549"/>
      <c r="BD663" s="549"/>
      <c r="BE663" s="549"/>
      <c r="BF663" s="549"/>
      <c r="BG663" s="549"/>
      <c r="BH663" s="549"/>
      <c r="BI663" s="549"/>
    </row>
    <row r="664" spans="16:61" s="254" customFormat="1" ht="9.9">
      <c r="P664" s="549"/>
      <c r="Q664" s="549"/>
      <c r="R664" s="549"/>
      <c r="S664" s="549"/>
      <c r="T664" s="549"/>
      <c r="U664" s="549"/>
      <c r="V664" s="549"/>
      <c r="W664" s="549"/>
      <c r="X664" s="549"/>
      <c r="Y664" s="549"/>
      <c r="Z664" s="549"/>
      <c r="AA664" s="549"/>
      <c r="AB664" s="549"/>
      <c r="AC664" s="549"/>
      <c r="AD664" s="549"/>
      <c r="AE664" s="549"/>
      <c r="AF664" s="549"/>
      <c r="AG664" s="549"/>
      <c r="AH664" s="549"/>
      <c r="AI664" s="549"/>
      <c r="AJ664" s="549"/>
      <c r="AK664" s="549"/>
      <c r="AL664" s="549"/>
      <c r="AM664" s="549"/>
      <c r="AN664" s="549"/>
      <c r="AO664" s="549"/>
      <c r="AP664" s="549"/>
      <c r="AQ664" s="549"/>
      <c r="AR664" s="549"/>
      <c r="AS664" s="549"/>
      <c r="AT664" s="549"/>
      <c r="AU664" s="549"/>
      <c r="AV664" s="549"/>
      <c r="AW664" s="549"/>
      <c r="AX664" s="549"/>
      <c r="AY664" s="549"/>
      <c r="AZ664" s="549"/>
      <c r="BA664" s="549"/>
      <c r="BB664" s="549"/>
      <c r="BC664" s="549"/>
      <c r="BD664" s="549"/>
      <c r="BE664" s="549"/>
      <c r="BF664" s="549"/>
      <c r="BG664" s="549"/>
      <c r="BH664" s="549"/>
      <c r="BI664" s="549"/>
    </row>
    <row r="665" spans="16:61" s="254" customFormat="1" ht="9.9">
      <c r="P665" s="549"/>
      <c r="Q665" s="549"/>
      <c r="R665" s="549"/>
      <c r="S665" s="549"/>
      <c r="T665" s="549"/>
      <c r="U665" s="549"/>
      <c r="V665" s="549"/>
      <c r="W665" s="549"/>
      <c r="X665" s="549"/>
      <c r="Y665" s="549"/>
      <c r="Z665" s="549"/>
      <c r="AA665" s="549"/>
      <c r="AB665" s="549"/>
      <c r="AC665" s="549"/>
      <c r="AD665" s="549"/>
      <c r="AE665" s="549"/>
      <c r="AF665" s="549"/>
      <c r="AG665" s="549"/>
      <c r="AH665" s="549"/>
      <c r="AI665" s="549"/>
      <c r="AJ665" s="549"/>
      <c r="AK665" s="549"/>
      <c r="AL665" s="549"/>
      <c r="AM665" s="549"/>
      <c r="AN665" s="549"/>
      <c r="AO665" s="549"/>
      <c r="AP665" s="549"/>
      <c r="AQ665" s="549"/>
      <c r="AR665" s="549"/>
      <c r="AS665" s="549"/>
      <c r="AT665" s="549"/>
      <c r="AU665" s="549"/>
      <c r="AV665" s="549"/>
      <c r="AW665" s="549"/>
      <c r="AX665" s="549"/>
      <c r="AY665" s="549"/>
      <c r="AZ665" s="549"/>
      <c r="BA665" s="549"/>
      <c r="BB665" s="549"/>
      <c r="BC665" s="549"/>
      <c r="BD665" s="549"/>
      <c r="BE665" s="549"/>
      <c r="BF665" s="549"/>
      <c r="BG665" s="549"/>
      <c r="BH665" s="549"/>
      <c r="BI665" s="549"/>
    </row>
    <row r="666" spans="16:61" s="254" customFormat="1" ht="9.9">
      <c r="P666" s="549"/>
      <c r="Q666" s="549"/>
      <c r="R666" s="549"/>
      <c r="S666" s="549"/>
      <c r="T666" s="549"/>
      <c r="U666" s="549"/>
      <c r="V666" s="549"/>
      <c r="W666" s="549"/>
      <c r="X666" s="549"/>
      <c r="Y666" s="549"/>
      <c r="Z666" s="549"/>
      <c r="AA666" s="549"/>
      <c r="AB666" s="549"/>
      <c r="AC666" s="549"/>
      <c r="AD666" s="549"/>
      <c r="AE666" s="549"/>
      <c r="AF666" s="549"/>
      <c r="AG666" s="549"/>
      <c r="AH666" s="549"/>
      <c r="AI666" s="549"/>
      <c r="AJ666" s="549"/>
      <c r="AK666" s="549"/>
      <c r="AL666" s="549"/>
      <c r="AM666" s="549"/>
      <c r="AN666" s="549"/>
      <c r="AO666" s="549"/>
      <c r="AP666" s="549"/>
      <c r="AQ666" s="549"/>
      <c r="AR666" s="549"/>
      <c r="AS666" s="549"/>
      <c r="AT666" s="549"/>
      <c r="AU666" s="549"/>
      <c r="AV666" s="549"/>
      <c r="AW666" s="549"/>
      <c r="AX666" s="549"/>
      <c r="AY666" s="549"/>
      <c r="AZ666" s="549"/>
      <c r="BA666" s="549"/>
      <c r="BB666" s="549"/>
      <c r="BC666" s="549"/>
      <c r="BD666" s="549"/>
      <c r="BE666" s="549"/>
      <c r="BF666" s="549"/>
      <c r="BG666" s="549"/>
      <c r="BH666" s="549"/>
      <c r="BI666" s="549"/>
    </row>
    <row r="667" spans="16:61" s="254" customFormat="1" ht="9.9">
      <c r="P667" s="549"/>
      <c r="Q667" s="549"/>
      <c r="R667" s="549"/>
      <c r="S667" s="549"/>
      <c r="T667" s="549"/>
      <c r="U667" s="549"/>
      <c r="V667" s="549"/>
      <c r="W667" s="549"/>
      <c r="X667" s="549"/>
      <c r="Y667" s="549"/>
      <c r="Z667" s="549"/>
      <c r="AA667" s="549"/>
      <c r="AB667" s="549"/>
      <c r="AC667" s="549"/>
      <c r="AD667" s="549"/>
      <c r="AE667" s="549"/>
      <c r="AF667" s="549"/>
      <c r="AG667" s="549"/>
      <c r="AH667" s="549"/>
      <c r="AI667" s="549"/>
      <c r="AJ667" s="549"/>
      <c r="AK667" s="549"/>
      <c r="AL667" s="549"/>
      <c r="AM667" s="549"/>
      <c r="AN667" s="549"/>
      <c r="AO667" s="549"/>
      <c r="AP667" s="549"/>
      <c r="AQ667" s="549"/>
      <c r="AR667" s="549"/>
      <c r="AS667" s="549"/>
      <c r="AT667" s="549"/>
      <c r="AU667" s="549"/>
      <c r="AV667" s="549"/>
      <c r="AW667" s="549"/>
      <c r="AX667" s="549"/>
      <c r="AY667" s="549"/>
      <c r="AZ667" s="549"/>
      <c r="BA667" s="549"/>
      <c r="BB667" s="549"/>
      <c r="BC667" s="549"/>
      <c r="BD667" s="549"/>
      <c r="BE667" s="549"/>
      <c r="BF667" s="549"/>
      <c r="BG667" s="549"/>
      <c r="BH667" s="549"/>
      <c r="BI667" s="549"/>
    </row>
    <row r="668" spans="16:61" s="254" customFormat="1" ht="9.9">
      <c r="P668" s="549"/>
      <c r="Q668" s="549"/>
      <c r="R668" s="549"/>
      <c r="S668" s="549"/>
      <c r="T668" s="549"/>
      <c r="U668" s="549"/>
      <c r="V668" s="549"/>
      <c r="W668" s="549"/>
      <c r="X668" s="549"/>
      <c r="Y668" s="549"/>
      <c r="Z668" s="549"/>
      <c r="AA668" s="549"/>
      <c r="AB668" s="549"/>
      <c r="AC668" s="549"/>
      <c r="AD668" s="549"/>
      <c r="AE668" s="549"/>
      <c r="AF668" s="549"/>
      <c r="AG668" s="549"/>
      <c r="AH668" s="549"/>
      <c r="AI668" s="549"/>
      <c r="AJ668" s="549"/>
      <c r="AK668" s="549"/>
      <c r="AL668" s="549"/>
      <c r="AM668" s="549"/>
      <c r="AN668" s="549"/>
      <c r="AO668" s="549"/>
      <c r="AP668" s="549"/>
      <c r="AQ668" s="549"/>
      <c r="AR668" s="549"/>
      <c r="AS668" s="549"/>
      <c r="AT668" s="549"/>
      <c r="AU668" s="549"/>
      <c r="AV668" s="549"/>
      <c r="AW668" s="549"/>
      <c r="AX668" s="549"/>
      <c r="AY668" s="549"/>
      <c r="AZ668" s="549"/>
      <c r="BA668" s="549"/>
      <c r="BB668" s="549"/>
      <c r="BC668" s="549"/>
      <c r="BD668" s="549"/>
      <c r="BE668" s="549"/>
      <c r="BF668" s="549"/>
      <c r="BG668" s="549"/>
      <c r="BH668" s="549"/>
      <c r="BI668" s="549"/>
    </row>
    <row r="669" spans="16:61" s="254" customFormat="1" ht="9.9">
      <c r="P669" s="549"/>
      <c r="Q669" s="549"/>
      <c r="R669" s="549"/>
      <c r="S669" s="549"/>
      <c r="T669" s="549"/>
      <c r="U669" s="549"/>
      <c r="V669" s="549"/>
      <c r="W669" s="549"/>
      <c r="X669" s="549"/>
      <c r="Y669" s="549"/>
      <c r="Z669" s="549"/>
      <c r="AA669" s="549"/>
      <c r="AB669" s="549"/>
      <c r="AC669" s="549"/>
      <c r="AD669" s="549"/>
      <c r="AE669" s="549"/>
      <c r="AF669" s="549"/>
      <c r="AG669" s="549"/>
      <c r="AH669" s="549"/>
      <c r="AI669" s="549"/>
      <c r="AJ669" s="549"/>
      <c r="AK669" s="549"/>
      <c r="AL669" s="549"/>
      <c r="AM669" s="549"/>
      <c r="AN669" s="549"/>
      <c r="AO669" s="549"/>
      <c r="AP669" s="549"/>
      <c r="AQ669" s="549"/>
      <c r="AR669" s="549"/>
      <c r="AS669" s="549"/>
      <c r="AT669" s="549"/>
      <c r="AU669" s="549"/>
      <c r="AV669" s="549"/>
      <c r="AW669" s="549"/>
      <c r="AX669" s="549"/>
      <c r="AY669" s="549"/>
      <c r="AZ669" s="549"/>
      <c r="BA669" s="549"/>
      <c r="BB669" s="549"/>
      <c r="BC669" s="549"/>
      <c r="BD669" s="549"/>
      <c r="BE669" s="549"/>
      <c r="BF669" s="549"/>
      <c r="BG669" s="549"/>
      <c r="BH669" s="549"/>
      <c r="BI669" s="549"/>
    </row>
    <row r="670" spans="16:61" s="254" customFormat="1" ht="9.9">
      <c r="P670" s="549"/>
      <c r="Q670" s="549"/>
      <c r="R670" s="549"/>
      <c r="S670" s="549"/>
      <c r="T670" s="549"/>
      <c r="U670" s="549"/>
      <c r="V670" s="549"/>
      <c r="W670" s="549"/>
      <c r="X670" s="549"/>
      <c r="Y670" s="549"/>
      <c r="Z670" s="549"/>
      <c r="AA670" s="549"/>
      <c r="AB670" s="549"/>
      <c r="AC670" s="549"/>
      <c r="AD670" s="549"/>
      <c r="AE670" s="549"/>
      <c r="AF670" s="549"/>
      <c r="AG670" s="549"/>
      <c r="AH670" s="549"/>
      <c r="AI670" s="549"/>
      <c r="AJ670" s="549"/>
      <c r="AK670" s="549"/>
      <c r="AL670" s="549"/>
      <c r="AM670" s="549"/>
      <c r="AN670" s="549"/>
      <c r="AO670" s="549"/>
      <c r="AP670" s="549"/>
      <c r="AQ670" s="549"/>
      <c r="AR670" s="549"/>
      <c r="AS670" s="549"/>
      <c r="AT670" s="549"/>
      <c r="AU670" s="549"/>
      <c r="AV670" s="549"/>
      <c r="AW670" s="549"/>
      <c r="AX670" s="549"/>
      <c r="AY670" s="549"/>
      <c r="AZ670" s="549"/>
      <c r="BA670" s="549"/>
      <c r="BB670" s="549"/>
      <c r="BC670" s="549"/>
      <c r="BD670" s="549"/>
      <c r="BE670" s="549"/>
      <c r="BF670" s="549"/>
      <c r="BG670" s="549"/>
      <c r="BH670" s="549"/>
      <c r="BI670" s="549"/>
    </row>
    <row r="671" spans="16:61" s="254" customFormat="1" ht="9.9">
      <c r="P671" s="549"/>
      <c r="Q671" s="549"/>
      <c r="R671" s="549"/>
      <c r="S671" s="549"/>
      <c r="T671" s="549"/>
      <c r="U671" s="549"/>
      <c r="V671" s="549"/>
      <c r="W671" s="549"/>
      <c r="X671" s="549"/>
      <c r="Y671" s="549"/>
      <c r="Z671" s="549"/>
      <c r="AA671" s="549"/>
      <c r="AB671" s="549"/>
      <c r="AC671" s="549"/>
      <c r="AD671" s="549"/>
      <c r="AE671" s="549"/>
      <c r="AF671" s="549"/>
      <c r="AG671" s="549"/>
      <c r="AH671" s="549"/>
      <c r="AI671" s="549"/>
      <c r="AJ671" s="549"/>
      <c r="AK671" s="549"/>
      <c r="AL671" s="549"/>
      <c r="AM671" s="549"/>
      <c r="AN671" s="549"/>
      <c r="AO671" s="549"/>
      <c r="AP671" s="549"/>
      <c r="AQ671" s="549"/>
      <c r="AR671" s="549"/>
      <c r="AS671" s="549"/>
      <c r="AT671" s="549"/>
      <c r="AU671" s="549"/>
      <c r="AV671" s="549"/>
      <c r="AW671" s="549"/>
      <c r="AX671" s="549"/>
      <c r="AY671" s="549"/>
      <c r="AZ671" s="549"/>
      <c r="BA671" s="549"/>
      <c r="BB671" s="549"/>
      <c r="BC671" s="549"/>
      <c r="BD671" s="549"/>
      <c r="BE671" s="549"/>
      <c r="BF671" s="549"/>
      <c r="BG671" s="549"/>
      <c r="BH671" s="549"/>
      <c r="BI671" s="549"/>
    </row>
    <row r="672" spans="16:61" s="254" customFormat="1" ht="9.9">
      <c r="P672" s="549"/>
      <c r="Q672" s="549"/>
      <c r="R672" s="549"/>
      <c r="S672" s="549"/>
      <c r="T672" s="549"/>
      <c r="U672" s="549"/>
      <c r="V672" s="549"/>
      <c r="W672" s="549"/>
      <c r="X672" s="549"/>
      <c r="Y672" s="549"/>
      <c r="Z672" s="549"/>
      <c r="AA672" s="549"/>
      <c r="AB672" s="549"/>
      <c r="AC672" s="549"/>
      <c r="AD672" s="549"/>
      <c r="AE672" s="549"/>
      <c r="AF672" s="549"/>
      <c r="AG672" s="549"/>
      <c r="AH672" s="549"/>
      <c r="AI672" s="549"/>
      <c r="AJ672" s="549"/>
      <c r="AK672" s="549"/>
      <c r="AL672" s="549"/>
      <c r="AM672" s="549"/>
      <c r="AN672" s="549"/>
      <c r="AO672" s="549"/>
      <c r="AP672" s="549"/>
      <c r="AQ672" s="549"/>
      <c r="AR672" s="549"/>
      <c r="AS672" s="549"/>
      <c r="AT672" s="549"/>
      <c r="AU672" s="549"/>
      <c r="AV672" s="549"/>
      <c r="AW672" s="549"/>
      <c r="AX672" s="549"/>
      <c r="AY672" s="549"/>
      <c r="AZ672" s="549"/>
      <c r="BA672" s="549"/>
      <c r="BB672" s="549"/>
      <c r="BC672" s="549"/>
      <c r="BD672" s="549"/>
      <c r="BE672" s="549"/>
      <c r="BF672" s="549"/>
      <c r="BG672" s="549"/>
      <c r="BH672" s="549"/>
      <c r="BI672" s="549"/>
    </row>
    <row r="673" spans="16:61" s="254" customFormat="1" ht="9.9">
      <c r="P673" s="549"/>
      <c r="Q673" s="549"/>
      <c r="R673" s="549"/>
      <c r="S673" s="549"/>
      <c r="T673" s="549"/>
      <c r="U673" s="549"/>
      <c r="V673" s="549"/>
      <c r="W673" s="549"/>
      <c r="X673" s="549"/>
      <c r="Y673" s="549"/>
      <c r="Z673" s="549"/>
      <c r="AA673" s="549"/>
      <c r="AB673" s="549"/>
      <c r="AC673" s="549"/>
      <c r="AD673" s="549"/>
      <c r="AE673" s="549"/>
      <c r="AF673" s="549"/>
      <c r="AG673" s="549"/>
      <c r="AH673" s="549"/>
      <c r="AI673" s="549"/>
      <c r="AJ673" s="549"/>
      <c r="AK673" s="549"/>
      <c r="AL673" s="549"/>
      <c r="AM673" s="549"/>
      <c r="AN673" s="549"/>
      <c r="AO673" s="549"/>
      <c r="AP673" s="549"/>
      <c r="AQ673" s="549"/>
      <c r="AR673" s="549"/>
      <c r="AS673" s="549"/>
      <c r="AT673" s="549"/>
      <c r="AU673" s="549"/>
      <c r="AV673" s="549"/>
      <c r="AW673" s="549"/>
      <c r="AX673" s="549"/>
      <c r="AY673" s="549"/>
      <c r="AZ673" s="549"/>
      <c r="BA673" s="549"/>
      <c r="BB673" s="549"/>
      <c r="BC673" s="549"/>
      <c r="BD673" s="549"/>
      <c r="BE673" s="549"/>
      <c r="BF673" s="549"/>
      <c r="BG673" s="549"/>
      <c r="BH673" s="549"/>
      <c r="BI673" s="549"/>
    </row>
    <row r="674" spans="16:61" s="254" customFormat="1" ht="9.9">
      <c r="P674" s="549"/>
      <c r="Q674" s="549"/>
      <c r="R674" s="549"/>
      <c r="S674" s="549"/>
      <c r="T674" s="549"/>
      <c r="U674" s="549"/>
      <c r="V674" s="549"/>
      <c r="W674" s="549"/>
      <c r="X674" s="549"/>
      <c r="Y674" s="549"/>
      <c r="Z674" s="549"/>
      <c r="AA674" s="549"/>
      <c r="AB674" s="549"/>
      <c r="AC674" s="549"/>
      <c r="AD674" s="549"/>
      <c r="AE674" s="549"/>
      <c r="AF674" s="549"/>
      <c r="AG674" s="549"/>
      <c r="AH674" s="549"/>
      <c r="AI674" s="549"/>
      <c r="AJ674" s="549"/>
      <c r="AK674" s="549"/>
      <c r="AL674" s="549"/>
      <c r="AM674" s="549"/>
      <c r="AN674" s="549"/>
      <c r="AO674" s="549"/>
      <c r="AP674" s="549"/>
      <c r="AQ674" s="549"/>
      <c r="AR674" s="549"/>
      <c r="AS674" s="549"/>
      <c r="AT674" s="549"/>
      <c r="AU674" s="549"/>
      <c r="AV674" s="549"/>
      <c r="AW674" s="549"/>
      <c r="AX674" s="549"/>
      <c r="AY674" s="549"/>
      <c r="AZ674" s="549"/>
      <c r="BA674" s="549"/>
      <c r="BB674" s="549"/>
      <c r="BC674" s="549"/>
      <c r="BD674" s="549"/>
      <c r="BE674" s="549"/>
      <c r="BF674" s="549"/>
      <c r="BG674" s="549"/>
      <c r="BH674" s="549"/>
      <c r="BI674" s="549"/>
    </row>
    <row r="675" spans="16:61" s="254" customFormat="1" ht="9.9">
      <c r="P675" s="549"/>
      <c r="Q675" s="549"/>
      <c r="R675" s="549"/>
      <c r="S675" s="549"/>
      <c r="T675" s="549"/>
      <c r="U675" s="549"/>
      <c r="V675" s="549"/>
      <c r="W675" s="549"/>
      <c r="X675" s="549"/>
      <c r="Y675" s="549"/>
      <c r="Z675" s="549"/>
      <c r="AA675" s="549"/>
      <c r="AB675" s="549"/>
      <c r="AC675" s="549"/>
      <c r="AD675" s="549"/>
      <c r="AE675" s="549"/>
      <c r="AF675" s="549"/>
      <c r="AG675" s="549"/>
      <c r="AH675" s="549"/>
      <c r="AI675" s="549"/>
      <c r="AJ675" s="549"/>
      <c r="AK675" s="549"/>
      <c r="AL675" s="549"/>
      <c r="AM675" s="549"/>
      <c r="AN675" s="549"/>
      <c r="AO675" s="549"/>
      <c r="AP675" s="549"/>
      <c r="AQ675" s="549"/>
      <c r="AR675" s="549"/>
      <c r="AS675" s="549"/>
      <c r="AT675" s="549"/>
      <c r="AU675" s="549"/>
      <c r="AV675" s="549"/>
      <c r="AW675" s="549"/>
      <c r="AX675" s="549"/>
      <c r="AY675" s="549"/>
      <c r="AZ675" s="549"/>
      <c r="BA675" s="549"/>
      <c r="BB675" s="549"/>
      <c r="BC675" s="549"/>
      <c r="BD675" s="549"/>
      <c r="BE675" s="549"/>
      <c r="BF675" s="549"/>
      <c r="BG675" s="549"/>
      <c r="BH675" s="549"/>
      <c r="BI675" s="549"/>
    </row>
    <row r="676" spans="16:61" s="254" customFormat="1" ht="9.9">
      <c r="P676" s="549"/>
      <c r="Q676" s="549"/>
      <c r="R676" s="549"/>
      <c r="S676" s="549"/>
      <c r="T676" s="549"/>
      <c r="U676" s="549"/>
      <c r="V676" s="549"/>
      <c r="W676" s="549"/>
      <c r="X676" s="549"/>
      <c r="Y676" s="549"/>
      <c r="Z676" s="549"/>
      <c r="AA676" s="549"/>
      <c r="AB676" s="549"/>
      <c r="AC676" s="549"/>
      <c r="AD676" s="549"/>
      <c r="AE676" s="549"/>
      <c r="AF676" s="549"/>
      <c r="AG676" s="549"/>
      <c r="AH676" s="549"/>
      <c r="AI676" s="549"/>
      <c r="AJ676" s="549"/>
      <c r="AK676" s="549"/>
      <c r="AL676" s="549"/>
      <c r="AM676" s="549"/>
      <c r="AN676" s="549"/>
      <c r="AO676" s="549"/>
      <c r="AP676" s="549"/>
      <c r="AQ676" s="549"/>
      <c r="AR676" s="549"/>
      <c r="AS676" s="549"/>
      <c r="AT676" s="549"/>
      <c r="AU676" s="549"/>
      <c r="AV676" s="549"/>
      <c r="AW676" s="549"/>
      <c r="AX676" s="549"/>
      <c r="AY676" s="549"/>
      <c r="AZ676" s="549"/>
      <c r="BA676" s="549"/>
      <c r="BB676" s="549"/>
      <c r="BC676" s="549"/>
      <c r="BD676" s="549"/>
      <c r="BE676" s="549"/>
      <c r="BF676" s="549"/>
      <c r="BG676" s="549"/>
      <c r="BH676" s="549"/>
      <c r="BI676" s="549"/>
    </row>
    <row r="677" spans="16:61" s="254" customFormat="1" ht="9.9">
      <c r="P677" s="549"/>
      <c r="Q677" s="549"/>
      <c r="R677" s="549"/>
      <c r="S677" s="549"/>
      <c r="T677" s="549"/>
      <c r="U677" s="549"/>
      <c r="V677" s="549"/>
      <c r="W677" s="549"/>
      <c r="X677" s="549"/>
      <c r="Y677" s="549"/>
      <c r="Z677" s="549"/>
      <c r="AA677" s="549"/>
      <c r="AB677" s="549"/>
      <c r="AC677" s="549"/>
      <c r="AD677" s="549"/>
      <c r="AE677" s="549"/>
      <c r="AF677" s="549"/>
      <c r="AG677" s="549"/>
      <c r="AH677" s="549"/>
      <c r="AI677" s="549"/>
      <c r="AJ677" s="549"/>
      <c r="AK677" s="549"/>
      <c r="AL677" s="549"/>
      <c r="AM677" s="549"/>
      <c r="AN677" s="549"/>
      <c r="AO677" s="549"/>
      <c r="AP677" s="549"/>
      <c r="AQ677" s="549"/>
      <c r="AR677" s="549"/>
      <c r="AS677" s="549"/>
      <c r="AT677" s="549"/>
      <c r="AU677" s="549"/>
      <c r="AV677" s="549"/>
      <c r="AW677" s="549"/>
      <c r="AX677" s="549"/>
      <c r="AY677" s="549"/>
      <c r="AZ677" s="549"/>
      <c r="BA677" s="549"/>
      <c r="BB677" s="549"/>
      <c r="BC677" s="549"/>
      <c r="BD677" s="549"/>
      <c r="BE677" s="549"/>
      <c r="BF677" s="549"/>
      <c r="BG677" s="549"/>
      <c r="BH677" s="549"/>
      <c r="BI677" s="549"/>
    </row>
    <row r="678" spans="16:61" s="254" customFormat="1" ht="9.9">
      <c r="P678" s="549"/>
      <c r="Q678" s="549"/>
      <c r="R678" s="549"/>
      <c r="S678" s="549"/>
      <c r="T678" s="549"/>
      <c r="U678" s="549"/>
      <c r="V678" s="549"/>
      <c r="W678" s="549"/>
      <c r="X678" s="549"/>
      <c r="Y678" s="549"/>
      <c r="Z678" s="549"/>
      <c r="AA678" s="549"/>
      <c r="AB678" s="549"/>
      <c r="AC678" s="549"/>
      <c r="AD678" s="549"/>
      <c r="AE678" s="549"/>
      <c r="AF678" s="549"/>
      <c r="AG678" s="549"/>
      <c r="AH678" s="549"/>
      <c r="AI678" s="549"/>
      <c r="AJ678" s="549"/>
      <c r="AK678" s="549"/>
      <c r="AL678" s="549"/>
      <c r="AM678" s="549"/>
      <c r="AN678" s="549"/>
      <c r="AO678" s="549"/>
      <c r="AP678" s="549"/>
      <c r="AQ678" s="549"/>
      <c r="AR678" s="549"/>
      <c r="AS678" s="549"/>
      <c r="AT678" s="549"/>
      <c r="AU678" s="549"/>
      <c r="AV678" s="549"/>
      <c r="AW678" s="549"/>
      <c r="AX678" s="549"/>
      <c r="AY678" s="549"/>
      <c r="AZ678" s="549"/>
      <c r="BA678" s="549"/>
      <c r="BB678" s="549"/>
      <c r="BC678" s="549"/>
      <c r="BD678" s="549"/>
      <c r="BE678" s="549"/>
      <c r="BF678" s="549"/>
      <c r="BG678" s="549"/>
      <c r="BH678" s="549"/>
      <c r="BI678" s="549"/>
    </row>
    <row r="679" spans="16:61" s="254" customFormat="1" ht="9.9">
      <c r="P679" s="549"/>
      <c r="Q679" s="549"/>
      <c r="R679" s="549"/>
      <c r="S679" s="549"/>
      <c r="T679" s="549"/>
      <c r="U679" s="549"/>
      <c r="V679" s="549"/>
      <c r="W679" s="549"/>
      <c r="X679" s="549"/>
      <c r="Y679" s="549"/>
      <c r="Z679" s="549"/>
      <c r="AA679" s="549"/>
      <c r="AB679" s="549"/>
      <c r="AC679" s="549"/>
      <c r="AD679" s="549"/>
      <c r="AE679" s="549"/>
      <c r="AF679" s="549"/>
      <c r="AG679" s="549"/>
      <c r="AH679" s="549"/>
      <c r="AI679" s="549"/>
      <c r="AJ679" s="549"/>
      <c r="AK679" s="549"/>
      <c r="AL679" s="549"/>
      <c r="AM679" s="549"/>
      <c r="AN679" s="549"/>
      <c r="AO679" s="549"/>
      <c r="AP679" s="549"/>
      <c r="AQ679" s="549"/>
      <c r="AR679" s="549"/>
      <c r="AS679" s="549"/>
      <c r="AT679" s="549"/>
      <c r="AU679" s="549"/>
      <c r="AV679" s="549"/>
      <c r="AW679" s="549"/>
      <c r="AX679" s="549"/>
      <c r="AY679" s="549"/>
      <c r="AZ679" s="549"/>
      <c r="BA679" s="549"/>
      <c r="BB679" s="549"/>
      <c r="BC679" s="549"/>
      <c r="BD679" s="549"/>
      <c r="BE679" s="549"/>
      <c r="BF679" s="549"/>
      <c r="BG679" s="549"/>
      <c r="BH679" s="549"/>
      <c r="BI679" s="549"/>
    </row>
    <row r="680" spans="16:61" s="254" customFormat="1" ht="9.9">
      <c r="P680" s="549"/>
      <c r="Q680" s="549"/>
      <c r="R680" s="549"/>
      <c r="S680" s="549"/>
      <c r="T680" s="549"/>
      <c r="U680" s="549"/>
      <c r="V680" s="549"/>
      <c r="W680" s="549"/>
      <c r="X680" s="549"/>
      <c r="Y680" s="549"/>
      <c r="Z680" s="549"/>
      <c r="AA680" s="549"/>
      <c r="AB680" s="549"/>
      <c r="AC680" s="549"/>
      <c r="AD680" s="549"/>
      <c r="AE680" s="549"/>
      <c r="AF680" s="549"/>
      <c r="AG680" s="549"/>
      <c r="AH680" s="549"/>
      <c r="AI680" s="549"/>
      <c r="AJ680" s="549"/>
      <c r="AK680" s="549"/>
      <c r="AL680" s="549"/>
      <c r="AM680" s="549"/>
      <c r="AN680" s="549"/>
      <c r="AO680" s="549"/>
      <c r="AP680" s="549"/>
      <c r="AQ680" s="549"/>
      <c r="AR680" s="549"/>
      <c r="AS680" s="549"/>
      <c r="AT680" s="549"/>
      <c r="AU680" s="549"/>
      <c r="AV680" s="549"/>
      <c r="AW680" s="549"/>
      <c r="AX680" s="549"/>
      <c r="AY680" s="549"/>
      <c r="AZ680" s="549"/>
      <c r="BA680" s="549"/>
      <c r="BB680" s="549"/>
      <c r="BC680" s="549"/>
      <c r="BD680" s="549"/>
      <c r="BE680" s="549"/>
      <c r="BF680" s="549"/>
      <c r="BG680" s="549"/>
      <c r="BH680" s="549"/>
      <c r="BI680" s="549"/>
    </row>
    <row r="681" spans="16:61" s="254" customFormat="1" ht="9.9">
      <c r="P681" s="549"/>
      <c r="Q681" s="549"/>
      <c r="R681" s="549"/>
      <c r="S681" s="549"/>
      <c r="T681" s="549"/>
      <c r="U681" s="549"/>
      <c r="V681" s="549"/>
      <c r="W681" s="549"/>
      <c r="X681" s="549"/>
      <c r="Y681" s="549"/>
      <c r="Z681" s="549"/>
      <c r="AA681" s="549"/>
      <c r="AB681" s="549"/>
      <c r="AC681" s="549"/>
      <c r="AD681" s="549"/>
      <c r="AE681" s="549"/>
      <c r="AF681" s="549"/>
      <c r="AG681" s="549"/>
      <c r="AH681" s="549"/>
      <c r="AI681" s="549"/>
      <c r="AJ681" s="549"/>
      <c r="AK681" s="549"/>
      <c r="AL681" s="549"/>
      <c r="AM681" s="549"/>
      <c r="AN681" s="549"/>
      <c r="AO681" s="549"/>
      <c r="AP681" s="549"/>
      <c r="AQ681" s="549"/>
      <c r="AR681" s="549"/>
      <c r="AS681" s="549"/>
      <c r="AT681" s="549"/>
      <c r="AU681" s="549"/>
      <c r="AV681" s="549"/>
      <c r="AW681" s="549"/>
      <c r="AX681" s="549"/>
      <c r="AY681" s="549"/>
      <c r="AZ681" s="549"/>
      <c r="BA681" s="549"/>
      <c r="BB681" s="549"/>
      <c r="BC681" s="549"/>
      <c r="BD681" s="549"/>
      <c r="BE681" s="549"/>
      <c r="BF681" s="549"/>
      <c r="BG681" s="549"/>
      <c r="BH681" s="549"/>
      <c r="BI681" s="549"/>
    </row>
    <row r="682" spans="16:61" s="254" customFormat="1" ht="9.9">
      <c r="P682" s="549"/>
      <c r="Q682" s="549"/>
      <c r="R682" s="549"/>
      <c r="S682" s="549"/>
      <c r="T682" s="549"/>
      <c r="U682" s="549"/>
      <c r="V682" s="549"/>
      <c r="W682" s="549"/>
      <c r="X682" s="549"/>
      <c r="Y682" s="549"/>
      <c r="Z682" s="549"/>
      <c r="AA682" s="549"/>
      <c r="AB682" s="549"/>
      <c r="AC682" s="549"/>
      <c r="AD682" s="549"/>
      <c r="AE682" s="549"/>
      <c r="AF682" s="549"/>
      <c r="AG682" s="549"/>
      <c r="AH682" s="549"/>
      <c r="AI682" s="549"/>
      <c r="AJ682" s="549"/>
      <c r="AK682" s="549"/>
      <c r="AL682" s="549"/>
      <c r="AM682" s="549"/>
      <c r="AN682" s="549"/>
      <c r="AO682" s="549"/>
      <c r="AP682" s="549"/>
      <c r="AQ682" s="549"/>
      <c r="AR682" s="549"/>
      <c r="AS682" s="549"/>
      <c r="AT682" s="549"/>
      <c r="AU682" s="549"/>
      <c r="AV682" s="549"/>
      <c r="AW682" s="549"/>
      <c r="AX682" s="549"/>
      <c r="AY682" s="549"/>
      <c r="AZ682" s="549"/>
      <c r="BA682" s="549"/>
      <c r="BB682" s="549"/>
      <c r="BC682" s="549"/>
      <c r="BD682" s="549"/>
      <c r="BE682" s="549"/>
      <c r="BF682" s="549"/>
      <c r="BG682" s="549"/>
      <c r="BH682" s="549"/>
      <c r="BI682" s="549"/>
    </row>
    <row r="683" spans="16:61" s="254" customFormat="1" ht="9.9">
      <c r="P683" s="549"/>
      <c r="Q683" s="549"/>
      <c r="R683" s="549"/>
      <c r="S683" s="549"/>
      <c r="T683" s="549"/>
      <c r="U683" s="549"/>
      <c r="V683" s="549"/>
      <c r="W683" s="549"/>
      <c r="X683" s="549"/>
      <c r="Y683" s="549"/>
      <c r="Z683" s="549"/>
      <c r="AA683" s="549"/>
      <c r="AB683" s="549"/>
      <c r="AC683" s="549"/>
      <c r="AD683" s="549"/>
      <c r="AE683" s="549"/>
      <c r="AF683" s="549"/>
      <c r="AG683" s="549"/>
      <c r="AH683" s="549"/>
      <c r="AI683" s="549"/>
      <c r="AJ683" s="549"/>
      <c r="AK683" s="549"/>
      <c r="AL683" s="549"/>
      <c r="AM683" s="549"/>
      <c r="AN683" s="549"/>
      <c r="AO683" s="549"/>
      <c r="AP683" s="549"/>
      <c r="AQ683" s="549"/>
      <c r="AR683" s="549"/>
      <c r="AS683" s="549"/>
      <c r="AT683" s="549"/>
      <c r="AU683" s="549"/>
      <c r="AV683" s="549"/>
      <c r="AW683" s="549"/>
      <c r="AX683" s="549"/>
      <c r="AY683" s="549"/>
      <c r="AZ683" s="549"/>
      <c r="BA683" s="549"/>
      <c r="BB683" s="549"/>
      <c r="BC683" s="549"/>
      <c r="BD683" s="549"/>
      <c r="BE683" s="549"/>
      <c r="BF683" s="549"/>
      <c r="BG683" s="549"/>
      <c r="BH683" s="549"/>
      <c r="BI683" s="549"/>
    </row>
    <row r="684" spans="16:61" s="254" customFormat="1" ht="9.9">
      <c r="P684" s="549"/>
      <c r="Q684" s="549"/>
      <c r="R684" s="549"/>
      <c r="S684" s="549"/>
      <c r="T684" s="549"/>
      <c r="U684" s="549"/>
      <c r="V684" s="549"/>
      <c r="W684" s="549"/>
      <c r="X684" s="549"/>
      <c r="Y684" s="549"/>
      <c r="Z684" s="549"/>
      <c r="AA684" s="549"/>
      <c r="AB684" s="549"/>
      <c r="AC684" s="549"/>
      <c r="AD684" s="549"/>
      <c r="AE684" s="549"/>
      <c r="AF684" s="549"/>
      <c r="AG684" s="549"/>
      <c r="AH684" s="549"/>
      <c r="AI684" s="549"/>
      <c r="AJ684" s="549"/>
      <c r="AK684" s="549"/>
      <c r="AL684" s="549"/>
      <c r="AM684" s="549"/>
      <c r="AN684" s="549"/>
      <c r="AO684" s="549"/>
      <c r="AP684" s="549"/>
      <c r="AQ684" s="549"/>
      <c r="AR684" s="549"/>
      <c r="AS684" s="549"/>
      <c r="AT684" s="549"/>
      <c r="AU684" s="549"/>
      <c r="AV684" s="549"/>
      <c r="AW684" s="549"/>
      <c r="AX684" s="549"/>
      <c r="AY684" s="549"/>
      <c r="AZ684" s="549"/>
      <c r="BA684" s="549"/>
      <c r="BB684" s="549"/>
      <c r="BC684" s="549"/>
      <c r="BD684" s="549"/>
      <c r="BE684" s="549"/>
      <c r="BF684" s="549"/>
      <c r="BG684" s="549"/>
      <c r="BH684" s="549"/>
      <c r="BI684" s="549"/>
    </row>
    <row r="685" spans="16:61" s="254" customFormat="1" ht="9.9">
      <c r="P685" s="549"/>
      <c r="Q685" s="549"/>
      <c r="R685" s="549"/>
      <c r="S685" s="549"/>
      <c r="T685" s="549"/>
      <c r="U685" s="549"/>
      <c r="V685" s="549"/>
      <c r="W685" s="549"/>
      <c r="X685" s="549"/>
      <c r="Y685" s="549"/>
      <c r="Z685" s="549"/>
      <c r="AA685" s="549"/>
      <c r="AB685" s="549"/>
      <c r="AC685" s="549"/>
      <c r="AD685" s="549"/>
      <c r="AE685" s="549"/>
      <c r="AF685" s="549"/>
      <c r="AG685" s="549"/>
      <c r="AH685" s="549"/>
      <c r="AI685" s="549"/>
      <c r="AJ685" s="549"/>
      <c r="AK685" s="549"/>
      <c r="AL685" s="549"/>
      <c r="AM685" s="549"/>
      <c r="AN685" s="549"/>
      <c r="AO685" s="549"/>
      <c r="AP685" s="549"/>
      <c r="AQ685" s="549"/>
      <c r="AR685" s="549"/>
      <c r="AS685" s="549"/>
      <c r="AT685" s="549"/>
      <c r="AU685" s="549"/>
      <c r="AV685" s="549"/>
      <c r="AW685" s="549"/>
      <c r="AX685" s="549"/>
      <c r="AY685" s="549"/>
      <c r="AZ685" s="549"/>
      <c r="BA685" s="549"/>
      <c r="BB685" s="549"/>
      <c r="BC685" s="549"/>
      <c r="BD685" s="549"/>
      <c r="BE685" s="549"/>
      <c r="BF685" s="549"/>
      <c r="BG685" s="549"/>
      <c r="BH685" s="549"/>
      <c r="BI685" s="549"/>
    </row>
    <row r="686" spans="16:61" s="254" customFormat="1" ht="9.9">
      <c r="P686" s="549"/>
      <c r="Q686" s="549"/>
      <c r="R686" s="549"/>
      <c r="S686" s="549"/>
      <c r="T686" s="549"/>
      <c r="U686" s="549"/>
      <c r="V686" s="549"/>
      <c r="W686" s="549"/>
      <c r="X686" s="549"/>
      <c r="Y686" s="549"/>
      <c r="Z686" s="549"/>
      <c r="AA686" s="549"/>
      <c r="AB686" s="549"/>
      <c r="AC686" s="549"/>
      <c r="AD686" s="549"/>
      <c r="AE686" s="549"/>
      <c r="AF686" s="549"/>
      <c r="AG686" s="549"/>
      <c r="AH686" s="549"/>
      <c r="AI686" s="549"/>
      <c r="AJ686" s="549"/>
      <c r="AK686" s="549"/>
      <c r="AL686" s="549"/>
      <c r="AM686" s="549"/>
      <c r="AN686" s="549"/>
      <c r="AO686" s="549"/>
      <c r="AP686" s="549"/>
      <c r="AQ686" s="549"/>
      <c r="AR686" s="549"/>
      <c r="AS686" s="549"/>
      <c r="AT686" s="549"/>
      <c r="AU686" s="549"/>
      <c r="AV686" s="549"/>
      <c r="AW686" s="549"/>
      <c r="AX686" s="549"/>
      <c r="AY686" s="549"/>
      <c r="AZ686" s="549"/>
      <c r="BA686" s="549"/>
      <c r="BB686" s="549"/>
      <c r="BC686" s="549"/>
      <c r="BD686" s="549"/>
      <c r="BE686" s="549"/>
      <c r="BF686" s="549"/>
      <c r="BG686" s="549"/>
      <c r="BH686" s="549"/>
      <c r="BI686" s="549"/>
    </row>
    <row r="687" spans="16:61" s="254" customFormat="1" ht="9.9">
      <c r="P687" s="549"/>
      <c r="Q687" s="549"/>
      <c r="R687" s="549"/>
      <c r="S687" s="549"/>
      <c r="T687" s="549"/>
      <c r="U687" s="549"/>
      <c r="V687" s="549"/>
      <c r="W687" s="549"/>
      <c r="X687" s="549"/>
      <c r="Y687" s="549"/>
      <c r="Z687" s="549"/>
      <c r="AA687" s="549"/>
      <c r="AB687" s="549"/>
      <c r="AC687" s="549"/>
      <c r="AD687" s="549"/>
      <c r="AE687" s="549"/>
      <c r="AF687" s="549"/>
      <c r="AG687" s="549"/>
      <c r="AH687" s="549"/>
      <c r="AI687" s="549"/>
      <c r="AJ687" s="549"/>
      <c r="AK687" s="549"/>
      <c r="AL687" s="549"/>
      <c r="AM687" s="549"/>
      <c r="AN687" s="549"/>
      <c r="AO687" s="549"/>
      <c r="AP687" s="549"/>
      <c r="AQ687" s="549"/>
      <c r="AR687" s="549"/>
      <c r="AS687" s="549"/>
      <c r="AT687" s="549"/>
      <c r="AU687" s="549"/>
      <c r="AV687" s="549"/>
      <c r="AW687" s="549"/>
      <c r="AX687" s="549"/>
      <c r="AY687" s="549"/>
      <c r="AZ687" s="549"/>
      <c r="BA687" s="549"/>
      <c r="BB687" s="549"/>
      <c r="BC687" s="549"/>
      <c r="BD687" s="549"/>
      <c r="BE687" s="549"/>
      <c r="BF687" s="549"/>
      <c r="BG687" s="549"/>
      <c r="BH687" s="549"/>
      <c r="BI687" s="549"/>
    </row>
    <row r="688" spans="16:61" s="254" customFormat="1" ht="9.9">
      <c r="P688" s="549"/>
      <c r="Q688" s="549"/>
      <c r="R688" s="549"/>
      <c r="S688" s="549"/>
      <c r="T688" s="549"/>
      <c r="U688" s="549"/>
      <c r="V688" s="549"/>
      <c r="W688" s="549"/>
      <c r="X688" s="549"/>
      <c r="Y688" s="549"/>
      <c r="Z688" s="549"/>
      <c r="AA688" s="549"/>
      <c r="AB688" s="549"/>
      <c r="AC688" s="549"/>
      <c r="AD688" s="549"/>
      <c r="AE688" s="549"/>
      <c r="AF688" s="549"/>
      <c r="AG688" s="549"/>
      <c r="AH688" s="549"/>
      <c r="AI688" s="549"/>
      <c r="AJ688" s="549"/>
      <c r="AK688" s="549"/>
      <c r="AL688" s="549"/>
      <c r="AM688" s="549"/>
      <c r="AN688" s="549"/>
      <c r="AO688" s="549"/>
      <c r="AP688" s="549"/>
      <c r="AQ688" s="549"/>
      <c r="AR688" s="549"/>
      <c r="AS688" s="549"/>
      <c r="AT688" s="549"/>
      <c r="AU688" s="549"/>
      <c r="AV688" s="549"/>
      <c r="AW688" s="549"/>
      <c r="AX688" s="549"/>
      <c r="AY688" s="549"/>
      <c r="AZ688" s="549"/>
      <c r="BA688" s="549"/>
      <c r="BB688" s="549"/>
      <c r="BC688" s="549"/>
      <c r="BD688" s="549"/>
      <c r="BE688" s="549"/>
      <c r="BF688" s="549"/>
      <c r="BG688" s="549"/>
      <c r="BH688" s="549"/>
      <c r="BI688" s="549"/>
    </row>
    <row r="689" spans="16:61" s="254" customFormat="1" ht="9.9">
      <c r="P689" s="549"/>
      <c r="Q689" s="549"/>
      <c r="R689" s="549"/>
      <c r="S689" s="549"/>
      <c r="T689" s="549"/>
      <c r="U689" s="549"/>
      <c r="V689" s="549"/>
      <c r="W689" s="549"/>
      <c r="X689" s="549"/>
      <c r="Y689" s="549"/>
      <c r="Z689" s="549"/>
      <c r="AA689" s="549"/>
      <c r="AB689" s="549"/>
      <c r="AC689" s="549"/>
      <c r="AD689" s="549"/>
      <c r="AE689" s="549"/>
      <c r="AF689" s="549"/>
      <c r="AG689" s="549"/>
      <c r="AH689" s="549"/>
      <c r="AI689" s="549"/>
      <c r="AJ689" s="549"/>
      <c r="AK689" s="549"/>
      <c r="AL689" s="549"/>
      <c r="AM689" s="549"/>
      <c r="AN689" s="549"/>
      <c r="AO689" s="549"/>
      <c r="AP689" s="549"/>
      <c r="AQ689" s="549"/>
      <c r="AR689" s="549"/>
      <c r="AS689" s="549"/>
      <c r="AT689" s="549"/>
      <c r="AU689" s="549"/>
      <c r="AV689" s="549"/>
      <c r="AW689" s="549"/>
      <c r="AX689" s="549"/>
      <c r="AY689" s="549"/>
      <c r="AZ689" s="549"/>
      <c r="BA689" s="549"/>
      <c r="BB689" s="549"/>
      <c r="BC689" s="549"/>
      <c r="BD689" s="549"/>
      <c r="BE689" s="549"/>
      <c r="BF689" s="549"/>
      <c r="BG689" s="549"/>
      <c r="BH689" s="549"/>
      <c r="BI689" s="549"/>
    </row>
    <row r="690" spans="16:61" s="254" customFormat="1" ht="9.9">
      <c r="P690" s="549"/>
      <c r="Q690" s="549"/>
      <c r="R690" s="549"/>
      <c r="S690" s="549"/>
      <c r="T690" s="549"/>
      <c r="U690" s="549"/>
      <c r="V690" s="549"/>
      <c r="W690" s="549"/>
      <c r="X690" s="549"/>
      <c r="Y690" s="549"/>
      <c r="Z690" s="549"/>
      <c r="AA690" s="549"/>
      <c r="AB690" s="549"/>
      <c r="AC690" s="549"/>
      <c r="AD690" s="549"/>
      <c r="AE690" s="549"/>
      <c r="AF690" s="549"/>
      <c r="AG690" s="549"/>
      <c r="AH690" s="549"/>
      <c r="AI690" s="549"/>
      <c r="AJ690" s="549"/>
      <c r="AK690" s="549"/>
      <c r="AL690" s="549"/>
      <c r="AM690" s="549"/>
      <c r="AN690" s="549"/>
      <c r="AO690" s="549"/>
      <c r="AP690" s="549"/>
      <c r="AQ690" s="549"/>
      <c r="AR690" s="549"/>
      <c r="AS690" s="549"/>
      <c r="AT690" s="549"/>
      <c r="AU690" s="549"/>
      <c r="AV690" s="549"/>
      <c r="AW690" s="549"/>
      <c r="AX690" s="549"/>
      <c r="AY690" s="549"/>
      <c r="AZ690" s="549"/>
      <c r="BA690" s="549"/>
      <c r="BB690" s="549"/>
      <c r="BC690" s="549"/>
      <c r="BD690" s="549"/>
      <c r="BE690" s="549"/>
      <c r="BF690" s="549"/>
      <c r="BG690" s="549"/>
      <c r="BH690" s="549"/>
      <c r="BI690" s="549"/>
    </row>
    <row r="691" spans="16:61" s="254" customFormat="1" ht="9.9">
      <c r="P691" s="549"/>
      <c r="Q691" s="549"/>
      <c r="R691" s="549"/>
      <c r="S691" s="549"/>
      <c r="T691" s="549"/>
      <c r="U691" s="549"/>
      <c r="V691" s="549"/>
      <c r="W691" s="549"/>
      <c r="X691" s="549"/>
      <c r="Y691" s="549"/>
      <c r="Z691" s="549"/>
      <c r="AA691" s="549"/>
      <c r="AB691" s="549"/>
      <c r="AC691" s="549"/>
      <c r="AD691" s="549"/>
      <c r="AE691" s="549"/>
      <c r="AF691" s="549"/>
      <c r="AG691" s="549"/>
      <c r="AH691" s="549"/>
      <c r="AI691" s="549"/>
      <c r="AJ691" s="549"/>
      <c r="AK691" s="549"/>
      <c r="AL691" s="549"/>
      <c r="AM691" s="549"/>
      <c r="AN691" s="549"/>
      <c r="AO691" s="549"/>
      <c r="AP691" s="549"/>
      <c r="AQ691" s="549"/>
      <c r="AR691" s="549"/>
      <c r="AS691" s="549"/>
      <c r="AT691" s="549"/>
      <c r="AU691" s="549"/>
      <c r="AV691" s="549"/>
      <c r="AW691" s="549"/>
      <c r="AX691" s="549"/>
      <c r="AY691" s="549"/>
      <c r="AZ691" s="549"/>
      <c r="BA691" s="549"/>
      <c r="BB691" s="549"/>
      <c r="BC691" s="549"/>
      <c r="BD691" s="549"/>
      <c r="BE691" s="549"/>
      <c r="BF691" s="549"/>
      <c r="BG691" s="549"/>
      <c r="BH691" s="549"/>
      <c r="BI691" s="549"/>
    </row>
    <row r="692" spans="16:61" s="254" customFormat="1" ht="9.9">
      <c r="P692" s="549"/>
      <c r="Q692" s="549"/>
      <c r="R692" s="549"/>
      <c r="S692" s="549"/>
      <c r="T692" s="549"/>
      <c r="U692" s="549"/>
      <c r="V692" s="549"/>
      <c r="W692" s="549"/>
      <c r="X692" s="549"/>
      <c r="Y692" s="549"/>
      <c r="Z692" s="549"/>
      <c r="AA692" s="549"/>
      <c r="AB692" s="549"/>
      <c r="AC692" s="549"/>
      <c r="AD692" s="549"/>
      <c r="AE692" s="549"/>
      <c r="AF692" s="549"/>
      <c r="AG692" s="549"/>
      <c r="AH692" s="549"/>
      <c r="AI692" s="549"/>
      <c r="AJ692" s="549"/>
      <c r="AK692" s="549"/>
      <c r="AL692" s="549"/>
      <c r="AM692" s="549"/>
      <c r="AN692" s="549"/>
      <c r="AO692" s="549"/>
      <c r="AP692" s="549"/>
      <c r="AQ692" s="549"/>
      <c r="AR692" s="549"/>
      <c r="AS692" s="549"/>
      <c r="AT692" s="549"/>
      <c r="AU692" s="549"/>
      <c r="AV692" s="549"/>
      <c r="AW692" s="549"/>
      <c r="AX692" s="549"/>
      <c r="AY692" s="549"/>
      <c r="AZ692" s="549"/>
      <c r="BA692" s="549"/>
      <c r="BB692" s="549"/>
      <c r="BC692" s="549"/>
      <c r="BD692" s="549"/>
      <c r="BE692" s="549"/>
      <c r="BF692" s="549"/>
      <c r="BG692" s="549"/>
      <c r="BH692" s="549"/>
      <c r="BI692" s="549"/>
    </row>
    <row r="693" spans="16:61" s="254" customFormat="1" ht="9.9">
      <c r="P693" s="549"/>
      <c r="Q693" s="549"/>
      <c r="R693" s="549"/>
      <c r="S693" s="549"/>
      <c r="T693" s="549"/>
      <c r="U693" s="549"/>
      <c r="V693" s="549"/>
      <c r="W693" s="549"/>
      <c r="X693" s="549"/>
      <c r="Y693" s="549"/>
      <c r="Z693" s="549"/>
      <c r="AA693" s="549"/>
      <c r="AB693" s="549"/>
      <c r="AC693" s="549"/>
      <c r="AD693" s="549"/>
      <c r="AE693" s="549"/>
      <c r="AF693" s="549"/>
      <c r="AG693" s="549"/>
      <c r="AH693" s="549"/>
      <c r="AI693" s="549"/>
      <c r="AJ693" s="549"/>
      <c r="AK693" s="549"/>
      <c r="AL693" s="549"/>
      <c r="AM693" s="549"/>
      <c r="AN693" s="549"/>
      <c r="AO693" s="549"/>
      <c r="AP693" s="549"/>
      <c r="AQ693" s="549"/>
      <c r="AR693" s="549"/>
      <c r="AS693" s="549"/>
      <c r="AT693" s="549"/>
      <c r="AU693" s="549"/>
      <c r="AV693" s="549"/>
      <c r="AW693" s="549"/>
      <c r="AX693" s="549"/>
      <c r="AY693" s="549"/>
      <c r="AZ693" s="549"/>
      <c r="BA693" s="549"/>
      <c r="BB693" s="549"/>
      <c r="BC693" s="549"/>
      <c r="BD693" s="549"/>
      <c r="BE693" s="549"/>
      <c r="BF693" s="549"/>
      <c r="BG693" s="549"/>
      <c r="BH693" s="549"/>
      <c r="BI693" s="549"/>
    </row>
    <row r="694" spans="16:61" s="254" customFormat="1" ht="9.9">
      <c r="P694" s="549"/>
      <c r="Q694" s="549"/>
      <c r="R694" s="549"/>
      <c r="S694" s="549"/>
      <c r="T694" s="549"/>
      <c r="U694" s="549"/>
      <c r="V694" s="549"/>
      <c r="W694" s="549"/>
      <c r="X694" s="549"/>
      <c r="Y694" s="549"/>
      <c r="Z694" s="549"/>
      <c r="AA694" s="549"/>
      <c r="AB694" s="549"/>
      <c r="AC694" s="549"/>
      <c r="AD694" s="549"/>
      <c r="AE694" s="549"/>
      <c r="AF694" s="549"/>
      <c r="AG694" s="549"/>
      <c r="AH694" s="549"/>
      <c r="AI694" s="549"/>
      <c r="AJ694" s="549"/>
      <c r="AK694" s="549"/>
      <c r="AL694" s="549"/>
      <c r="AM694" s="549"/>
      <c r="AN694" s="549"/>
      <c r="AO694" s="549"/>
      <c r="AP694" s="549"/>
      <c r="AQ694" s="549"/>
      <c r="AR694" s="549"/>
      <c r="AS694" s="549"/>
      <c r="AT694" s="549"/>
      <c r="AU694" s="549"/>
      <c r="AV694" s="549"/>
      <c r="AW694" s="549"/>
      <c r="AX694" s="549"/>
      <c r="AY694" s="549"/>
      <c r="AZ694" s="549"/>
      <c r="BA694" s="549"/>
      <c r="BB694" s="549"/>
      <c r="BC694" s="549"/>
      <c r="BD694" s="549"/>
      <c r="BE694" s="549"/>
      <c r="BF694" s="549"/>
      <c r="BG694" s="549"/>
      <c r="BH694" s="549"/>
      <c r="BI694" s="549"/>
    </row>
    <row r="695" spans="16:61" s="254" customFormat="1" ht="9.9">
      <c r="P695" s="549"/>
      <c r="Q695" s="549"/>
      <c r="R695" s="549"/>
      <c r="S695" s="549"/>
      <c r="T695" s="549"/>
      <c r="U695" s="549"/>
      <c r="V695" s="549"/>
      <c r="W695" s="549"/>
      <c r="X695" s="549"/>
      <c r="Y695" s="549"/>
      <c r="Z695" s="549"/>
      <c r="AA695" s="549"/>
      <c r="AB695" s="549"/>
      <c r="AC695" s="549"/>
      <c r="AD695" s="549"/>
      <c r="AE695" s="549"/>
      <c r="AF695" s="549"/>
      <c r="AG695" s="549"/>
      <c r="AH695" s="549"/>
      <c r="AI695" s="549"/>
      <c r="AJ695" s="549"/>
      <c r="AK695" s="549"/>
      <c r="AL695" s="549"/>
      <c r="AM695" s="549"/>
      <c r="AN695" s="549"/>
      <c r="AO695" s="549"/>
      <c r="AP695" s="549"/>
      <c r="AQ695" s="549"/>
      <c r="AR695" s="549"/>
      <c r="AS695" s="549"/>
      <c r="AT695" s="549"/>
      <c r="AU695" s="549"/>
      <c r="AV695" s="549"/>
      <c r="AW695" s="549"/>
      <c r="AX695" s="549"/>
      <c r="AY695" s="549"/>
      <c r="AZ695" s="549"/>
      <c r="BA695" s="549"/>
      <c r="BB695" s="549"/>
      <c r="BC695" s="549"/>
      <c r="BD695" s="549"/>
      <c r="BE695" s="549"/>
      <c r="BF695" s="549"/>
      <c r="BG695" s="549"/>
      <c r="BH695" s="549"/>
      <c r="BI695" s="549"/>
    </row>
    <row r="696" spans="16:61" s="254" customFormat="1" ht="9.9">
      <c r="P696" s="549"/>
      <c r="Q696" s="549"/>
      <c r="R696" s="549"/>
      <c r="S696" s="549"/>
      <c r="T696" s="549"/>
      <c r="U696" s="549"/>
      <c r="V696" s="549"/>
      <c r="W696" s="549"/>
      <c r="X696" s="549"/>
      <c r="Y696" s="549"/>
      <c r="Z696" s="549"/>
      <c r="AA696" s="549"/>
      <c r="AB696" s="549"/>
      <c r="AC696" s="549"/>
      <c r="AD696" s="549"/>
      <c r="AE696" s="549"/>
      <c r="AF696" s="549"/>
      <c r="AG696" s="549"/>
      <c r="AH696" s="549"/>
      <c r="AI696" s="549"/>
      <c r="AJ696" s="549"/>
      <c r="AK696" s="549"/>
      <c r="AL696" s="549"/>
      <c r="AM696" s="549"/>
      <c r="AN696" s="549"/>
      <c r="AO696" s="549"/>
      <c r="AP696" s="549"/>
      <c r="AQ696" s="549"/>
      <c r="AR696" s="549"/>
      <c r="AS696" s="549"/>
      <c r="AT696" s="549"/>
      <c r="AU696" s="549"/>
      <c r="AV696" s="549"/>
      <c r="AW696" s="549"/>
      <c r="AX696" s="549"/>
      <c r="AY696" s="549"/>
      <c r="AZ696" s="549"/>
      <c r="BA696" s="549"/>
      <c r="BB696" s="549"/>
      <c r="BC696" s="549"/>
      <c r="BD696" s="549"/>
      <c r="BE696" s="549"/>
      <c r="BF696" s="549"/>
      <c r="BG696" s="549"/>
      <c r="BH696" s="549"/>
      <c r="BI696" s="549"/>
    </row>
    <row r="697" spans="16:61" s="254" customFormat="1" ht="9.9">
      <c r="P697" s="549"/>
      <c r="Q697" s="549"/>
      <c r="R697" s="549"/>
      <c r="S697" s="549"/>
      <c r="T697" s="549"/>
      <c r="U697" s="549"/>
      <c r="V697" s="549"/>
      <c r="W697" s="549"/>
      <c r="X697" s="549"/>
      <c r="Y697" s="549"/>
      <c r="Z697" s="549"/>
      <c r="AA697" s="549"/>
      <c r="AB697" s="549"/>
      <c r="AC697" s="549"/>
      <c r="AD697" s="549"/>
      <c r="AE697" s="549"/>
      <c r="AF697" s="549"/>
      <c r="AG697" s="549"/>
      <c r="AH697" s="549"/>
      <c r="AI697" s="549"/>
      <c r="AJ697" s="549"/>
      <c r="AK697" s="549"/>
      <c r="AL697" s="549"/>
      <c r="AM697" s="549"/>
      <c r="AN697" s="549"/>
      <c r="AO697" s="549"/>
      <c r="AP697" s="549"/>
      <c r="AQ697" s="549"/>
      <c r="AR697" s="549"/>
      <c r="AS697" s="549"/>
      <c r="AT697" s="549"/>
      <c r="AU697" s="549"/>
      <c r="AV697" s="549"/>
      <c r="AW697" s="549"/>
      <c r="AX697" s="549"/>
      <c r="AY697" s="549"/>
      <c r="AZ697" s="549"/>
      <c r="BA697" s="549"/>
      <c r="BB697" s="549"/>
      <c r="BC697" s="549"/>
      <c r="BD697" s="549"/>
      <c r="BE697" s="549"/>
      <c r="BF697" s="549"/>
      <c r="BG697" s="549"/>
      <c r="BH697" s="549"/>
      <c r="BI697" s="549"/>
    </row>
    <row r="698" spans="16:61" s="254" customFormat="1" ht="9.9">
      <c r="P698" s="549"/>
      <c r="Q698" s="549"/>
      <c r="R698" s="549"/>
      <c r="S698" s="549"/>
      <c r="T698" s="549"/>
      <c r="U698" s="549"/>
      <c r="V698" s="549"/>
      <c r="W698" s="549"/>
      <c r="X698" s="549"/>
      <c r="Y698" s="549"/>
      <c r="Z698" s="549"/>
      <c r="AA698" s="549"/>
      <c r="AB698" s="549"/>
      <c r="AC698" s="549"/>
      <c r="AD698" s="549"/>
      <c r="AE698" s="549"/>
      <c r="AF698" s="549"/>
      <c r="AG698" s="549"/>
      <c r="AH698" s="549"/>
      <c r="AI698" s="549"/>
      <c r="AJ698" s="549"/>
      <c r="AK698" s="549"/>
      <c r="AL698" s="549"/>
      <c r="AM698" s="549"/>
      <c r="AN698" s="549"/>
      <c r="AO698" s="549"/>
      <c r="AP698" s="549"/>
      <c r="AQ698" s="549"/>
      <c r="AR698" s="549"/>
      <c r="AS698" s="549"/>
      <c r="AT698" s="549"/>
      <c r="AU698" s="549"/>
      <c r="AV698" s="549"/>
      <c r="AW698" s="549"/>
      <c r="AX698" s="549"/>
      <c r="AY698" s="549"/>
      <c r="AZ698" s="549"/>
      <c r="BA698" s="549"/>
      <c r="BB698" s="549"/>
      <c r="BC698" s="549"/>
      <c r="BD698" s="549"/>
      <c r="BE698" s="549"/>
      <c r="BF698" s="549"/>
      <c r="BG698" s="549"/>
      <c r="BH698" s="549"/>
      <c r="BI698" s="549"/>
    </row>
    <row r="699" spans="16:61" s="254" customFormat="1" ht="9.9">
      <c r="P699" s="549"/>
      <c r="Q699" s="549"/>
      <c r="R699" s="549"/>
      <c r="S699" s="549"/>
      <c r="T699" s="549"/>
      <c r="U699" s="549"/>
      <c r="V699" s="549"/>
      <c r="W699" s="549"/>
      <c r="X699" s="549"/>
      <c r="Y699" s="549"/>
      <c r="Z699" s="549"/>
      <c r="AA699" s="549"/>
      <c r="AB699" s="549"/>
      <c r="AC699" s="549"/>
      <c r="AD699" s="549"/>
      <c r="AE699" s="549"/>
      <c r="AF699" s="549"/>
      <c r="AG699" s="549"/>
      <c r="AH699" s="549"/>
      <c r="AI699" s="549"/>
      <c r="AJ699" s="549"/>
      <c r="AK699" s="549"/>
      <c r="AL699" s="549"/>
      <c r="AM699" s="549"/>
      <c r="AN699" s="549"/>
      <c r="AO699" s="549"/>
      <c r="AP699" s="549"/>
      <c r="AQ699" s="549"/>
      <c r="AR699" s="549"/>
      <c r="AS699" s="549"/>
      <c r="AT699" s="549"/>
      <c r="AU699" s="549"/>
      <c r="AV699" s="549"/>
      <c r="AW699" s="549"/>
      <c r="AX699" s="549"/>
      <c r="AY699" s="549"/>
      <c r="AZ699" s="549"/>
      <c r="BA699" s="549"/>
      <c r="BB699" s="549"/>
      <c r="BC699" s="549"/>
      <c r="BD699" s="549"/>
      <c r="BE699" s="549"/>
      <c r="BF699" s="549"/>
      <c r="BG699" s="549"/>
      <c r="BH699" s="549"/>
      <c r="BI699" s="549"/>
    </row>
    <row r="700" spans="16:61" s="254" customFormat="1" ht="9.9">
      <c r="P700" s="549"/>
      <c r="Q700" s="549"/>
      <c r="R700" s="549"/>
      <c r="S700" s="549"/>
      <c r="T700" s="549"/>
      <c r="U700" s="549"/>
      <c r="V700" s="549"/>
      <c r="W700" s="549"/>
      <c r="X700" s="549"/>
      <c r="Y700" s="549"/>
      <c r="Z700" s="549"/>
      <c r="AA700" s="549"/>
      <c r="AB700" s="549"/>
      <c r="AC700" s="549"/>
      <c r="AD700" s="549"/>
      <c r="AE700" s="549"/>
      <c r="AF700" s="549"/>
      <c r="AG700" s="549"/>
      <c r="AH700" s="549"/>
      <c r="AI700" s="549"/>
      <c r="AJ700" s="549"/>
      <c r="AK700" s="549"/>
      <c r="AL700" s="549"/>
      <c r="AM700" s="549"/>
      <c r="AN700" s="549"/>
      <c r="AO700" s="549"/>
      <c r="AP700" s="549"/>
      <c r="AQ700" s="549"/>
      <c r="AR700" s="549"/>
      <c r="AS700" s="549"/>
      <c r="AT700" s="549"/>
      <c r="AU700" s="549"/>
      <c r="AV700" s="549"/>
      <c r="AW700" s="549"/>
      <c r="AX700" s="549"/>
      <c r="AY700" s="549"/>
      <c r="AZ700" s="549"/>
      <c r="BA700" s="549"/>
      <c r="BB700" s="549"/>
      <c r="BC700" s="549"/>
      <c r="BD700" s="549"/>
      <c r="BE700" s="549"/>
      <c r="BF700" s="549"/>
      <c r="BG700" s="549"/>
      <c r="BH700" s="549"/>
      <c r="BI700" s="549"/>
    </row>
    <row r="701" spans="16:61" s="254" customFormat="1" ht="9.9">
      <c r="P701" s="549"/>
      <c r="Q701" s="549"/>
      <c r="R701" s="549"/>
      <c r="S701" s="549"/>
      <c r="T701" s="549"/>
      <c r="U701" s="549"/>
      <c r="V701" s="549"/>
      <c r="W701" s="549"/>
      <c r="X701" s="549"/>
      <c r="Y701" s="549"/>
      <c r="Z701" s="549"/>
      <c r="AA701" s="549"/>
      <c r="AB701" s="549"/>
      <c r="AC701" s="549"/>
      <c r="AD701" s="549"/>
      <c r="AE701" s="549"/>
      <c r="AF701" s="549"/>
      <c r="AG701" s="549"/>
      <c r="AH701" s="549"/>
      <c r="AI701" s="549"/>
      <c r="AJ701" s="549"/>
      <c r="AK701" s="549"/>
      <c r="AL701" s="549"/>
      <c r="AM701" s="549"/>
      <c r="AN701" s="549"/>
      <c r="AO701" s="549"/>
      <c r="AP701" s="549"/>
      <c r="AQ701" s="549"/>
      <c r="AR701" s="549"/>
      <c r="AS701" s="549"/>
      <c r="AT701" s="549"/>
      <c r="AU701" s="549"/>
      <c r="AV701" s="549"/>
      <c r="AW701" s="549"/>
      <c r="AX701" s="549"/>
      <c r="AY701" s="549"/>
      <c r="AZ701" s="549"/>
      <c r="BA701" s="549"/>
      <c r="BB701" s="549"/>
      <c r="BC701" s="549"/>
      <c r="BD701" s="549"/>
      <c r="BE701" s="549"/>
      <c r="BF701" s="549"/>
      <c r="BG701" s="549"/>
      <c r="BH701" s="549"/>
      <c r="BI701" s="549"/>
    </row>
    <row r="702" spans="16:61" s="254" customFormat="1" ht="9.9">
      <c r="P702" s="549"/>
      <c r="Q702" s="549"/>
      <c r="R702" s="549"/>
      <c r="S702" s="549"/>
      <c r="T702" s="549"/>
      <c r="U702" s="549"/>
      <c r="V702" s="549"/>
      <c r="W702" s="549"/>
      <c r="X702" s="549"/>
      <c r="Y702" s="549"/>
      <c r="Z702" s="549"/>
      <c r="AA702" s="549"/>
      <c r="AB702" s="549"/>
      <c r="AC702" s="549"/>
      <c r="AD702" s="549"/>
      <c r="AE702" s="549"/>
      <c r="AF702" s="549"/>
      <c r="AG702" s="549"/>
      <c r="AH702" s="549"/>
      <c r="AI702" s="549"/>
      <c r="AJ702" s="549"/>
      <c r="AK702" s="549"/>
      <c r="AL702" s="549"/>
      <c r="AM702" s="549"/>
      <c r="AN702" s="549"/>
      <c r="AO702" s="549"/>
      <c r="AP702" s="549"/>
      <c r="AQ702" s="549"/>
      <c r="AR702" s="549"/>
      <c r="AS702" s="549"/>
      <c r="AT702" s="549"/>
      <c r="AU702" s="549"/>
      <c r="AV702" s="549"/>
      <c r="AW702" s="549"/>
      <c r="AX702" s="549"/>
      <c r="AY702" s="549"/>
      <c r="AZ702" s="549"/>
      <c r="BA702" s="549"/>
      <c r="BB702" s="549"/>
      <c r="BC702" s="549"/>
      <c r="BD702" s="549"/>
      <c r="BE702" s="549"/>
      <c r="BF702" s="549"/>
      <c r="BG702" s="549"/>
      <c r="BH702" s="549"/>
      <c r="BI702" s="549"/>
    </row>
    <row r="703" spans="16:61" s="254" customFormat="1" ht="9.9">
      <c r="P703" s="549"/>
      <c r="Q703" s="549"/>
      <c r="R703" s="549"/>
      <c r="S703" s="549"/>
      <c r="T703" s="549"/>
      <c r="U703" s="549"/>
      <c r="V703" s="549"/>
      <c r="W703" s="549"/>
      <c r="X703" s="549"/>
      <c r="Y703" s="549"/>
      <c r="Z703" s="549"/>
      <c r="AA703" s="549"/>
      <c r="AB703" s="549"/>
      <c r="AC703" s="549"/>
      <c r="AD703" s="549"/>
      <c r="AE703" s="549"/>
      <c r="AF703" s="549"/>
      <c r="AG703" s="549"/>
      <c r="AH703" s="549"/>
      <c r="AI703" s="549"/>
      <c r="AJ703" s="549"/>
      <c r="AK703" s="549"/>
      <c r="AL703" s="549"/>
      <c r="AM703" s="549"/>
      <c r="AN703" s="549"/>
      <c r="AO703" s="549"/>
      <c r="AP703" s="549"/>
      <c r="AQ703" s="549"/>
      <c r="AR703" s="549"/>
      <c r="AS703" s="549"/>
      <c r="AT703" s="549"/>
      <c r="AU703" s="549"/>
      <c r="AV703" s="549"/>
      <c r="AW703" s="549"/>
      <c r="AX703" s="549"/>
      <c r="AY703" s="549"/>
      <c r="AZ703" s="549"/>
      <c r="BA703" s="549"/>
      <c r="BB703" s="549"/>
      <c r="BC703" s="549"/>
      <c r="BD703" s="549"/>
      <c r="BE703" s="549"/>
      <c r="BF703" s="549"/>
      <c r="BG703" s="549"/>
      <c r="BH703" s="549"/>
      <c r="BI703" s="549"/>
    </row>
    <row r="704" spans="16:61" s="254" customFormat="1" ht="9.9">
      <c r="P704" s="549"/>
      <c r="Q704" s="549"/>
      <c r="R704" s="549"/>
      <c r="S704" s="549"/>
      <c r="T704" s="549"/>
      <c r="U704" s="549"/>
      <c r="V704" s="549"/>
      <c r="W704" s="549"/>
      <c r="X704" s="549"/>
      <c r="Y704" s="549"/>
      <c r="Z704" s="549"/>
      <c r="AA704" s="549"/>
      <c r="AB704" s="549"/>
      <c r="AC704" s="549"/>
      <c r="AD704" s="549"/>
      <c r="AE704" s="549"/>
      <c r="AF704" s="549"/>
      <c r="AG704" s="549"/>
      <c r="AH704" s="549"/>
      <c r="AI704" s="549"/>
      <c r="AJ704" s="549"/>
      <c r="AK704" s="549"/>
      <c r="AL704" s="549"/>
      <c r="AM704" s="549"/>
      <c r="AN704" s="549"/>
      <c r="AO704" s="549"/>
      <c r="AP704" s="549"/>
      <c r="AQ704" s="549"/>
      <c r="AR704" s="549"/>
      <c r="AS704" s="549"/>
      <c r="AT704" s="549"/>
      <c r="AU704" s="549"/>
      <c r="AV704" s="549"/>
      <c r="AW704" s="549"/>
      <c r="AX704" s="549"/>
      <c r="AY704" s="549"/>
      <c r="AZ704" s="549"/>
      <c r="BA704" s="549"/>
      <c r="BB704" s="549"/>
      <c r="BC704" s="549"/>
      <c r="BD704" s="549"/>
      <c r="BE704" s="549"/>
      <c r="BF704" s="549"/>
      <c r="BG704" s="549"/>
      <c r="BH704" s="549"/>
      <c r="BI704" s="549"/>
    </row>
    <row r="705" spans="16:61" s="254" customFormat="1" ht="9.9">
      <c r="P705" s="549"/>
      <c r="Q705" s="549"/>
      <c r="R705" s="549"/>
      <c r="S705" s="549"/>
      <c r="T705" s="549"/>
      <c r="U705" s="549"/>
      <c r="V705" s="549"/>
      <c r="W705" s="549"/>
      <c r="X705" s="549"/>
      <c r="Y705" s="549"/>
      <c r="Z705" s="549"/>
      <c r="AA705" s="549"/>
      <c r="AB705" s="549"/>
      <c r="AC705" s="549"/>
      <c r="AD705" s="549"/>
      <c r="AE705" s="549"/>
      <c r="AF705" s="549"/>
      <c r="AG705" s="549"/>
      <c r="AH705" s="549"/>
      <c r="AI705" s="549"/>
      <c r="AJ705" s="549"/>
      <c r="AK705" s="549"/>
      <c r="AL705" s="549"/>
      <c r="AM705" s="549"/>
      <c r="AN705" s="549"/>
      <c r="AO705" s="549"/>
      <c r="AP705" s="549"/>
      <c r="AQ705" s="549"/>
      <c r="AR705" s="549"/>
      <c r="AS705" s="549"/>
      <c r="AT705" s="549"/>
      <c r="AU705" s="549"/>
      <c r="AV705" s="549"/>
      <c r="AW705" s="549"/>
      <c r="AX705" s="549"/>
      <c r="AY705" s="549"/>
      <c r="AZ705" s="549"/>
      <c r="BA705" s="549"/>
      <c r="BB705" s="549"/>
      <c r="BC705" s="549"/>
      <c r="BD705" s="549"/>
      <c r="BE705" s="549"/>
      <c r="BF705" s="549"/>
      <c r="BG705" s="549"/>
      <c r="BH705" s="549"/>
      <c r="BI705" s="549"/>
    </row>
    <row r="706" spans="16:61" s="254" customFormat="1" ht="9.9">
      <c r="P706" s="549"/>
      <c r="Q706" s="549"/>
      <c r="R706" s="549"/>
      <c r="S706" s="549"/>
      <c r="T706" s="549"/>
      <c r="U706" s="549"/>
      <c r="V706" s="549"/>
      <c r="W706" s="549"/>
      <c r="X706" s="549"/>
      <c r="Y706" s="549"/>
      <c r="Z706" s="549"/>
      <c r="AA706" s="549"/>
      <c r="AB706" s="549"/>
      <c r="AC706" s="549"/>
      <c r="AD706" s="549"/>
      <c r="AE706" s="549"/>
      <c r="AF706" s="549"/>
      <c r="AG706" s="549"/>
      <c r="AH706" s="549"/>
      <c r="AI706" s="549"/>
      <c r="AJ706" s="549"/>
      <c r="AK706" s="549"/>
      <c r="AL706" s="549"/>
      <c r="AM706" s="549"/>
      <c r="AN706" s="549"/>
      <c r="AO706" s="549"/>
      <c r="AP706" s="549"/>
      <c r="AQ706" s="549"/>
      <c r="AR706" s="549"/>
      <c r="AS706" s="549"/>
      <c r="AT706" s="549"/>
      <c r="AU706" s="549"/>
      <c r="AV706" s="549"/>
      <c r="AW706" s="549"/>
      <c r="AX706" s="549"/>
      <c r="AY706" s="549"/>
      <c r="AZ706" s="549"/>
      <c r="BA706" s="549"/>
      <c r="BB706" s="549"/>
      <c r="BC706" s="549"/>
      <c r="BD706" s="549"/>
      <c r="BE706" s="549"/>
      <c r="BF706" s="549"/>
      <c r="BG706" s="549"/>
      <c r="BH706" s="549"/>
      <c r="BI706" s="549"/>
    </row>
    <row r="707" spans="16:61" s="254" customFormat="1" ht="9.9">
      <c r="P707" s="549"/>
      <c r="Q707" s="549"/>
      <c r="R707" s="549"/>
      <c r="S707" s="549"/>
      <c r="T707" s="549"/>
      <c r="U707" s="549"/>
      <c r="V707" s="549"/>
      <c r="W707" s="549"/>
      <c r="X707" s="549"/>
      <c r="Y707" s="549"/>
      <c r="Z707" s="549"/>
      <c r="AA707" s="549"/>
      <c r="AB707" s="549"/>
      <c r="AC707" s="549"/>
      <c r="AD707" s="549"/>
      <c r="AE707" s="549"/>
      <c r="AF707" s="549"/>
      <c r="AG707" s="549"/>
      <c r="AH707" s="549"/>
      <c r="AI707" s="549"/>
      <c r="AJ707" s="549"/>
      <c r="AK707" s="549"/>
      <c r="AL707" s="549"/>
      <c r="AM707" s="549"/>
      <c r="AN707" s="549"/>
      <c r="AO707" s="549"/>
      <c r="AP707" s="549"/>
      <c r="AQ707" s="549"/>
      <c r="AR707" s="549"/>
      <c r="AS707" s="549"/>
      <c r="AT707" s="549"/>
      <c r="AU707" s="549"/>
      <c r="AV707" s="549"/>
      <c r="AW707" s="549"/>
      <c r="AX707" s="549"/>
      <c r="AY707" s="549"/>
      <c r="AZ707" s="549"/>
      <c r="BA707" s="549"/>
      <c r="BB707" s="549"/>
      <c r="BC707" s="549"/>
      <c r="BD707" s="549"/>
      <c r="BE707" s="549"/>
      <c r="BF707" s="549"/>
      <c r="BG707" s="549"/>
      <c r="BH707" s="549"/>
      <c r="BI707" s="549"/>
    </row>
    <row r="708" spans="16:61" s="254" customFormat="1" ht="9.9">
      <c r="P708" s="549"/>
      <c r="Q708" s="549"/>
      <c r="R708" s="549"/>
      <c r="S708" s="549"/>
      <c r="T708" s="549"/>
      <c r="U708" s="549"/>
      <c r="V708" s="549"/>
      <c r="W708" s="549"/>
      <c r="X708" s="549"/>
      <c r="Y708" s="549"/>
      <c r="Z708" s="549"/>
      <c r="AA708" s="549"/>
      <c r="AB708" s="549"/>
      <c r="AC708" s="549"/>
      <c r="AD708" s="549"/>
      <c r="AE708" s="549"/>
      <c r="AF708" s="549"/>
      <c r="AG708" s="549"/>
      <c r="AH708" s="549"/>
      <c r="AI708" s="549"/>
      <c r="AJ708" s="549"/>
      <c r="AK708" s="549"/>
      <c r="AL708" s="549"/>
      <c r="AM708" s="549"/>
      <c r="AN708" s="549"/>
      <c r="AO708" s="549"/>
      <c r="AP708" s="549"/>
      <c r="AQ708" s="549"/>
      <c r="AR708" s="549"/>
      <c r="AS708" s="549"/>
      <c r="AT708" s="549"/>
      <c r="AU708" s="549"/>
      <c r="AV708" s="549"/>
      <c r="AW708" s="549"/>
      <c r="AX708" s="549"/>
      <c r="AY708" s="549"/>
      <c r="AZ708" s="549"/>
      <c r="BA708" s="549"/>
      <c r="BB708" s="549"/>
      <c r="BC708" s="549"/>
      <c r="BD708" s="549"/>
      <c r="BE708" s="549"/>
      <c r="BF708" s="549"/>
      <c r="BG708" s="549"/>
      <c r="BH708" s="549"/>
      <c r="BI708" s="549"/>
    </row>
    <row r="709" spans="16:61" s="254" customFormat="1" ht="9.9">
      <c r="P709" s="549"/>
      <c r="Q709" s="549"/>
      <c r="R709" s="549"/>
      <c r="S709" s="549"/>
      <c r="T709" s="549"/>
      <c r="U709" s="549"/>
      <c r="V709" s="549"/>
      <c r="W709" s="549"/>
      <c r="X709" s="549"/>
      <c r="Y709" s="549"/>
      <c r="Z709" s="549"/>
      <c r="AA709" s="549"/>
      <c r="AB709" s="549"/>
      <c r="AC709" s="549"/>
      <c r="AD709" s="549"/>
      <c r="AE709" s="549"/>
      <c r="AF709" s="549"/>
      <c r="AG709" s="549"/>
      <c r="AH709" s="549"/>
      <c r="AI709" s="549"/>
      <c r="AJ709" s="549"/>
      <c r="AK709" s="549"/>
      <c r="AL709" s="549"/>
      <c r="AM709" s="549"/>
      <c r="AN709" s="549"/>
      <c r="AO709" s="549"/>
      <c r="AP709" s="549"/>
      <c r="AQ709" s="549"/>
      <c r="AR709" s="549"/>
      <c r="AS709" s="549"/>
      <c r="AT709" s="549"/>
      <c r="AU709" s="549"/>
      <c r="AV709" s="549"/>
      <c r="AW709" s="549"/>
      <c r="AX709" s="549"/>
      <c r="AY709" s="549"/>
      <c r="AZ709" s="549"/>
      <c r="BA709" s="549"/>
      <c r="BB709" s="549"/>
      <c r="BC709" s="549"/>
      <c r="BD709" s="549"/>
      <c r="BE709" s="549"/>
      <c r="BF709" s="549"/>
      <c r="BG709" s="549"/>
      <c r="BH709" s="549"/>
      <c r="BI709" s="549"/>
    </row>
    <row r="710" spans="16:61" s="254" customFormat="1" ht="9.9">
      <c r="P710" s="549"/>
      <c r="Q710" s="549"/>
      <c r="R710" s="549"/>
      <c r="S710" s="549"/>
      <c r="T710" s="549"/>
      <c r="U710" s="549"/>
      <c r="V710" s="549"/>
      <c r="W710" s="549"/>
      <c r="X710" s="549"/>
      <c r="Y710" s="549"/>
      <c r="Z710" s="549"/>
      <c r="AA710" s="549"/>
      <c r="AB710" s="549"/>
      <c r="AC710" s="549"/>
      <c r="AD710" s="549"/>
      <c r="AE710" s="549"/>
      <c r="AF710" s="549"/>
      <c r="AG710" s="549"/>
      <c r="AH710" s="549"/>
      <c r="AI710" s="549"/>
      <c r="AJ710" s="549"/>
      <c r="AK710" s="549"/>
      <c r="AL710" s="549"/>
      <c r="AM710" s="549"/>
      <c r="AN710" s="549"/>
      <c r="AO710" s="549"/>
      <c r="AP710" s="549"/>
      <c r="AQ710" s="549"/>
      <c r="AR710" s="549"/>
      <c r="AS710" s="549"/>
      <c r="AT710" s="549"/>
      <c r="AU710" s="549"/>
      <c r="AV710" s="549"/>
      <c r="AW710" s="549"/>
      <c r="AX710" s="549"/>
      <c r="AY710" s="549"/>
      <c r="AZ710" s="549"/>
      <c r="BA710" s="549"/>
      <c r="BB710" s="549"/>
      <c r="BC710" s="549"/>
      <c r="BD710" s="549"/>
      <c r="BE710" s="549"/>
      <c r="BF710" s="549"/>
      <c r="BG710" s="549"/>
      <c r="BH710" s="549"/>
      <c r="BI710" s="549"/>
    </row>
    <row r="711" spans="16:61" s="254" customFormat="1" ht="9.9">
      <c r="P711" s="549"/>
      <c r="Q711" s="549"/>
      <c r="R711" s="549"/>
      <c r="S711" s="549"/>
      <c r="T711" s="549"/>
      <c r="U711" s="549"/>
      <c r="V711" s="549"/>
      <c r="W711" s="549"/>
      <c r="X711" s="549"/>
      <c r="Y711" s="549"/>
      <c r="Z711" s="549"/>
      <c r="AA711" s="549"/>
      <c r="AB711" s="549"/>
      <c r="AC711" s="549"/>
      <c r="AD711" s="549"/>
      <c r="AE711" s="549"/>
      <c r="AF711" s="549"/>
      <c r="AG711" s="549"/>
      <c r="AH711" s="549"/>
      <c r="AI711" s="549"/>
      <c r="AJ711" s="549"/>
      <c r="AK711" s="549"/>
      <c r="AL711" s="549"/>
      <c r="AM711" s="549"/>
      <c r="AN711" s="549"/>
      <c r="AO711" s="549"/>
      <c r="AP711" s="549"/>
      <c r="AQ711" s="549"/>
      <c r="AR711" s="549"/>
      <c r="AS711" s="549"/>
      <c r="AT711" s="549"/>
      <c r="AU711" s="549"/>
      <c r="AV711" s="549"/>
      <c r="AW711" s="549"/>
      <c r="AX711" s="549"/>
      <c r="AY711" s="549"/>
      <c r="AZ711" s="549"/>
      <c r="BA711" s="549"/>
      <c r="BB711" s="549"/>
      <c r="BC711" s="549"/>
      <c r="BD711" s="549"/>
      <c r="BE711" s="549"/>
      <c r="BF711" s="549"/>
      <c r="BG711" s="549"/>
      <c r="BH711" s="549"/>
      <c r="BI711" s="549"/>
    </row>
    <row r="712" spans="16:61" s="254" customFormat="1" ht="9.9">
      <c r="P712" s="549"/>
      <c r="Q712" s="549"/>
      <c r="R712" s="549"/>
      <c r="S712" s="549"/>
      <c r="T712" s="549"/>
      <c r="U712" s="549"/>
      <c r="V712" s="549"/>
      <c r="W712" s="549"/>
      <c r="X712" s="549"/>
      <c r="Y712" s="549"/>
      <c r="Z712" s="549"/>
      <c r="AA712" s="549"/>
      <c r="AB712" s="549"/>
      <c r="AC712" s="549"/>
      <c r="AD712" s="549"/>
      <c r="AE712" s="549"/>
      <c r="AF712" s="549"/>
      <c r="AG712" s="549"/>
      <c r="AH712" s="549"/>
      <c r="AI712" s="549"/>
      <c r="AJ712" s="549"/>
      <c r="AK712" s="549"/>
      <c r="AL712" s="549"/>
      <c r="AM712" s="549"/>
      <c r="AN712" s="549"/>
      <c r="AO712" s="549"/>
      <c r="AP712" s="549"/>
      <c r="AQ712" s="549"/>
      <c r="AR712" s="549"/>
      <c r="AS712" s="549"/>
      <c r="AT712" s="549"/>
      <c r="AU712" s="549"/>
      <c r="AV712" s="549"/>
      <c r="AW712" s="549"/>
      <c r="AX712" s="549"/>
      <c r="AY712" s="549"/>
      <c r="AZ712" s="549"/>
      <c r="BA712" s="549"/>
      <c r="BB712" s="549"/>
      <c r="BC712" s="549"/>
      <c r="BD712" s="549"/>
      <c r="BE712" s="549"/>
      <c r="BF712" s="549"/>
      <c r="BG712" s="549"/>
      <c r="BH712" s="549"/>
      <c r="BI712" s="549"/>
    </row>
    <row r="713" spans="16:61" s="254" customFormat="1" ht="9.9">
      <c r="P713" s="549"/>
      <c r="Q713" s="549"/>
      <c r="R713" s="549"/>
      <c r="S713" s="549"/>
      <c r="T713" s="549"/>
      <c r="U713" s="549"/>
      <c r="V713" s="549"/>
      <c r="W713" s="549"/>
      <c r="X713" s="549"/>
      <c r="Y713" s="549"/>
      <c r="Z713" s="549"/>
      <c r="AA713" s="549"/>
      <c r="AB713" s="549"/>
      <c r="AC713" s="549"/>
      <c r="AD713" s="549"/>
      <c r="AE713" s="549"/>
      <c r="AF713" s="549"/>
      <c r="AG713" s="549"/>
      <c r="AH713" s="549"/>
      <c r="AI713" s="549"/>
      <c r="AJ713" s="549"/>
      <c r="AK713" s="549"/>
      <c r="AL713" s="549"/>
      <c r="AM713" s="549"/>
      <c r="AN713" s="549"/>
      <c r="AO713" s="549"/>
      <c r="AP713" s="549"/>
      <c r="AQ713" s="549"/>
      <c r="AR713" s="549"/>
      <c r="AS713" s="549"/>
      <c r="AT713" s="549"/>
      <c r="AU713" s="549"/>
      <c r="AV713" s="549"/>
      <c r="AW713" s="549"/>
      <c r="AX713" s="549"/>
      <c r="AY713" s="549"/>
      <c r="AZ713" s="549"/>
      <c r="BA713" s="549"/>
      <c r="BB713" s="549"/>
      <c r="BC713" s="549"/>
      <c r="BD713" s="549"/>
      <c r="BE713" s="549"/>
      <c r="BF713" s="549"/>
      <c r="BG713" s="549"/>
      <c r="BH713" s="549"/>
      <c r="BI713" s="549"/>
    </row>
    <row r="714" spans="16:61" s="254" customFormat="1" ht="9.9">
      <c r="P714" s="549"/>
      <c r="Q714" s="549"/>
      <c r="R714" s="549"/>
      <c r="S714" s="549"/>
      <c r="T714" s="549"/>
      <c r="U714" s="549"/>
      <c r="V714" s="549"/>
      <c r="W714" s="549"/>
      <c r="X714" s="549"/>
      <c r="Y714" s="549"/>
      <c r="Z714" s="549"/>
      <c r="AA714" s="549"/>
      <c r="AB714" s="549"/>
      <c r="AC714" s="549"/>
      <c r="AD714" s="549"/>
      <c r="AE714" s="549"/>
      <c r="AF714" s="549"/>
      <c r="AG714" s="549"/>
      <c r="AH714" s="549"/>
      <c r="AI714" s="549"/>
      <c r="AJ714" s="549"/>
      <c r="AK714" s="549"/>
      <c r="AL714" s="549"/>
      <c r="AM714" s="549"/>
      <c r="AN714" s="549"/>
      <c r="AO714" s="549"/>
      <c r="AP714" s="549"/>
      <c r="AQ714" s="549"/>
      <c r="AR714" s="549"/>
      <c r="AS714" s="549"/>
      <c r="AT714" s="549"/>
      <c r="AU714" s="549"/>
      <c r="AV714" s="549"/>
      <c r="AW714" s="549"/>
      <c r="AX714" s="549"/>
      <c r="AY714" s="549"/>
      <c r="AZ714" s="549"/>
      <c r="BA714" s="549"/>
      <c r="BB714" s="549"/>
      <c r="BC714" s="549"/>
      <c r="BD714" s="549"/>
      <c r="BE714" s="549"/>
      <c r="BF714" s="549"/>
      <c r="BG714" s="549"/>
      <c r="BH714" s="549"/>
      <c r="BI714" s="549"/>
    </row>
    <row r="715" spans="16:61" s="254" customFormat="1" ht="9.9">
      <c r="P715" s="549"/>
      <c r="Q715" s="549"/>
      <c r="R715" s="549"/>
      <c r="S715" s="549"/>
      <c r="T715" s="549"/>
      <c r="U715" s="549"/>
      <c r="V715" s="549"/>
      <c r="W715" s="549"/>
      <c r="X715" s="549"/>
      <c r="Y715" s="549"/>
      <c r="Z715" s="549"/>
      <c r="AA715" s="549"/>
      <c r="AB715" s="549"/>
      <c r="AC715" s="549"/>
      <c r="AD715" s="549"/>
      <c r="AE715" s="549"/>
      <c r="AF715" s="549"/>
      <c r="AG715" s="549"/>
      <c r="AH715" s="549"/>
      <c r="AI715" s="549"/>
      <c r="AJ715" s="549"/>
      <c r="AK715" s="549"/>
      <c r="AL715" s="549"/>
      <c r="AM715" s="549"/>
      <c r="AN715" s="549"/>
      <c r="AO715" s="549"/>
      <c r="AP715" s="549"/>
      <c r="AQ715" s="549"/>
      <c r="AR715" s="549"/>
      <c r="AS715" s="549"/>
      <c r="AT715" s="549"/>
      <c r="AU715" s="549"/>
      <c r="AV715" s="549"/>
      <c r="AW715" s="549"/>
      <c r="AX715" s="549"/>
      <c r="AY715" s="549"/>
      <c r="AZ715" s="549"/>
      <c r="BA715" s="549"/>
      <c r="BB715" s="549"/>
      <c r="BC715" s="549"/>
      <c r="BD715" s="549"/>
      <c r="BE715" s="549"/>
      <c r="BF715" s="549"/>
      <c r="BG715" s="549"/>
      <c r="BH715" s="549"/>
      <c r="BI715" s="549"/>
    </row>
    <row r="716" spans="16:61" s="254" customFormat="1" ht="9.9">
      <c r="P716" s="549"/>
      <c r="Q716" s="549"/>
      <c r="R716" s="549"/>
      <c r="S716" s="549"/>
      <c r="T716" s="549"/>
      <c r="U716" s="549"/>
      <c r="V716" s="549"/>
      <c r="W716" s="549"/>
      <c r="X716" s="549"/>
      <c r="Y716" s="549"/>
      <c r="Z716" s="549"/>
      <c r="AA716" s="549"/>
      <c r="AB716" s="549"/>
      <c r="AC716" s="549"/>
      <c r="AD716" s="549"/>
      <c r="AE716" s="549"/>
      <c r="AF716" s="549"/>
      <c r="AG716" s="549"/>
      <c r="AH716" s="549"/>
      <c r="AI716" s="549"/>
      <c r="AJ716" s="549"/>
      <c r="AK716" s="549"/>
      <c r="AL716" s="549"/>
      <c r="AM716" s="549"/>
      <c r="AN716" s="549"/>
      <c r="AO716" s="549"/>
      <c r="AP716" s="549"/>
      <c r="AQ716" s="549"/>
      <c r="AR716" s="549"/>
      <c r="AS716" s="549"/>
      <c r="AT716" s="549"/>
      <c r="AU716" s="549"/>
      <c r="AV716" s="549"/>
      <c r="AW716" s="549"/>
      <c r="AX716" s="549"/>
      <c r="AY716" s="549"/>
      <c r="AZ716" s="549"/>
      <c r="BA716" s="549"/>
      <c r="BB716" s="549"/>
      <c r="BC716" s="549"/>
      <c r="BD716" s="549"/>
      <c r="BE716" s="549"/>
      <c r="BF716" s="549"/>
      <c r="BG716" s="549"/>
      <c r="BH716" s="549"/>
      <c r="BI716" s="549"/>
    </row>
    <row r="717" spans="16:61" s="254" customFormat="1" ht="9.9">
      <c r="P717" s="549"/>
      <c r="Q717" s="549"/>
      <c r="R717" s="549"/>
      <c r="S717" s="549"/>
      <c r="T717" s="549"/>
      <c r="U717" s="549"/>
      <c r="V717" s="549"/>
      <c r="W717" s="549"/>
      <c r="X717" s="549"/>
      <c r="Y717" s="549"/>
      <c r="Z717" s="549"/>
      <c r="AA717" s="549"/>
      <c r="AB717" s="549"/>
      <c r="AC717" s="549"/>
      <c r="AD717" s="549"/>
      <c r="AE717" s="549"/>
      <c r="AF717" s="549"/>
      <c r="AG717" s="549"/>
      <c r="AH717" s="549"/>
      <c r="AI717" s="549"/>
      <c r="AJ717" s="549"/>
      <c r="AK717" s="549"/>
      <c r="AL717" s="549"/>
      <c r="AM717" s="549"/>
      <c r="AN717" s="549"/>
      <c r="AO717" s="549"/>
      <c r="AP717" s="549"/>
      <c r="AQ717" s="549"/>
      <c r="AR717" s="549"/>
      <c r="AS717" s="549"/>
      <c r="AT717" s="549"/>
      <c r="AU717" s="549"/>
      <c r="AV717" s="549"/>
      <c r="AW717" s="549"/>
      <c r="AX717" s="549"/>
      <c r="AY717" s="549"/>
      <c r="AZ717" s="549"/>
      <c r="BA717" s="549"/>
      <c r="BB717" s="549"/>
      <c r="BC717" s="549"/>
      <c r="BD717" s="549"/>
      <c r="BE717" s="549"/>
      <c r="BF717" s="549"/>
      <c r="BG717" s="549"/>
      <c r="BH717" s="549"/>
      <c r="BI717" s="549"/>
    </row>
    <row r="718" spans="16:61" s="254" customFormat="1" ht="9.9">
      <c r="P718" s="549"/>
      <c r="Q718" s="549"/>
      <c r="R718" s="549"/>
      <c r="S718" s="549"/>
      <c r="T718" s="549"/>
      <c r="U718" s="549"/>
      <c r="V718" s="549"/>
      <c r="W718" s="549"/>
      <c r="X718" s="549"/>
      <c r="Y718" s="549"/>
      <c r="Z718" s="549"/>
      <c r="AA718" s="549"/>
      <c r="AB718" s="549"/>
      <c r="AC718" s="549"/>
      <c r="AD718" s="549"/>
      <c r="AE718" s="549"/>
      <c r="AF718" s="549"/>
      <c r="AG718" s="549"/>
      <c r="AH718" s="549"/>
      <c r="AI718" s="549"/>
      <c r="AJ718" s="549"/>
      <c r="AK718" s="549"/>
      <c r="AL718" s="549"/>
      <c r="AM718" s="549"/>
      <c r="AN718" s="549"/>
      <c r="AO718" s="549"/>
      <c r="AP718" s="549"/>
      <c r="AQ718" s="549"/>
      <c r="AR718" s="549"/>
      <c r="AS718" s="549"/>
      <c r="AT718" s="549"/>
      <c r="AU718" s="549"/>
      <c r="AV718" s="549"/>
      <c r="AW718" s="549"/>
      <c r="AX718" s="549"/>
      <c r="AY718" s="549"/>
      <c r="AZ718" s="549"/>
      <c r="BA718" s="549"/>
      <c r="BB718" s="549"/>
      <c r="BC718" s="549"/>
      <c r="BD718" s="549"/>
      <c r="BE718" s="549"/>
      <c r="BF718" s="549"/>
      <c r="BG718" s="549"/>
      <c r="BH718" s="549"/>
      <c r="BI718" s="549"/>
    </row>
    <row r="719" spans="16:61" s="254" customFormat="1" ht="9.9">
      <c r="P719" s="549"/>
      <c r="Q719" s="549"/>
      <c r="R719" s="549"/>
      <c r="S719" s="549"/>
      <c r="T719" s="549"/>
      <c r="U719" s="549"/>
      <c r="V719" s="549"/>
      <c r="W719" s="549"/>
      <c r="X719" s="549"/>
      <c r="Y719" s="549"/>
      <c r="Z719" s="549"/>
      <c r="AA719" s="549"/>
      <c r="AB719" s="549"/>
      <c r="AC719" s="549"/>
      <c r="AD719" s="549"/>
      <c r="AE719" s="549"/>
      <c r="AF719" s="549"/>
      <c r="AG719" s="549"/>
      <c r="AH719" s="549"/>
      <c r="AI719" s="549"/>
      <c r="AJ719" s="549"/>
      <c r="AK719" s="549"/>
      <c r="AL719" s="549"/>
      <c r="AM719" s="549"/>
      <c r="AN719" s="549"/>
      <c r="AO719" s="549"/>
      <c r="AP719" s="549"/>
      <c r="AQ719" s="549"/>
      <c r="AR719" s="549"/>
      <c r="AS719" s="549"/>
      <c r="AT719" s="549"/>
      <c r="AU719" s="549"/>
      <c r="AV719" s="549"/>
      <c r="AW719" s="549"/>
      <c r="AX719" s="549"/>
      <c r="AY719" s="549"/>
      <c r="AZ719" s="549"/>
      <c r="BA719" s="549"/>
      <c r="BB719" s="549"/>
      <c r="BC719" s="549"/>
      <c r="BD719" s="549"/>
      <c r="BE719" s="549"/>
      <c r="BF719" s="549"/>
      <c r="BG719" s="549"/>
      <c r="BH719" s="549"/>
      <c r="BI719" s="549"/>
    </row>
    <row r="720" spans="16:61" s="254" customFormat="1" ht="9.9">
      <c r="P720" s="549"/>
      <c r="Q720" s="549"/>
      <c r="R720" s="549"/>
      <c r="S720" s="549"/>
      <c r="T720" s="549"/>
      <c r="U720" s="549"/>
      <c r="V720" s="549"/>
      <c r="W720" s="549"/>
      <c r="X720" s="549"/>
      <c r="Y720" s="549"/>
      <c r="Z720" s="549"/>
      <c r="AA720" s="549"/>
      <c r="AB720" s="549"/>
      <c r="AC720" s="549"/>
      <c r="AD720" s="549"/>
      <c r="AE720" s="549"/>
      <c r="AF720" s="549"/>
      <c r="AG720" s="549"/>
      <c r="AH720" s="549"/>
      <c r="AI720" s="549"/>
      <c r="AJ720" s="549"/>
      <c r="AK720" s="549"/>
      <c r="AL720" s="549"/>
      <c r="AM720" s="549"/>
      <c r="AN720" s="549"/>
      <c r="AO720" s="549"/>
      <c r="AP720" s="549"/>
      <c r="AQ720" s="549"/>
      <c r="AR720" s="549"/>
      <c r="AS720" s="549"/>
      <c r="AT720" s="549"/>
      <c r="AU720" s="549"/>
      <c r="AV720" s="549"/>
      <c r="AW720" s="549"/>
      <c r="AX720" s="549"/>
      <c r="AY720" s="549"/>
      <c r="AZ720" s="549"/>
      <c r="BA720" s="549"/>
      <c r="BB720" s="549"/>
      <c r="BC720" s="549"/>
      <c r="BD720" s="549"/>
      <c r="BE720" s="549"/>
      <c r="BF720" s="549"/>
      <c r="BG720" s="549"/>
      <c r="BH720" s="549"/>
      <c r="BI720" s="549"/>
    </row>
    <row r="721" spans="16:61" s="254" customFormat="1" ht="9.9">
      <c r="P721" s="549"/>
      <c r="Q721" s="549"/>
      <c r="R721" s="549"/>
      <c r="S721" s="549"/>
      <c r="T721" s="549"/>
      <c r="U721" s="549"/>
      <c r="V721" s="549"/>
      <c r="W721" s="549"/>
      <c r="X721" s="549"/>
      <c r="Y721" s="549"/>
      <c r="Z721" s="549"/>
      <c r="AA721" s="549"/>
      <c r="AB721" s="549"/>
      <c r="AC721" s="549"/>
      <c r="AD721" s="549"/>
      <c r="AE721" s="549"/>
      <c r="AF721" s="549"/>
      <c r="AG721" s="549"/>
      <c r="AH721" s="549"/>
      <c r="AI721" s="549"/>
      <c r="AJ721" s="549"/>
      <c r="AK721" s="549"/>
      <c r="AL721" s="549"/>
      <c r="AM721" s="549"/>
      <c r="AN721" s="549"/>
      <c r="AO721" s="549"/>
      <c r="AP721" s="549"/>
      <c r="AQ721" s="549"/>
      <c r="AR721" s="549"/>
      <c r="AS721" s="549"/>
      <c r="AT721" s="549"/>
      <c r="AU721" s="549"/>
      <c r="AV721" s="549"/>
      <c r="AW721" s="549"/>
      <c r="AX721" s="549"/>
      <c r="AY721" s="549"/>
      <c r="AZ721" s="549"/>
      <c r="BA721" s="549"/>
      <c r="BB721" s="549"/>
      <c r="BC721" s="549"/>
      <c r="BD721" s="549"/>
      <c r="BE721" s="549"/>
      <c r="BF721" s="549"/>
      <c r="BG721" s="549"/>
      <c r="BH721" s="549"/>
      <c r="BI721" s="549"/>
    </row>
    <row r="722" spans="16:61" s="254" customFormat="1" ht="9.9">
      <c r="P722" s="549"/>
      <c r="Q722" s="549"/>
      <c r="R722" s="549"/>
      <c r="S722" s="549"/>
      <c r="T722" s="549"/>
      <c r="U722" s="549"/>
      <c r="V722" s="549"/>
      <c r="W722" s="549"/>
      <c r="X722" s="549"/>
      <c r="Y722" s="549"/>
      <c r="Z722" s="549"/>
      <c r="AA722" s="549"/>
      <c r="AB722" s="549"/>
      <c r="AC722" s="549"/>
      <c r="AD722" s="549"/>
      <c r="AE722" s="549"/>
      <c r="AF722" s="549"/>
      <c r="AG722" s="549"/>
      <c r="AH722" s="549"/>
      <c r="AI722" s="549"/>
      <c r="AJ722" s="549"/>
      <c r="AK722" s="549"/>
      <c r="AL722" s="549"/>
      <c r="AM722" s="549"/>
      <c r="AN722" s="549"/>
      <c r="AO722" s="549"/>
      <c r="AP722" s="549"/>
      <c r="AQ722" s="549"/>
      <c r="AR722" s="549"/>
      <c r="AS722" s="549"/>
      <c r="AT722" s="549"/>
      <c r="AU722" s="549"/>
      <c r="AV722" s="549"/>
      <c r="AW722" s="549"/>
      <c r="AX722" s="549"/>
      <c r="AY722" s="549"/>
      <c r="AZ722" s="549"/>
      <c r="BA722" s="549"/>
      <c r="BB722" s="549"/>
      <c r="BC722" s="549"/>
      <c r="BD722" s="549"/>
      <c r="BE722" s="549"/>
      <c r="BF722" s="549"/>
      <c r="BG722" s="549"/>
      <c r="BH722" s="549"/>
      <c r="BI722" s="549"/>
    </row>
    <row r="723" spans="16:61" s="254" customFormat="1" ht="9.9">
      <c r="P723" s="549"/>
      <c r="Q723" s="549"/>
      <c r="R723" s="549"/>
      <c r="S723" s="549"/>
      <c r="T723" s="549"/>
      <c r="U723" s="549"/>
      <c r="V723" s="549"/>
      <c r="W723" s="549"/>
      <c r="X723" s="549"/>
      <c r="Y723" s="549"/>
      <c r="Z723" s="549"/>
      <c r="AA723" s="549"/>
      <c r="AB723" s="549"/>
      <c r="AC723" s="549"/>
      <c r="AD723" s="549"/>
      <c r="AE723" s="549"/>
      <c r="AF723" s="549"/>
      <c r="AG723" s="549"/>
      <c r="AH723" s="549"/>
      <c r="AI723" s="549"/>
      <c r="AJ723" s="549"/>
      <c r="AK723" s="549"/>
      <c r="AL723" s="549"/>
      <c r="AM723" s="549"/>
      <c r="AN723" s="549"/>
      <c r="AO723" s="549"/>
      <c r="AP723" s="549"/>
      <c r="AQ723" s="549"/>
      <c r="AR723" s="549"/>
      <c r="AS723" s="549"/>
      <c r="AT723" s="549"/>
      <c r="AU723" s="549"/>
      <c r="AV723" s="549"/>
      <c r="AW723" s="549"/>
      <c r="AX723" s="549"/>
      <c r="AY723" s="549"/>
      <c r="AZ723" s="549"/>
      <c r="BA723" s="549"/>
      <c r="BB723" s="549"/>
      <c r="BC723" s="549"/>
      <c r="BD723" s="549"/>
      <c r="BE723" s="549"/>
      <c r="BF723" s="549"/>
      <c r="BG723" s="549"/>
      <c r="BH723" s="549"/>
      <c r="BI723" s="549"/>
    </row>
    <row r="724" spans="16:61" s="254" customFormat="1" ht="9.9">
      <c r="P724" s="549"/>
      <c r="Q724" s="549"/>
      <c r="R724" s="549"/>
      <c r="S724" s="549"/>
      <c r="T724" s="549"/>
      <c r="U724" s="549"/>
      <c r="V724" s="549"/>
      <c r="W724" s="549"/>
      <c r="X724" s="549"/>
      <c r="Y724" s="549"/>
      <c r="Z724" s="549"/>
      <c r="AA724" s="549"/>
      <c r="AB724" s="549"/>
      <c r="AC724" s="549"/>
      <c r="AD724" s="549"/>
      <c r="AE724" s="549"/>
      <c r="AF724" s="549"/>
      <c r="AG724" s="549"/>
      <c r="AH724" s="549"/>
      <c r="AI724" s="549"/>
      <c r="AJ724" s="549"/>
      <c r="AK724" s="549"/>
      <c r="AL724" s="549"/>
      <c r="AM724" s="549"/>
      <c r="AN724" s="549"/>
      <c r="AO724" s="549"/>
      <c r="AP724" s="549"/>
      <c r="AQ724" s="549"/>
      <c r="AR724" s="549"/>
      <c r="AS724" s="549"/>
      <c r="AT724" s="549"/>
      <c r="AU724" s="549"/>
      <c r="AV724" s="549"/>
      <c r="AW724" s="549"/>
      <c r="AX724" s="549"/>
      <c r="AY724" s="549"/>
      <c r="AZ724" s="549"/>
      <c r="BA724" s="549"/>
      <c r="BB724" s="549"/>
      <c r="BC724" s="549"/>
      <c r="BD724" s="549"/>
      <c r="BE724" s="549"/>
      <c r="BF724" s="549"/>
      <c r="BG724" s="549"/>
      <c r="BH724" s="549"/>
      <c r="BI724" s="549"/>
    </row>
    <row r="725" spans="16:61" s="254" customFormat="1" ht="9.9">
      <c r="P725" s="549"/>
      <c r="Q725" s="549"/>
      <c r="R725" s="549"/>
      <c r="S725" s="549"/>
      <c r="T725" s="549"/>
      <c r="U725" s="549"/>
      <c r="V725" s="549"/>
      <c r="W725" s="549"/>
      <c r="X725" s="549"/>
      <c r="Y725" s="549"/>
      <c r="Z725" s="549"/>
      <c r="AA725" s="549"/>
      <c r="AB725" s="549"/>
      <c r="AC725" s="549"/>
      <c r="AD725" s="549"/>
      <c r="AE725" s="549"/>
      <c r="AF725" s="549"/>
      <c r="AG725" s="549"/>
      <c r="AH725" s="549"/>
      <c r="AI725" s="549"/>
      <c r="AJ725" s="549"/>
      <c r="AK725" s="549"/>
      <c r="AL725" s="549"/>
      <c r="AM725" s="549"/>
      <c r="AN725" s="549"/>
      <c r="AO725" s="549"/>
      <c r="AP725" s="549"/>
      <c r="AQ725" s="549"/>
      <c r="AR725" s="549"/>
      <c r="AS725" s="549"/>
      <c r="AT725" s="549"/>
      <c r="AU725" s="549"/>
      <c r="AV725" s="549"/>
      <c r="AW725" s="549"/>
      <c r="AX725" s="549"/>
      <c r="AY725" s="549"/>
      <c r="AZ725" s="549"/>
      <c r="BA725" s="549"/>
      <c r="BB725" s="549"/>
      <c r="BC725" s="549"/>
      <c r="BD725" s="549"/>
      <c r="BE725" s="549"/>
      <c r="BF725" s="549"/>
      <c r="BG725" s="549"/>
      <c r="BH725" s="549"/>
      <c r="BI725" s="549"/>
    </row>
    <row r="726" spans="16:61" s="254" customFormat="1" ht="9.9">
      <c r="P726" s="549"/>
      <c r="Q726" s="549"/>
      <c r="R726" s="549"/>
      <c r="S726" s="549"/>
      <c r="T726" s="549"/>
      <c r="U726" s="549"/>
      <c r="V726" s="549"/>
      <c r="W726" s="549"/>
      <c r="X726" s="549"/>
      <c r="Y726" s="549"/>
      <c r="Z726" s="549"/>
      <c r="AA726" s="549"/>
      <c r="AB726" s="549"/>
      <c r="AC726" s="549"/>
      <c r="AD726" s="549"/>
      <c r="AE726" s="549"/>
      <c r="AF726" s="549"/>
      <c r="AG726" s="549"/>
      <c r="AH726" s="549"/>
      <c r="AI726" s="549"/>
      <c r="AJ726" s="549"/>
      <c r="AK726" s="549"/>
      <c r="AL726" s="549"/>
      <c r="AM726" s="549"/>
      <c r="AN726" s="549"/>
      <c r="AO726" s="549"/>
      <c r="AP726" s="549"/>
      <c r="AQ726" s="549"/>
      <c r="AR726" s="549"/>
      <c r="AS726" s="549"/>
      <c r="AT726" s="549"/>
      <c r="AU726" s="549"/>
      <c r="AV726" s="549"/>
      <c r="AW726" s="549"/>
      <c r="AX726" s="549"/>
      <c r="AY726" s="549"/>
      <c r="AZ726" s="549"/>
      <c r="BA726" s="549"/>
      <c r="BB726" s="549"/>
      <c r="BC726" s="549"/>
      <c r="BD726" s="549"/>
      <c r="BE726" s="549"/>
      <c r="BF726" s="549"/>
      <c r="BG726" s="549"/>
      <c r="BH726" s="549"/>
      <c r="BI726" s="549"/>
    </row>
    <row r="727" spans="16:61" s="254" customFormat="1" ht="9.9">
      <c r="P727" s="549"/>
      <c r="Q727" s="549"/>
      <c r="R727" s="549"/>
      <c r="S727" s="549"/>
      <c r="T727" s="549"/>
      <c r="U727" s="549"/>
      <c r="V727" s="549"/>
      <c r="W727" s="549"/>
      <c r="X727" s="549"/>
      <c r="Y727" s="549"/>
      <c r="Z727" s="549"/>
      <c r="AA727" s="549"/>
      <c r="AB727" s="549"/>
      <c r="AC727" s="549"/>
      <c r="AD727" s="549"/>
      <c r="AE727" s="549"/>
      <c r="AF727" s="549"/>
      <c r="AG727" s="549"/>
      <c r="AH727" s="549"/>
      <c r="AI727" s="549"/>
      <c r="AJ727" s="549"/>
      <c r="AK727" s="549"/>
      <c r="AL727" s="549"/>
      <c r="AM727" s="549"/>
      <c r="AN727" s="549"/>
      <c r="AO727" s="549"/>
      <c r="AP727" s="549"/>
      <c r="AQ727" s="549"/>
      <c r="AR727" s="549"/>
      <c r="AS727" s="549"/>
      <c r="AT727" s="549"/>
      <c r="AU727" s="549"/>
      <c r="AV727" s="549"/>
      <c r="AW727" s="549"/>
      <c r="AX727" s="549"/>
      <c r="AY727" s="549"/>
      <c r="AZ727" s="549"/>
      <c r="BA727" s="549"/>
      <c r="BB727" s="549"/>
      <c r="BC727" s="549"/>
      <c r="BD727" s="549"/>
      <c r="BE727" s="549"/>
      <c r="BF727" s="549"/>
      <c r="BG727" s="549"/>
      <c r="BH727" s="549"/>
      <c r="BI727" s="549"/>
    </row>
    <row r="728" spans="16:61" s="254" customFormat="1" ht="9.9">
      <c r="P728" s="549"/>
      <c r="Q728" s="549"/>
      <c r="R728" s="549"/>
      <c r="S728" s="549"/>
      <c r="T728" s="549"/>
      <c r="U728" s="549"/>
      <c r="V728" s="549"/>
      <c r="W728" s="549"/>
      <c r="X728" s="549"/>
      <c r="Y728" s="549"/>
      <c r="Z728" s="549"/>
      <c r="AA728" s="549"/>
      <c r="AB728" s="549"/>
      <c r="AC728" s="549"/>
      <c r="AD728" s="549"/>
      <c r="AE728" s="549"/>
      <c r="AF728" s="549"/>
      <c r="AG728" s="549"/>
      <c r="AH728" s="549"/>
      <c r="AI728" s="549"/>
      <c r="AJ728" s="549"/>
      <c r="AK728" s="549"/>
      <c r="AL728" s="549"/>
      <c r="AM728" s="549"/>
      <c r="AN728" s="549"/>
      <c r="AO728" s="549"/>
      <c r="AP728" s="549"/>
      <c r="AQ728" s="549"/>
      <c r="AR728" s="549"/>
      <c r="AS728" s="549"/>
      <c r="AT728" s="549"/>
      <c r="AU728" s="549"/>
      <c r="AV728" s="549"/>
      <c r="AW728" s="549"/>
      <c r="AX728" s="549"/>
      <c r="AY728" s="549"/>
      <c r="AZ728" s="549"/>
      <c r="BA728" s="549"/>
      <c r="BB728" s="549"/>
      <c r="BC728" s="549"/>
      <c r="BD728" s="549"/>
      <c r="BE728" s="549"/>
      <c r="BF728" s="549"/>
      <c r="BG728" s="549"/>
      <c r="BH728" s="549"/>
      <c r="BI728" s="549"/>
    </row>
    <row r="729" spans="16:61" s="254" customFormat="1" ht="9.9">
      <c r="P729" s="549"/>
      <c r="Q729" s="549"/>
      <c r="R729" s="549"/>
      <c r="S729" s="549"/>
      <c r="T729" s="549"/>
      <c r="U729" s="549"/>
      <c r="V729" s="549"/>
      <c r="W729" s="549"/>
      <c r="X729" s="549"/>
      <c r="Y729" s="549"/>
      <c r="Z729" s="549"/>
      <c r="AA729" s="549"/>
      <c r="AB729" s="549"/>
      <c r="AC729" s="549"/>
      <c r="AD729" s="549"/>
      <c r="AE729" s="549"/>
      <c r="AF729" s="549"/>
      <c r="AG729" s="549"/>
      <c r="AH729" s="549"/>
      <c r="AI729" s="549"/>
      <c r="AJ729" s="549"/>
      <c r="AK729" s="549"/>
      <c r="AL729" s="549"/>
      <c r="AM729" s="549"/>
      <c r="AN729" s="549"/>
      <c r="AO729" s="549"/>
      <c r="AP729" s="549"/>
      <c r="AQ729" s="549"/>
      <c r="AR729" s="549"/>
      <c r="AS729" s="549"/>
      <c r="AT729" s="549"/>
      <c r="AU729" s="549"/>
      <c r="AV729" s="549"/>
      <c r="AW729" s="549"/>
      <c r="AX729" s="549"/>
      <c r="AY729" s="549"/>
      <c r="AZ729" s="549"/>
      <c r="BA729" s="549"/>
      <c r="BB729" s="549"/>
      <c r="BC729" s="549"/>
      <c r="BD729" s="549"/>
      <c r="BE729" s="549"/>
      <c r="BF729" s="549"/>
      <c r="BG729" s="549"/>
      <c r="BH729" s="549"/>
      <c r="BI729" s="549"/>
    </row>
    <row r="730" spans="16:61" s="254" customFormat="1" ht="9.9">
      <c r="P730" s="549"/>
      <c r="Q730" s="549"/>
      <c r="R730" s="549"/>
      <c r="S730" s="549"/>
      <c r="T730" s="549"/>
      <c r="U730" s="549"/>
      <c r="V730" s="549"/>
      <c r="W730" s="549"/>
      <c r="X730" s="549"/>
      <c r="Y730" s="549"/>
      <c r="Z730" s="549"/>
      <c r="AA730" s="549"/>
      <c r="AB730" s="549"/>
      <c r="AC730" s="549"/>
      <c r="AD730" s="549"/>
      <c r="AE730" s="549"/>
      <c r="AF730" s="549"/>
      <c r="AG730" s="549"/>
      <c r="AH730" s="549"/>
      <c r="AI730" s="549"/>
      <c r="AJ730" s="549"/>
      <c r="AK730" s="549"/>
      <c r="AL730" s="549"/>
      <c r="AM730" s="549"/>
      <c r="AN730" s="549"/>
      <c r="AO730" s="549"/>
      <c r="AP730" s="549"/>
      <c r="AQ730" s="549"/>
      <c r="AR730" s="549"/>
      <c r="AS730" s="549"/>
      <c r="AT730" s="549"/>
      <c r="AU730" s="549"/>
      <c r="AV730" s="549"/>
      <c r="AW730" s="549"/>
      <c r="AX730" s="549"/>
      <c r="AY730" s="549"/>
      <c r="AZ730" s="549"/>
      <c r="BA730" s="549"/>
      <c r="BB730" s="549"/>
      <c r="BC730" s="549"/>
      <c r="BD730" s="549"/>
      <c r="BE730" s="549"/>
      <c r="BF730" s="549"/>
      <c r="BG730" s="549"/>
      <c r="BH730" s="549"/>
      <c r="BI730" s="549"/>
    </row>
    <row r="731" spans="16:61" s="254" customFormat="1" ht="9.9">
      <c r="P731" s="549"/>
      <c r="Q731" s="549"/>
      <c r="R731" s="549"/>
      <c r="S731" s="549"/>
      <c r="T731" s="549"/>
      <c r="U731" s="549"/>
      <c r="V731" s="549"/>
      <c r="W731" s="549"/>
      <c r="X731" s="549"/>
      <c r="Y731" s="549"/>
      <c r="Z731" s="549"/>
      <c r="AA731" s="549"/>
      <c r="AB731" s="549"/>
      <c r="AC731" s="549"/>
      <c r="AD731" s="549"/>
      <c r="AE731" s="549"/>
      <c r="AF731" s="549"/>
      <c r="AG731" s="549"/>
      <c r="AH731" s="549"/>
      <c r="AI731" s="549"/>
      <c r="AJ731" s="549"/>
      <c r="AK731" s="549"/>
      <c r="AL731" s="549"/>
      <c r="AM731" s="549"/>
      <c r="AN731" s="549"/>
      <c r="AO731" s="549"/>
      <c r="AP731" s="549"/>
      <c r="AQ731" s="549"/>
      <c r="AR731" s="549"/>
      <c r="AS731" s="549"/>
      <c r="AT731" s="549"/>
      <c r="AU731" s="549"/>
      <c r="AV731" s="549"/>
      <c r="AW731" s="549"/>
      <c r="AX731" s="549"/>
      <c r="AY731" s="549"/>
      <c r="AZ731" s="549"/>
      <c r="BA731" s="549"/>
      <c r="BB731" s="549"/>
      <c r="BC731" s="549"/>
      <c r="BD731" s="549"/>
      <c r="BE731" s="549"/>
      <c r="BF731" s="549"/>
      <c r="BG731" s="549"/>
      <c r="BH731" s="549"/>
      <c r="BI731" s="549"/>
    </row>
    <row r="732" spans="16:61" s="254" customFormat="1" ht="9.9">
      <c r="P732" s="549"/>
      <c r="Q732" s="549"/>
      <c r="R732" s="549"/>
      <c r="S732" s="549"/>
      <c r="T732" s="549"/>
      <c r="U732" s="549"/>
      <c r="V732" s="549"/>
      <c r="W732" s="549"/>
      <c r="X732" s="549"/>
      <c r="Y732" s="549"/>
      <c r="Z732" s="549"/>
      <c r="AA732" s="549"/>
      <c r="AB732" s="549"/>
      <c r="AC732" s="549"/>
      <c r="AD732" s="549"/>
      <c r="AE732" s="549"/>
      <c r="AF732" s="549"/>
      <c r="AG732" s="549"/>
      <c r="AH732" s="549"/>
      <c r="AI732" s="549"/>
      <c r="AJ732" s="549"/>
      <c r="AK732" s="549"/>
      <c r="AL732" s="549"/>
      <c r="AM732" s="549"/>
      <c r="AN732" s="549"/>
      <c r="AO732" s="549"/>
      <c r="AP732" s="549"/>
      <c r="AQ732" s="549"/>
      <c r="AR732" s="549"/>
      <c r="AS732" s="549"/>
      <c r="AT732" s="549"/>
      <c r="AU732" s="549"/>
      <c r="AV732" s="549"/>
      <c r="AW732" s="549"/>
      <c r="AX732" s="549"/>
      <c r="AY732" s="549"/>
      <c r="AZ732" s="549"/>
      <c r="BA732" s="549"/>
      <c r="BB732" s="549"/>
      <c r="BC732" s="549"/>
      <c r="BD732" s="549"/>
      <c r="BE732" s="549"/>
      <c r="BF732" s="549"/>
      <c r="BG732" s="549"/>
      <c r="BH732" s="549"/>
      <c r="BI732" s="549"/>
    </row>
    <row r="733" spans="16:61" s="254" customFormat="1" ht="9.9">
      <c r="P733" s="549"/>
      <c r="Q733" s="549"/>
      <c r="R733" s="549"/>
      <c r="S733" s="549"/>
      <c r="T733" s="549"/>
      <c r="U733" s="549"/>
      <c r="V733" s="549"/>
      <c r="W733" s="549"/>
      <c r="X733" s="549"/>
      <c r="Y733" s="549"/>
      <c r="Z733" s="549"/>
      <c r="AA733" s="549"/>
      <c r="AB733" s="549"/>
      <c r="AC733" s="549"/>
      <c r="AD733" s="549"/>
      <c r="AE733" s="549"/>
      <c r="AF733" s="549"/>
      <c r="AG733" s="549"/>
      <c r="AH733" s="549"/>
      <c r="AI733" s="549"/>
      <c r="AJ733" s="549"/>
      <c r="AK733" s="549"/>
      <c r="AL733" s="549"/>
      <c r="AM733" s="549"/>
      <c r="AN733" s="549"/>
      <c r="AO733" s="549"/>
      <c r="AP733" s="549"/>
      <c r="AQ733" s="549"/>
      <c r="AR733" s="549"/>
      <c r="AS733" s="549"/>
      <c r="AT733" s="549"/>
      <c r="AU733" s="549"/>
      <c r="AV733" s="549"/>
      <c r="AW733" s="549"/>
      <c r="AX733" s="549"/>
      <c r="AY733" s="549"/>
      <c r="AZ733" s="549"/>
      <c r="BA733" s="549"/>
      <c r="BB733" s="549"/>
      <c r="BC733" s="549"/>
      <c r="BD733" s="549"/>
      <c r="BE733" s="549"/>
      <c r="BF733" s="549"/>
      <c r="BG733" s="549"/>
      <c r="BH733" s="549"/>
      <c r="BI733" s="549"/>
    </row>
    <row r="734" spans="16:61" s="254" customFormat="1" ht="9.9">
      <c r="P734" s="549"/>
      <c r="Q734" s="549"/>
      <c r="R734" s="549"/>
      <c r="S734" s="549"/>
      <c r="T734" s="549"/>
      <c r="U734" s="549"/>
      <c r="V734" s="549"/>
      <c r="W734" s="549"/>
      <c r="X734" s="549"/>
      <c r="Y734" s="549"/>
      <c r="Z734" s="549"/>
      <c r="AA734" s="549"/>
      <c r="AB734" s="549"/>
      <c r="AC734" s="549"/>
      <c r="AD734" s="549"/>
      <c r="AE734" s="549"/>
      <c r="AF734" s="549"/>
      <c r="AG734" s="549"/>
      <c r="AH734" s="549"/>
      <c r="AI734" s="549"/>
      <c r="AJ734" s="549"/>
      <c r="AK734" s="549"/>
      <c r="AL734" s="549"/>
      <c r="AM734" s="549"/>
      <c r="AN734" s="549"/>
      <c r="AO734" s="549"/>
      <c r="AP734" s="549"/>
      <c r="AQ734" s="549"/>
      <c r="AR734" s="549"/>
      <c r="AS734" s="549"/>
      <c r="AT734" s="549"/>
      <c r="AU734" s="549"/>
      <c r="AV734" s="549"/>
      <c r="AW734" s="549"/>
      <c r="AX734" s="549"/>
      <c r="AY734" s="549"/>
      <c r="AZ734" s="549"/>
      <c r="BA734" s="549"/>
      <c r="BB734" s="549"/>
      <c r="BC734" s="549"/>
      <c r="BD734" s="549"/>
      <c r="BE734" s="549"/>
      <c r="BF734" s="549"/>
      <c r="BG734" s="549"/>
      <c r="BH734" s="549"/>
      <c r="BI734" s="549"/>
    </row>
    <row r="735" spans="16:61" s="254" customFormat="1" ht="9.9">
      <c r="P735" s="549"/>
      <c r="Q735" s="549"/>
      <c r="R735" s="549"/>
      <c r="S735" s="549"/>
      <c r="T735" s="549"/>
      <c r="U735" s="549"/>
      <c r="V735" s="549"/>
      <c r="W735" s="549"/>
      <c r="X735" s="549"/>
      <c r="Y735" s="549"/>
      <c r="Z735" s="549"/>
      <c r="AA735" s="549"/>
      <c r="AB735" s="549"/>
      <c r="AC735" s="549"/>
      <c r="AD735" s="549"/>
      <c r="AE735" s="549"/>
      <c r="AF735" s="549"/>
      <c r="AG735" s="549"/>
      <c r="AH735" s="549"/>
      <c r="AI735" s="549"/>
      <c r="AJ735" s="549"/>
      <c r="AK735" s="549"/>
      <c r="AL735" s="549"/>
      <c r="AM735" s="549"/>
      <c r="AN735" s="549"/>
      <c r="AO735" s="549"/>
      <c r="AP735" s="549"/>
      <c r="AQ735" s="549"/>
      <c r="AR735" s="549"/>
      <c r="AS735" s="549"/>
      <c r="AT735" s="549"/>
      <c r="AU735" s="549"/>
      <c r="AV735" s="549"/>
      <c r="AW735" s="549"/>
      <c r="AX735" s="549"/>
      <c r="AY735" s="549"/>
      <c r="AZ735" s="549"/>
      <c r="BA735" s="549"/>
      <c r="BB735" s="549"/>
      <c r="BC735" s="549"/>
      <c r="BD735" s="549"/>
      <c r="BE735" s="549"/>
      <c r="BF735" s="549"/>
      <c r="BG735" s="549"/>
      <c r="BH735" s="549"/>
      <c r="BI735" s="549"/>
    </row>
    <row r="736" spans="16:61" s="254" customFormat="1" ht="9.9">
      <c r="P736" s="549"/>
      <c r="Q736" s="549"/>
      <c r="R736" s="549"/>
      <c r="S736" s="549"/>
      <c r="T736" s="549"/>
      <c r="U736" s="549"/>
      <c r="V736" s="549"/>
      <c r="W736" s="549"/>
      <c r="X736" s="549"/>
      <c r="Y736" s="549"/>
      <c r="Z736" s="549"/>
      <c r="AA736" s="549"/>
      <c r="AB736" s="549"/>
      <c r="AC736" s="549"/>
      <c r="AD736" s="549"/>
      <c r="AE736" s="549"/>
      <c r="AF736" s="549"/>
      <c r="AG736" s="549"/>
      <c r="AH736" s="549"/>
      <c r="AI736" s="549"/>
      <c r="AJ736" s="549"/>
      <c r="AK736" s="549"/>
      <c r="AL736" s="549"/>
      <c r="AM736" s="549"/>
      <c r="AN736" s="549"/>
      <c r="AO736" s="549"/>
      <c r="AP736" s="549"/>
      <c r="AQ736" s="549"/>
      <c r="AR736" s="549"/>
      <c r="AS736" s="549"/>
      <c r="AT736" s="549"/>
      <c r="AU736" s="549"/>
      <c r="AV736" s="549"/>
      <c r="AW736" s="549"/>
      <c r="AX736" s="549"/>
      <c r="AY736" s="549"/>
      <c r="AZ736" s="549"/>
      <c r="BA736" s="549"/>
      <c r="BB736" s="549"/>
      <c r="BC736" s="549"/>
      <c r="BD736" s="549"/>
      <c r="BE736" s="549"/>
      <c r="BF736" s="549"/>
      <c r="BG736" s="549"/>
      <c r="BH736" s="549"/>
      <c r="BI736" s="549"/>
    </row>
    <row r="737" spans="16:61" s="254" customFormat="1" ht="9.9">
      <c r="P737" s="549"/>
      <c r="Q737" s="549"/>
      <c r="R737" s="549"/>
      <c r="S737" s="549"/>
      <c r="T737" s="549"/>
      <c r="U737" s="549"/>
      <c r="V737" s="549"/>
      <c r="W737" s="549"/>
      <c r="X737" s="549"/>
      <c r="Y737" s="549"/>
      <c r="Z737" s="549"/>
      <c r="AA737" s="549"/>
      <c r="AB737" s="549"/>
      <c r="AC737" s="549"/>
      <c r="AD737" s="549"/>
      <c r="AE737" s="549"/>
      <c r="AF737" s="549"/>
      <c r="AG737" s="549"/>
      <c r="AH737" s="549"/>
      <c r="AI737" s="549"/>
      <c r="AJ737" s="549"/>
      <c r="AK737" s="549"/>
      <c r="AL737" s="549"/>
      <c r="AM737" s="549"/>
      <c r="AN737" s="549"/>
      <c r="AO737" s="549"/>
      <c r="AP737" s="549"/>
      <c r="AQ737" s="549"/>
      <c r="AR737" s="549"/>
      <c r="AS737" s="549"/>
      <c r="AT737" s="549"/>
      <c r="AU737" s="549"/>
      <c r="AV737" s="549"/>
      <c r="AW737" s="549"/>
      <c r="AX737" s="549"/>
      <c r="AY737" s="549"/>
      <c r="AZ737" s="549"/>
      <c r="BA737" s="549"/>
      <c r="BB737" s="549"/>
      <c r="BC737" s="549"/>
      <c r="BD737" s="549"/>
      <c r="BE737" s="549"/>
      <c r="BF737" s="549"/>
      <c r="BG737" s="549"/>
      <c r="BH737" s="549"/>
      <c r="BI737" s="549"/>
    </row>
    <row r="738" spans="16:61" s="254" customFormat="1" ht="9.9">
      <c r="P738" s="549"/>
      <c r="Q738" s="549"/>
      <c r="R738" s="549"/>
      <c r="S738" s="549"/>
      <c r="T738" s="549"/>
      <c r="U738" s="549"/>
      <c r="V738" s="549"/>
      <c r="W738" s="549"/>
      <c r="X738" s="549"/>
      <c r="Y738" s="549"/>
      <c r="Z738" s="549"/>
      <c r="AA738" s="549"/>
      <c r="AB738" s="549"/>
      <c r="AC738" s="549"/>
      <c r="AD738" s="549"/>
      <c r="AE738" s="549"/>
      <c r="AF738" s="549"/>
      <c r="AG738" s="549"/>
      <c r="AH738" s="549"/>
      <c r="AI738" s="549"/>
      <c r="AJ738" s="549"/>
      <c r="AK738" s="549"/>
      <c r="AL738" s="549"/>
      <c r="AM738" s="549"/>
      <c r="AN738" s="549"/>
      <c r="AO738" s="549"/>
      <c r="AP738" s="549"/>
      <c r="AQ738" s="549"/>
      <c r="AR738" s="549"/>
      <c r="AS738" s="549"/>
      <c r="AT738" s="549"/>
      <c r="AU738" s="549"/>
      <c r="AV738" s="549"/>
      <c r="AW738" s="549"/>
      <c r="AX738" s="549"/>
      <c r="AY738" s="549"/>
      <c r="AZ738" s="549"/>
      <c r="BA738" s="549"/>
      <c r="BB738" s="549"/>
      <c r="BC738" s="549"/>
      <c r="BD738" s="549"/>
      <c r="BE738" s="549"/>
      <c r="BF738" s="549"/>
      <c r="BG738" s="549"/>
      <c r="BH738" s="549"/>
      <c r="BI738" s="549"/>
    </row>
    <row r="739" spans="16:61" s="254" customFormat="1" ht="9.9">
      <c r="P739" s="549"/>
      <c r="Q739" s="549"/>
      <c r="R739" s="549"/>
      <c r="S739" s="549"/>
      <c r="T739" s="549"/>
      <c r="U739" s="549"/>
      <c r="V739" s="549"/>
      <c r="W739" s="549"/>
      <c r="X739" s="549"/>
      <c r="Y739" s="549"/>
      <c r="Z739" s="549"/>
      <c r="AA739" s="549"/>
      <c r="AB739" s="549"/>
      <c r="AC739" s="549"/>
      <c r="AD739" s="549"/>
      <c r="AE739" s="549"/>
      <c r="AF739" s="549"/>
      <c r="AG739" s="549"/>
      <c r="AH739" s="549"/>
      <c r="AI739" s="549"/>
      <c r="AJ739" s="549"/>
      <c r="AK739" s="549"/>
      <c r="AL739" s="549"/>
      <c r="AM739" s="549"/>
      <c r="AN739" s="549"/>
      <c r="AO739" s="549"/>
      <c r="AP739" s="549"/>
      <c r="AQ739" s="549"/>
      <c r="AR739" s="549"/>
      <c r="AS739" s="549"/>
      <c r="AT739" s="549"/>
      <c r="AU739" s="549"/>
      <c r="AV739" s="549"/>
      <c r="AW739" s="549"/>
      <c r="AX739" s="549"/>
      <c r="AY739" s="549"/>
      <c r="AZ739" s="549"/>
      <c r="BA739" s="549"/>
      <c r="BB739" s="549"/>
      <c r="BC739" s="549"/>
      <c r="BD739" s="549"/>
      <c r="BE739" s="549"/>
      <c r="BF739" s="549"/>
      <c r="BG739" s="549"/>
      <c r="BH739" s="549"/>
      <c r="BI739" s="549"/>
    </row>
    <row r="740" spans="16:61" s="254" customFormat="1" ht="9.9">
      <c r="P740" s="549"/>
      <c r="Q740" s="549"/>
      <c r="R740" s="549"/>
      <c r="S740" s="549"/>
      <c r="T740" s="549"/>
      <c r="U740" s="549"/>
      <c r="V740" s="549"/>
      <c r="W740" s="549"/>
      <c r="X740" s="549"/>
      <c r="Y740" s="549"/>
      <c r="Z740" s="549"/>
      <c r="AA740" s="549"/>
      <c r="AB740" s="549"/>
      <c r="AC740" s="549"/>
      <c r="AD740" s="549"/>
      <c r="AE740" s="549"/>
      <c r="AF740" s="549"/>
      <c r="AG740" s="549"/>
      <c r="AH740" s="549"/>
      <c r="AI740" s="549"/>
      <c r="AJ740" s="549"/>
      <c r="AK740" s="549"/>
      <c r="AL740" s="549"/>
      <c r="AM740" s="549"/>
      <c r="AN740" s="549"/>
      <c r="AO740" s="549"/>
      <c r="AP740" s="549"/>
      <c r="AQ740" s="549"/>
      <c r="AR740" s="549"/>
      <c r="AS740" s="549"/>
      <c r="AT740" s="549"/>
      <c r="AU740" s="549"/>
      <c r="AV740" s="549"/>
      <c r="AW740" s="549"/>
      <c r="AX740" s="549"/>
      <c r="AY740" s="549"/>
      <c r="AZ740" s="549"/>
      <c r="BA740" s="549"/>
      <c r="BB740" s="549"/>
      <c r="BC740" s="549"/>
      <c r="BD740" s="549"/>
      <c r="BE740" s="549"/>
      <c r="BF740" s="549"/>
      <c r="BG740" s="549"/>
      <c r="BH740" s="549"/>
      <c r="BI740" s="549"/>
    </row>
    <row r="741" spans="16:61" s="254" customFormat="1" ht="9.9">
      <c r="P741" s="549"/>
      <c r="Q741" s="549"/>
      <c r="R741" s="549"/>
      <c r="S741" s="549"/>
      <c r="T741" s="549"/>
      <c r="U741" s="549"/>
      <c r="V741" s="549"/>
      <c r="W741" s="549"/>
      <c r="X741" s="549"/>
      <c r="Y741" s="549"/>
      <c r="Z741" s="549"/>
      <c r="AA741" s="549"/>
      <c r="AB741" s="549"/>
      <c r="AC741" s="549"/>
      <c r="AD741" s="549"/>
      <c r="AE741" s="549"/>
      <c r="AF741" s="549"/>
      <c r="AG741" s="549"/>
      <c r="AH741" s="549"/>
      <c r="AI741" s="549"/>
      <c r="AJ741" s="549"/>
      <c r="AK741" s="549"/>
      <c r="AL741" s="549"/>
      <c r="AM741" s="549"/>
      <c r="AN741" s="549"/>
      <c r="AO741" s="549"/>
      <c r="AP741" s="549"/>
      <c r="AQ741" s="549"/>
      <c r="AR741" s="549"/>
      <c r="AS741" s="549"/>
      <c r="AT741" s="549"/>
      <c r="AU741" s="549"/>
      <c r="AV741" s="549"/>
      <c r="AW741" s="549"/>
      <c r="AX741" s="549"/>
      <c r="AY741" s="549"/>
      <c r="AZ741" s="549"/>
      <c r="BA741" s="549"/>
      <c r="BB741" s="549"/>
      <c r="BC741" s="549"/>
      <c r="BD741" s="549"/>
      <c r="BE741" s="549"/>
      <c r="BF741" s="549"/>
      <c r="BG741" s="549"/>
      <c r="BH741" s="549"/>
      <c r="BI741" s="549"/>
    </row>
    <row r="742" spans="16:61" s="254" customFormat="1" ht="9.9">
      <c r="P742" s="549"/>
      <c r="Q742" s="549"/>
      <c r="R742" s="549"/>
      <c r="S742" s="549"/>
      <c r="T742" s="549"/>
      <c r="U742" s="549"/>
      <c r="V742" s="549"/>
      <c r="W742" s="549"/>
      <c r="X742" s="549"/>
      <c r="Y742" s="549"/>
      <c r="Z742" s="549"/>
      <c r="AA742" s="549"/>
      <c r="AB742" s="549"/>
      <c r="AC742" s="549"/>
      <c r="AD742" s="549"/>
      <c r="AE742" s="549"/>
      <c r="AF742" s="549"/>
      <c r="AG742" s="549"/>
      <c r="AH742" s="549"/>
      <c r="AI742" s="549"/>
      <c r="AJ742" s="549"/>
      <c r="AK742" s="549"/>
      <c r="AL742" s="549"/>
      <c r="AM742" s="549"/>
      <c r="AN742" s="549"/>
      <c r="AO742" s="549"/>
      <c r="AP742" s="549"/>
      <c r="AQ742" s="549"/>
      <c r="AR742" s="549"/>
      <c r="AS742" s="549"/>
      <c r="AT742" s="549"/>
      <c r="AU742" s="549"/>
      <c r="AV742" s="549"/>
      <c r="AW742" s="549"/>
      <c r="AX742" s="549"/>
      <c r="AY742" s="549"/>
      <c r="AZ742" s="549"/>
      <c r="BA742" s="549"/>
      <c r="BB742" s="549"/>
      <c r="BC742" s="549"/>
      <c r="BD742" s="549"/>
      <c r="BE742" s="549"/>
      <c r="BF742" s="549"/>
      <c r="BG742" s="549"/>
      <c r="BH742" s="549"/>
      <c r="BI742" s="549"/>
    </row>
    <row r="743" spans="16:61" s="254" customFormat="1" ht="9.9">
      <c r="P743" s="549"/>
      <c r="Q743" s="549"/>
      <c r="R743" s="549"/>
      <c r="S743" s="549"/>
      <c r="T743" s="549"/>
      <c r="U743" s="549"/>
      <c r="V743" s="549"/>
      <c r="W743" s="549"/>
      <c r="X743" s="549"/>
      <c r="Y743" s="549"/>
      <c r="Z743" s="549"/>
      <c r="AA743" s="549"/>
      <c r="AB743" s="549"/>
      <c r="AC743" s="549"/>
      <c r="AD743" s="549"/>
      <c r="AE743" s="549"/>
      <c r="AF743" s="549"/>
      <c r="AG743" s="549"/>
      <c r="AH743" s="549"/>
      <c r="AI743" s="549"/>
      <c r="AJ743" s="549"/>
      <c r="AK743" s="549"/>
      <c r="AL743" s="549"/>
      <c r="AM743" s="549"/>
      <c r="AN743" s="549"/>
      <c r="AO743" s="549"/>
      <c r="AP743" s="549"/>
      <c r="AQ743" s="549"/>
      <c r="AR743" s="549"/>
      <c r="AS743" s="549"/>
      <c r="AT743" s="549"/>
      <c r="AU743" s="549"/>
      <c r="AV743" s="549"/>
      <c r="AW743" s="549"/>
      <c r="AX743" s="549"/>
      <c r="AY743" s="549"/>
      <c r="AZ743" s="549"/>
      <c r="BA743" s="549"/>
      <c r="BB743" s="549"/>
      <c r="BC743" s="549"/>
      <c r="BD743" s="549"/>
      <c r="BE743" s="549"/>
      <c r="BF743" s="549"/>
      <c r="BG743" s="549"/>
      <c r="BH743" s="549"/>
      <c r="BI743" s="549"/>
    </row>
    <row r="744" spans="16:61" s="254" customFormat="1" ht="9.9">
      <c r="P744" s="549"/>
      <c r="Q744" s="549"/>
      <c r="R744" s="549"/>
      <c r="S744" s="549"/>
      <c r="T744" s="549"/>
      <c r="U744" s="549"/>
      <c r="V744" s="549"/>
      <c r="W744" s="549"/>
      <c r="X744" s="549"/>
      <c r="Y744" s="549"/>
      <c r="Z744" s="549"/>
      <c r="AA744" s="549"/>
      <c r="AB744" s="549"/>
      <c r="AC744" s="549"/>
      <c r="AD744" s="549"/>
      <c r="AE744" s="549"/>
      <c r="AF744" s="549"/>
      <c r="AG744" s="549"/>
      <c r="AH744" s="549"/>
      <c r="AI744" s="549"/>
      <c r="AJ744" s="549"/>
      <c r="AK744" s="549"/>
      <c r="AL744" s="549"/>
      <c r="AM744" s="549"/>
      <c r="AN744" s="549"/>
      <c r="AO744" s="549"/>
      <c r="AP744" s="549"/>
      <c r="AQ744" s="549"/>
      <c r="AR744" s="549"/>
      <c r="AS744" s="549"/>
      <c r="AT744" s="549"/>
      <c r="AU744" s="549"/>
      <c r="AV744" s="549"/>
      <c r="AW744" s="549"/>
      <c r="AX744" s="549"/>
      <c r="AY744" s="549"/>
      <c r="AZ744" s="549"/>
      <c r="BA744" s="549"/>
      <c r="BB744" s="549"/>
      <c r="BC744" s="549"/>
      <c r="BD744" s="549"/>
      <c r="BE744" s="549"/>
      <c r="BF744" s="549"/>
      <c r="BG744" s="549"/>
      <c r="BH744" s="549"/>
      <c r="BI744" s="549"/>
    </row>
    <row r="745" spans="16:61" s="254" customFormat="1" ht="9.9">
      <c r="P745" s="549"/>
      <c r="Q745" s="549"/>
      <c r="R745" s="549"/>
      <c r="S745" s="549"/>
      <c r="T745" s="549"/>
      <c r="U745" s="549"/>
      <c r="V745" s="549"/>
      <c r="W745" s="549"/>
      <c r="X745" s="549"/>
      <c r="Y745" s="549"/>
      <c r="Z745" s="549"/>
      <c r="AA745" s="549"/>
      <c r="AB745" s="549"/>
      <c r="AC745" s="549"/>
      <c r="AD745" s="549"/>
      <c r="AE745" s="549"/>
      <c r="AF745" s="549"/>
      <c r="AG745" s="549"/>
      <c r="AH745" s="549"/>
      <c r="AI745" s="549"/>
      <c r="AJ745" s="549"/>
      <c r="AK745" s="549"/>
      <c r="AL745" s="549"/>
      <c r="AM745" s="549"/>
      <c r="AN745" s="549"/>
      <c r="AO745" s="549"/>
      <c r="AP745" s="549"/>
      <c r="AQ745" s="549"/>
      <c r="AR745" s="549"/>
      <c r="AS745" s="549"/>
      <c r="AT745" s="549"/>
      <c r="AU745" s="549"/>
      <c r="AV745" s="549"/>
      <c r="AW745" s="549"/>
      <c r="AX745" s="549"/>
      <c r="AY745" s="549"/>
      <c r="AZ745" s="549"/>
      <c r="BA745" s="549"/>
      <c r="BB745" s="549"/>
      <c r="BC745" s="549"/>
      <c r="BD745" s="549"/>
      <c r="BE745" s="549"/>
      <c r="BF745" s="549"/>
      <c r="BG745" s="549"/>
      <c r="BH745" s="549"/>
      <c r="BI745" s="549"/>
    </row>
    <row r="746" spans="16:61" s="254" customFormat="1" ht="9.9">
      <c r="P746" s="549"/>
      <c r="Q746" s="549"/>
      <c r="R746" s="549"/>
      <c r="S746" s="549"/>
      <c r="T746" s="549"/>
      <c r="U746" s="549"/>
      <c r="V746" s="549"/>
      <c r="W746" s="549"/>
      <c r="X746" s="549"/>
      <c r="Y746" s="549"/>
      <c r="Z746" s="549"/>
      <c r="AA746" s="549"/>
      <c r="AB746" s="549"/>
      <c r="AC746" s="549"/>
      <c r="AD746" s="549"/>
      <c r="AE746" s="549"/>
      <c r="AF746" s="549"/>
      <c r="AG746" s="549"/>
      <c r="AH746" s="549"/>
      <c r="AI746" s="549"/>
      <c r="AJ746" s="549"/>
      <c r="AK746" s="549"/>
      <c r="AL746" s="549"/>
      <c r="AM746" s="549"/>
      <c r="AN746" s="549"/>
      <c r="AO746" s="549"/>
      <c r="AP746" s="549"/>
      <c r="AQ746" s="549"/>
      <c r="AR746" s="549"/>
      <c r="AS746" s="549"/>
      <c r="AT746" s="549"/>
      <c r="AU746" s="549"/>
      <c r="AV746" s="549"/>
      <c r="AW746" s="549"/>
      <c r="AX746" s="549"/>
      <c r="AY746" s="549"/>
      <c r="AZ746" s="549"/>
      <c r="BA746" s="549"/>
      <c r="BB746" s="549"/>
      <c r="BC746" s="549"/>
      <c r="BD746" s="549"/>
      <c r="BE746" s="549"/>
      <c r="BF746" s="549"/>
      <c r="BG746" s="549"/>
      <c r="BH746" s="549"/>
      <c r="BI746" s="549"/>
    </row>
    <row r="747" spans="16:61" s="254" customFormat="1" ht="9.9">
      <c r="P747" s="549"/>
      <c r="Q747" s="549"/>
      <c r="R747" s="549"/>
      <c r="S747" s="549"/>
      <c r="T747" s="549"/>
      <c r="U747" s="549"/>
      <c r="V747" s="549"/>
      <c r="W747" s="549"/>
      <c r="X747" s="549"/>
      <c r="Y747" s="549"/>
      <c r="Z747" s="549"/>
      <c r="AA747" s="549"/>
      <c r="AB747" s="549"/>
      <c r="AC747" s="549"/>
      <c r="AD747" s="549"/>
      <c r="AE747" s="549"/>
      <c r="AF747" s="549"/>
      <c r="AG747" s="549"/>
      <c r="AH747" s="549"/>
      <c r="AI747" s="549"/>
      <c r="AJ747" s="549"/>
      <c r="AK747" s="549"/>
      <c r="AL747" s="549"/>
      <c r="AM747" s="549"/>
      <c r="AN747" s="549"/>
      <c r="AO747" s="549"/>
      <c r="AP747" s="549"/>
      <c r="AQ747" s="549"/>
      <c r="AR747" s="549"/>
      <c r="AS747" s="549"/>
      <c r="AT747" s="549"/>
      <c r="AU747" s="549"/>
      <c r="AV747" s="549"/>
      <c r="AW747" s="549"/>
      <c r="AX747" s="549"/>
      <c r="AY747" s="549"/>
      <c r="AZ747" s="549"/>
      <c r="BA747" s="549"/>
      <c r="BB747" s="549"/>
      <c r="BC747" s="549"/>
      <c r="BD747" s="549"/>
      <c r="BE747" s="549"/>
      <c r="BF747" s="549"/>
      <c r="BG747" s="549"/>
      <c r="BH747" s="549"/>
      <c r="BI747" s="549"/>
    </row>
    <row r="748" spans="16:61" s="254" customFormat="1" ht="9.9">
      <c r="P748" s="549"/>
      <c r="Q748" s="549"/>
      <c r="R748" s="549"/>
      <c r="S748" s="549"/>
      <c r="T748" s="549"/>
      <c r="U748" s="549"/>
      <c r="V748" s="549"/>
      <c r="W748" s="549"/>
      <c r="X748" s="549"/>
      <c r="Y748" s="549"/>
      <c r="Z748" s="549"/>
      <c r="AA748" s="549"/>
      <c r="AB748" s="549"/>
      <c r="AC748" s="549"/>
      <c r="AD748" s="549"/>
      <c r="AE748" s="549"/>
      <c r="AF748" s="549"/>
      <c r="AG748" s="549"/>
      <c r="AH748" s="549"/>
      <c r="AI748" s="549"/>
      <c r="AJ748" s="549"/>
      <c r="AK748" s="549"/>
      <c r="AL748" s="549"/>
      <c r="AM748" s="549"/>
      <c r="AN748" s="549"/>
      <c r="AO748" s="549"/>
      <c r="AP748" s="549"/>
      <c r="AQ748" s="549"/>
      <c r="AR748" s="549"/>
      <c r="AS748" s="549"/>
      <c r="AT748" s="549"/>
      <c r="AU748" s="549"/>
      <c r="AV748" s="549"/>
      <c r="AW748" s="549"/>
      <c r="AX748" s="549"/>
      <c r="AY748" s="549"/>
      <c r="AZ748" s="549"/>
      <c r="BA748" s="549"/>
      <c r="BB748" s="549"/>
      <c r="BC748" s="549"/>
      <c r="BD748" s="549"/>
      <c r="BE748" s="549"/>
      <c r="BF748" s="549"/>
      <c r="BG748" s="549"/>
      <c r="BH748" s="549"/>
      <c r="BI748" s="549"/>
    </row>
    <row r="749" spans="16:61" s="254" customFormat="1" ht="9.9">
      <c r="P749" s="549"/>
      <c r="Q749" s="549"/>
      <c r="R749" s="549"/>
      <c r="S749" s="549"/>
      <c r="T749" s="549"/>
      <c r="U749" s="549"/>
      <c r="V749" s="549"/>
      <c r="W749" s="549"/>
      <c r="X749" s="549"/>
      <c r="Y749" s="549"/>
      <c r="Z749" s="549"/>
      <c r="AA749" s="549"/>
      <c r="AB749" s="549"/>
      <c r="AC749" s="549"/>
      <c r="AD749" s="549"/>
      <c r="AE749" s="549"/>
      <c r="AF749" s="549"/>
      <c r="AG749" s="549"/>
      <c r="AH749" s="549"/>
      <c r="AI749" s="549"/>
      <c r="AJ749" s="549"/>
      <c r="AK749" s="549"/>
      <c r="AL749" s="549"/>
      <c r="AM749" s="549"/>
      <c r="AN749" s="549"/>
      <c r="AO749" s="549"/>
      <c r="AP749" s="549"/>
      <c r="AQ749" s="549"/>
      <c r="AR749" s="549"/>
      <c r="AS749" s="549"/>
      <c r="AT749" s="549"/>
      <c r="AU749" s="549"/>
      <c r="AV749" s="549"/>
      <c r="AW749" s="549"/>
      <c r="AX749" s="549"/>
      <c r="AY749" s="549"/>
      <c r="AZ749" s="549"/>
      <c r="BA749" s="549"/>
      <c r="BB749" s="549"/>
      <c r="BC749" s="549"/>
      <c r="BD749" s="549"/>
      <c r="BE749" s="549"/>
      <c r="BF749" s="549"/>
      <c r="BG749" s="549"/>
      <c r="BH749" s="549"/>
      <c r="BI749" s="549"/>
    </row>
    <row r="750" spans="16:61" s="254" customFormat="1" ht="9.9">
      <c r="P750" s="549"/>
      <c r="Q750" s="549"/>
      <c r="R750" s="549"/>
      <c r="S750" s="549"/>
      <c r="T750" s="549"/>
      <c r="U750" s="549"/>
      <c r="V750" s="549"/>
      <c r="W750" s="549"/>
      <c r="X750" s="549"/>
      <c r="Y750" s="549"/>
      <c r="Z750" s="549"/>
      <c r="AA750" s="549"/>
      <c r="AB750" s="549"/>
      <c r="AC750" s="549"/>
      <c r="AD750" s="549"/>
      <c r="AE750" s="549"/>
      <c r="AF750" s="549"/>
      <c r="AG750" s="549"/>
      <c r="AH750" s="549"/>
      <c r="AI750" s="549"/>
      <c r="AJ750" s="549"/>
      <c r="AK750" s="549"/>
      <c r="AL750" s="549"/>
      <c r="AM750" s="549"/>
      <c r="AN750" s="549"/>
      <c r="AO750" s="549"/>
      <c r="AP750" s="549"/>
      <c r="AQ750" s="549"/>
      <c r="AR750" s="549"/>
      <c r="AS750" s="549"/>
      <c r="AT750" s="549"/>
      <c r="AU750" s="549"/>
      <c r="AV750" s="549"/>
      <c r="AW750" s="549"/>
      <c r="AX750" s="549"/>
      <c r="AY750" s="549"/>
      <c r="AZ750" s="549"/>
      <c r="BA750" s="549"/>
      <c r="BB750" s="549"/>
      <c r="BC750" s="549"/>
      <c r="BD750" s="549"/>
      <c r="BE750" s="549"/>
      <c r="BF750" s="549"/>
      <c r="BG750" s="549"/>
      <c r="BH750" s="549"/>
      <c r="BI750" s="549"/>
    </row>
    <row r="751" spans="16:61" s="254" customFormat="1" ht="9.9">
      <c r="P751" s="549"/>
      <c r="Q751" s="549"/>
      <c r="R751" s="549"/>
      <c r="S751" s="549"/>
      <c r="T751" s="549"/>
      <c r="U751" s="549"/>
      <c r="V751" s="549"/>
      <c r="W751" s="549"/>
      <c r="X751" s="549"/>
      <c r="Y751" s="549"/>
      <c r="Z751" s="549"/>
      <c r="AA751" s="549"/>
      <c r="AB751" s="549"/>
      <c r="AC751" s="549"/>
      <c r="AD751" s="549"/>
      <c r="AE751" s="549"/>
      <c r="AF751" s="549"/>
      <c r="AG751" s="549"/>
      <c r="AH751" s="549"/>
      <c r="AI751" s="549"/>
      <c r="AJ751" s="549"/>
      <c r="AK751" s="549"/>
      <c r="AL751" s="549"/>
      <c r="AM751" s="549"/>
      <c r="AN751" s="549"/>
      <c r="AO751" s="549"/>
      <c r="AP751" s="549"/>
      <c r="AQ751" s="549"/>
      <c r="AR751" s="549"/>
      <c r="AS751" s="549"/>
      <c r="AT751" s="549"/>
      <c r="AU751" s="549"/>
      <c r="AV751" s="549"/>
      <c r="AW751" s="549"/>
      <c r="AX751" s="549"/>
      <c r="AY751" s="549"/>
      <c r="AZ751" s="549"/>
      <c r="BA751" s="549"/>
      <c r="BB751" s="549"/>
      <c r="BC751" s="549"/>
      <c r="BD751" s="549"/>
      <c r="BE751" s="549"/>
      <c r="BF751" s="549"/>
      <c r="BG751" s="549"/>
      <c r="BH751" s="549"/>
      <c r="BI751" s="549"/>
    </row>
    <row r="752" spans="16:61" s="254" customFormat="1" ht="9.9">
      <c r="P752" s="549"/>
      <c r="Q752" s="549"/>
      <c r="R752" s="549"/>
      <c r="S752" s="549"/>
      <c r="T752" s="549"/>
      <c r="U752" s="549"/>
      <c r="V752" s="549"/>
      <c r="W752" s="549"/>
      <c r="X752" s="549"/>
      <c r="Y752" s="549"/>
      <c r="Z752" s="549"/>
      <c r="AA752" s="549"/>
      <c r="AB752" s="549"/>
      <c r="AC752" s="549"/>
      <c r="AD752" s="549"/>
      <c r="AE752" s="549"/>
      <c r="AF752" s="549"/>
      <c r="AG752" s="549"/>
      <c r="AH752" s="549"/>
      <c r="AI752" s="549"/>
      <c r="AJ752" s="549"/>
      <c r="AK752" s="549"/>
      <c r="AL752" s="549"/>
      <c r="AM752" s="549"/>
      <c r="AN752" s="549"/>
      <c r="AO752" s="549"/>
      <c r="AP752" s="549"/>
      <c r="AQ752" s="549"/>
      <c r="AR752" s="549"/>
      <c r="AS752" s="549"/>
      <c r="AT752" s="549"/>
      <c r="AU752" s="549"/>
      <c r="AV752" s="549"/>
      <c r="AW752" s="549"/>
      <c r="AX752" s="549"/>
      <c r="AY752" s="549"/>
      <c r="AZ752" s="549"/>
      <c r="BA752" s="549"/>
      <c r="BB752" s="549"/>
      <c r="BC752" s="549"/>
      <c r="BD752" s="549"/>
      <c r="BE752" s="549"/>
      <c r="BF752" s="549"/>
      <c r="BG752" s="549"/>
      <c r="BH752" s="549"/>
      <c r="BI752" s="549"/>
    </row>
    <row r="753" spans="16:61" s="254" customFormat="1" ht="9.9">
      <c r="P753" s="549"/>
      <c r="Q753" s="549"/>
      <c r="R753" s="549"/>
      <c r="S753" s="549"/>
      <c r="T753" s="549"/>
      <c r="U753" s="549"/>
      <c r="V753" s="549"/>
      <c r="W753" s="549"/>
      <c r="X753" s="549"/>
      <c r="Y753" s="549"/>
      <c r="Z753" s="549"/>
      <c r="AA753" s="549"/>
      <c r="AB753" s="549"/>
      <c r="AC753" s="549"/>
      <c r="AD753" s="549"/>
      <c r="AE753" s="549"/>
      <c r="AF753" s="549"/>
      <c r="AG753" s="549"/>
      <c r="AH753" s="549"/>
      <c r="AI753" s="549"/>
      <c r="AJ753" s="549"/>
      <c r="AK753" s="549"/>
      <c r="AL753" s="549"/>
      <c r="AM753" s="549"/>
      <c r="AN753" s="549"/>
      <c r="AO753" s="549"/>
      <c r="AP753" s="549"/>
      <c r="AQ753" s="549"/>
      <c r="AR753" s="549"/>
      <c r="AS753" s="549"/>
      <c r="AT753" s="549"/>
      <c r="AU753" s="549"/>
      <c r="AV753" s="549"/>
      <c r="AW753" s="549"/>
      <c r="AX753" s="549"/>
      <c r="AY753" s="549"/>
      <c r="AZ753" s="549"/>
      <c r="BA753" s="549"/>
      <c r="BB753" s="549"/>
      <c r="BC753" s="549"/>
      <c r="BD753" s="549"/>
      <c r="BE753" s="549"/>
      <c r="BF753" s="549"/>
      <c r="BG753" s="549"/>
      <c r="BH753" s="549"/>
      <c r="BI753" s="549"/>
    </row>
    <row r="754" spans="16:61" s="254" customFormat="1" ht="9.9">
      <c r="P754" s="549"/>
      <c r="Q754" s="549"/>
      <c r="R754" s="549"/>
      <c r="S754" s="549"/>
      <c r="T754" s="549"/>
      <c r="U754" s="549"/>
      <c r="V754" s="549"/>
      <c r="W754" s="549"/>
      <c r="X754" s="549"/>
      <c r="Y754" s="549"/>
      <c r="Z754" s="549"/>
      <c r="AA754" s="549"/>
      <c r="AB754" s="549"/>
      <c r="AC754" s="549"/>
      <c r="AD754" s="549"/>
      <c r="AE754" s="549"/>
      <c r="AF754" s="549"/>
      <c r="AG754" s="549"/>
      <c r="AH754" s="549"/>
      <c r="AI754" s="549"/>
      <c r="AJ754" s="549"/>
      <c r="AK754" s="549"/>
      <c r="AL754" s="549"/>
      <c r="AM754" s="549"/>
      <c r="AN754" s="549"/>
      <c r="AO754" s="549"/>
      <c r="AP754" s="549"/>
      <c r="AQ754" s="549"/>
      <c r="AR754" s="549"/>
      <c r="AS754" s="549"/>
      <c r="AT754" s="549"/>
      <c r="AU754" s="549"/>
      <c r="AV754" s="549"/>
      <c r="AW754" s="549"/>
      <c r="AX754" s="549"/>
      <c r="AY754" s="549"/>
      <c r="AZ754" s="549"/>
      <c r="BA754" s="549"/>
      <c r="BB754" s="549"/>
      <c r="BC754" s="549"/>
      <c r="BD754" s="549"/>
      <c r="BE754" s="549"/>
      <c r="BF754" s="549"/>
      <c r="BG754" s="549"/>
      <c r="BH754" s="549"/>
      <c r="BI754" s="549"/>
    </row>
    <row r="755" spans="16:61" s="254" customFormat="1" ht="9.9">
      <c r="P755" s="549"/>
      <c r="Q755" s="549"/>
      <c r="R755" s="549"/>
      <c r="S755" s="549"/>
      <c r="T755" s="549"/>
      <c r="U755" s="549"/>
      <c r="V755" s="549"/>
      <c r="W755" s="549"/>
      <c r="X755" s="549"/>
      <c r="Y755" s="549"/>
      <c r="Z755" s="549"/>
      <c r="AA755" s="549"/>
      <c r="AB755" s="549"/>
      <c r="AC755" s="549"/>
      <c r="AD755" s="549"/>
      <c r="AE755" s="549"/>
      <c r="AF755" s="549"/>
      <c r="AG755" s="549"/>
      <c r="AH755" s="549"/>
      <c r="AI755" s="549"/>
      <c r="AJ755" s="549"/>
      <c r="AK755" s="549"/>
      <c r="AL755" s="549"/>
      <c r="AM755" s="549"/>
      <c r="AN755" s="549"/>
      <c r="AO755" s="549"/>
      <c r="AP755" s="549"/>
      <c r="AQ755" s="549"/>
      <c r="AR755" s="549"/>
      <c r="AS755" s="549"/>
      <c r="AT755" s="549"/>
      <c r="AU755" s="549"/>
      <c r="AV755" s="549"/>
      <c r="AW755" s="549"/>
      <c r="AX755" s="549"/>
      <c r="AY755" s="549"/>
      <c r="AZ755" s="549"/>
      <c r="BA755" s="549"/>
      <c r="BB755" s="549"/>
      <c r="BC755" s="549"/>
      <c r="BD755" s="549"/>
      <c r="BE755" s="549"/>
      <c r="BF755" s="549"/>
      <c r="BG755" s="549"/>
      <c r="BH755" s="549"/>
      <c r="BI755" s="549"/>
    </row>
    <row r="756" spans="16:61" s="254" customFormat="1" ht="9.9">
      <c r="P756" s="549"/>
      <c r="Q756" s="549"/>
      <c r="R756" s="549"/>
      <c r="S756" s="549"/>
      <c r="T756" s="549"/>
      <c r="U756" s="549"/>
      <c r="V756" s="549"/>
      <c r="W756" s="549"/>
      <c r="X756" s="549"/>
      <c r="Y756" s="549"/>
      <c r="Z756" s="549"/>
      <c r="AA756" s="549"/>
      <c r="AB756" s="549"/>
      <c r="AC756" s="549"/>
      <c r="AD756" s="549"/>
      <c r="AE756" s="549"/>
      <c r="AF756" s="549"/>
      <c r="AG756" s="549"/>
      <c r="AH756" s="549"/>
      <c r="AI756" s="549"/>
      <c r="AJ756" s="549"/>
      <c r="AK756" s="549"/>
      <c r="AL756" s="549"/>
      <c r="AM756" s="549"/>
      <c r="AN756" s="549"/>
      <c r="AO756" s="549"/>
      <c r="AP756" s="549"/>
      <c r="AQ756" s="549"/>
      <c r="AR756" s="549"/>
      <c r="AS756" s="549"/>
      <c r="AT756" s="549"/>
      <c r="AU756" s="549"/>
      <c r="AV756" s="549"/>
      <c r="AW756" s="549"/>
      <c r="AX756" s="549"/>
      <c r="AY756" s="549"/>
      <c r="AZ756" s="549"/>
      <c r="BA756" s="549"/>
      <c r="BB756" s="549"/>
      <c r="BC756" s="549"/>
      <c r="BD756" s="549"/>
      <c r="BE756" s="549"/>
      <c r="BF756" s="549"/>
      <c r="BG756" s="549"/>
      <c r="BH756" s="549"/>
      <c r="BI756" s="549"/>
    </row>
    <row r="757" spans="16:61" s="254" customFormat="1" ht="9.9">
      <c r="P757" s="549"/>
      <c r="Q757" s="549"/>
      <c r="R757" s="549"/>
      <c r="S757" s="549"/>
      <c r="T757" s="549"/>
      <c r="U757" s="549"/>
      <c r="V757" s="549"/>
      <c r="W757" s="549"/>
      <c r="X757" s="549"/>
      <c r="Y757" s="549"/>
      <c r="Z757" s="549"/>
      <c r="AA757" s="549"/>
      <c r="AB757" s="549"/>
      <c r="AC757" s="549"/>
      <c r="AD757" s="549"/>
      <c r="AE757" s="549"/>
      <c r="AF757" s="549"/>
      <c r="AG757" s="549"/>
      <c r="AH757" s="549"/>
      <c r="AI757" s="549"/>
      <c r="AJ757" s="549"/>
      <c r="AK757" s="549"/>
      <c r="AL757" s="549"/>
      <c r="AM757" s="549"/>
      <c r="AN757" s="549"/>
      <c r="AO757" s="549"/>
      <c r="AP757" s="549"/>
      <c r="AQ757" s="549"/>
      <c r="AR757" s="549"/>
      <c r="AS757" s="549"/>
      <c r="AT757" s="549"/>
      <c r="AU757" s="549"/>
      <c r="AV757" s="549"/>
      <c r="AW757" s="549"/>
      <c r="AX757" s="549"/>
      <c r="AY757" s="549"/>
      <c r="AZ757" s="549"/>
      <c r="BA757" s="549"/>
      <c r="BB757" s="549"/>
      <c r="BC757" s="549"/>
      <c r="BD757" s="549"/>
      <c r="BE757" s="549"/>
      <c r="BF757" s="549"/>
      <c r="BG757" s="549"/>
      <c r="BH757" s="549"/>
      <c r="BI757" s="549"/>
    </row>
    <row r="758" spans="16:61" s="254" customFormat="1" ht="9.9">
      <c r="P758" s="549"/>
      <c r="Q758" s="549"/>
      <c r="R758" s="549"/>
      <c r="S758" s="549"/>
      <c r="T758" s="549"/>
      <c r="U758" s="549"/>
      <c r="V758" s="549"/>
      <c r="W758" s="549"/>
      <c r="X758" s="549"/>
      <c r="Y758" s="549"/>
      <c r="Z758" s="549"/>
      <c r="AA758" s="549"/>
      <c r="AB758" s="549"/>
      <c r="AC758" s="549"/>
      <c r="AD758" s="549"/>
      <c r="AE758" s="549"/>
      <c r="AF758" s="549"/>
      <c r="AG758" s="549"/>
      <c r="AH758" s="549"/>
      <c r="AI758" s="549"/>
      <c r="AJ758" s="549"/>
      <c r="AK758" s="549"/>
      <c r="AL758" s="549"/>
      <c r="AM758" s="549"/>
      <c r="AN758" s="549"/>
      <c r="AO758" s="549"/>
      <c r="AP758" s="549"/>
      <c r="AQ758" s="549"/>
      <c r="AR758" s="549"/>
      <c r="AS758" s="549"/>
      <c r="AT758" s="549"/>
      <c r="AU758" s="549"/>
      <c r="AV758" s="549"/>
      <c r="AW758" s="549"/>
      <c r="AX758" s="549"/>
      <c r="AY758" s="549"/>
      <c r="AZ758" s="549"/>
      <c r="BA758" s="549"/>
      <c r="BB758" s="549"/>
      <c r="BC758" s="549"/>
      <c r="BD758" s="549"/>
      <c r="BE758" s="549"/>
      <c r="BF758" s="549"/>
      <c r="BG758" s="549"/>
      <c r="BH758" s="549"/>
      <c r="BI758" s="549"/>
    </row>
    <row r="759" spans="16:61" s="254" customFormat="1" ht="9.9">
      <c r="P759" s="549"/>
      <c r="Q759" s="549"/>
      <c r="R759" s="549"/>
      <c r="S759" s="549"/>
      <c r="T759" s="549"/>
      <c r="U759" s="549"/>
      <c r="V759" s="549"/>
      <c r="W759" s="549"/>
      <c r="X759" s="549"/>
      <c r="Y759" s="549"/>
      <c r="Z759" s="549"/>
      <c r="AA759" s="549"/>
      <c r="AB759" s="549"/>
      <c r="AC759" s="549"/>
      <c r="AD759" s="549"/>
      <c r="AE759" s="549"/>
      <c r="AF759" s="549"/>
      <c r="AG759" s="549"/>
      <c r="AH759" s="549"/>
      <c r="AI759" s="549"/>
      <c r="AJ759" s="549"/>
      <c r="AK759" s="549"/>
      <c r="AL759" s="549"/>
      <c r="AM759" s="549"/>
      <c r="AN759" s="549"/>
      <c r="AO759" s="549"/>
      <c r="AP759" s="549"/>
      <c r="AQ759" s="549"/>
      <c r="AR759" s="549"/>
      <c r="AS759" s="549"/>
      <c r="AT759" s="549"/>
      <c r="AU759" s="549"/>
      <c r="AV759" s="549"/>
      <c r="AW759" s="549"/>
      <c r="AX759" s="549"/>
      <c r="AY759" s="549"/>
      <c r="AZ759" s="549"/>
      <c r="BA759" s="549"/>
      <c r="BB759" s="549"/>
      <c r="BC759" s="549"/>
      <c r="BD759" s="549"/>
      <c r="BE759" s="549"/>
      <c r="BF759" s="549"/>
      <c r="BG759" s="549"/>
      <c r="BH759" s="549"/>
      <c r="BI759" s="549"/>
    </row>
    <row r="760" spans="16:61" s="254" customFormat="1" ht="9.9">
      <c r="P760" s="549"/>
      <c r="Q760" s="549"/>
      <c r="R760" s="549"/>
      <c r="S760" s="549"/>
      <c r="T760" s="549"/>
      <c r="U760" s="549"/>
      <c r="V760" s="549"/>
      <c r="W760" s="549"/>
      <c r="X760" s="549"/>
      <c r="Y760" s="549"/>
      <c r="Z760" s="549"/>
      <c r="AA760" s="549"/>
      <c r="AB760" s="549"/>
      <c r="AC760" s="549"/>
      <c r="AD760" s="549"/>
      <c r="AE760" s="549"/>
      <c r="AF760" s="549"/>
      <c r="AG760" s="549"/>
      <c r="AH760" s="549"/>
      <c r="AI760" s="549"/>
      <c r="AJ760" s="549"/>
      <c r="AK760" s="549"/>
      <c r="AL760" s="549"/>
      <c r="AM760" s="549"/>
      <c r="AN760" s="549"/>
      <c r="AO760" s="549"/>
      <c r="AP760" s="549"/>
      <c r="AQ760" s="549"/>
      <c r="AR760" s="549"/>
      <c r="AS760" s="549"/>
      <c r="AT760" s="549"/>
      <c r="AU760" s="549"/>
      <c r="AV760" s="549"/>
      <c r="AW760" s="549"/>
      <c r="AX760" s="549"/>
      <c r="AY760" s="549"/>
      <c r="AZ760" s="549"/>
      <c r="BA760" s="549"/>
      <c r="BB760" s="549"/>
      <c r="BC760" s="549"/>
      <c r="BD760" s="549"/>
      <c r="BE760" s="549"/>
      <c r="BF760" s="549"/>
      <c r="BG760" s="549"/>
      <c r="BH760" s="549"/>
      <c r="BI760" s="549"/>
    </row>
    <row r="761" spans="16:61" s="254" customFormat="1" ht="9.9">
      <c r="P761" s="549"/>
      <c r="Q761" s="549"/>
      <c r="R761" s="549"/>
      <c r="S761" s="549"/>
      <c r="T761" s="549"/>
      <c r="U761" s="549"/>
      <c r="V761" s="549"/>
      <c r="W761" s="549"/>
      <c r="X761" s="549"/>
      <c r="Y761" s="549"/>
      <c r="Z761" s="549"/>
      <c r="AA761" s="549"/>
      <c r="AB761" s="549"/>
      <c r="AC761" s="549"/>
      <c r="AD761" s="549"/>
      <c r="AE761" s="549"/>
      <c r="AF761" s="549"/>
      <c r="AG761" s="549"/>
      <c r="AH761" s="549"/>
      <c r="AI761" s="549"/>
      <c r="AJ761" s="549"/>
      <c r="AK761" s="549"/>
      <c r="AL761" s="549"/>
      <c r="AM761" s="549"/>
      <c r="AN761" s="549"/>
      <c r="AO761" s="549"/>
      <c r="AP761" s="549"/>
      <c r="AQ761" s="549"/>
      <c r="AR761" s="549"/>
      <c r="AS761" s="549"/>
      <c r="AT761" s="549"/>
      <c r="AU761" s="549"/>
      <c r="AV761" s="549"/>
      <c r="AW761" s="549"/>
      <c r="AX761" s="549"/>
      <c r="AY761" s="549"/>
      <c r="AZ761" s="549"/>
      <c r="BA761" s="549"/>
      <c r="BB761" s="549"/>
      <c r="BC761" s="549"/>
      <c r="BD761" s="549"/>
      <c r="BE761" s="549"/>
      <c r="BF761" s="549"/>
      <c r="BG761" s="549"/>
      <c r="BH761" s="549"/>
      <c r="BI761" s="549"/>
    </row>
    <row r="762" spans="16:61" s="254" customFormat="1" ht="9.9">
      <c r="P762" s="549"/>
      <c r="Q762" s="549"/>
      <c r="R762" s="549"/>
      <c r="S762" s="549"/>
      <c r="T762" s="549"/>
      <c r="U762" s="549"/>
      <c r="V762" s="549"/>
      <c r="W762" s="549"/>
      <c r="X762" s="549"/>
      <c r="Y762" s="549"/>
      <c r="Z762" s="549"/>
      <c r="AA762" s="549"/>
      <c r="AB762" s="549"/>
      <c r="AC762" s="549"/>
      <c r="AD762" s="549"/>
      <c r="AE762" s="549"/>
      <c r="AF762" s="549"/>
      <c r="AG762" s="549"/>
      <c r="AH762" s="549"/>
      <c r="AI762" s="549"/>
      <c r="AJ762" s="549"/>
      <c r="AK762" s="549"/>
      <c r="AL762" s="549"/>
      <c r="AM762" s="549"/>
      <c r="AN762" s="549"/>
      <c r="AO762" s="549"/>
      <c r="AP762" s="549"/>
      <c r="AQ762" s="549"/>
      <c r="AR762" s="549"/>
      <c r="AS762" s="549"/>
      <c r="AT762" s="549"/>
      <c r="AU762" s="549"/>
      <c r="AV762" s="549"/>
      <c r="AW762" s="549"/>
      <c r="AX762" s="549"/>
      <c r="AY762" s="549"/>
      <c r="AZ762" s="549"/>
      <c r="BA762" s="549"/>
      <c r="BB762" s="549"/>
      <c r="BC762" s="549"/>
      <c r="BD762" s="549"/>
      <c r="BE762" s="549"/>
      <c r="BF762" s="549"/>
      <c r="BG762" s="549"/>
      <c r="BH762" s="549"/>
      <c r="BI762" s="549"/>
    </row>
    <row r="763" spans="16:61" s="254" customFormat="1" ht="9.9">
      <c r="P763" s="549"/>
      <c r="Q763" s="549"/>
      <c r="R763" s="549"/>
      <c r="S763" s="549"/>
      <c r="T763" s="549"/>
      <c r="U763" s="549"/>
      <c r="V763" s="549"/>
      <c r="W763" s="549"/>
      <c r="X763" s="549"/>
      <c r="Y763" s="549"/>
      <c r="Z763" s="549"/>
      <c r="AA763" s="549"/>
      <c r="AB763" s="549"/>
      <c r="AC763" s="549"/>
      <c r="AD763" s="549"/>
      <c r="AE763" s="549"/>
      <c r="AF763" s="549"/>
      <c r="AG763" s="549"/>
      <c r="AH763" s="549"/>
      <c r="AI763" s="549"/>
      <c r="AJ763" s="549"/>
      <c r="AK763" s="549"/>
      <c r="AL763" s="549"/>
      <c r="AM763" s="549"/>
      <c r="AN763" s="549"/>
      <c r="AO763" s="549"/>
      <c r="AP763" s="549"/>
      <c r="AQ763" s="549"/>
      <c r="AR763" s="549"/>
      <c r="AS763" s="549"/>
      <c r="AT763" s="549"/>
      <c r="AU763" s="549"/>
      <c r="AV763" s="549"/>
      <c r="AW763" s="549"/>
      <c r="AX763" s="549"/>
      <c r="AY763" s="549"/>
      <c r="AZ763" s="549"/>
      <c r="BA763" s="549"/>
      <c r="BB763" s="549"/>
      <c r="BC763" s="549"/>
      <c r="BD763" s="549"/>
      <c r="BE763" s="549"/>
      <c r="BF763" s="549"/>
      <c r="BG763" s="549"/>
      <c r="BH763" s="549"/>
      <c r="BI763" s="549"/>
    </row>
    <row r="764" spans="16:61" s="254" customFormat="1" ht="9.9">
      <c r="P764" s="549"/>
      <c r="Q764" s="549"/>
      <c r="R764" s="549"/>
      <c r="S764" s="549"/>
      <c r="T764" s="549"/>
      <c r="U764" s="549"/>
      <c r="V764" s="549"/>
      <c r="W764" s="549"/>
      <c r="X764" s="549"/>
      <c r="Y764" s="549"/>
      <c r="Z764" s="549"/>
      <c r="AA764" s="549"/>
      <c r="AB764" s="549"/>
      <c r="AC764" s="549"/>
      <c r="AD764" s="549"/>
      <c r="AE764" s="549"/>
      <c r="AF764" s="549"/>
      <c r="AG764" s="549"/>
      <c r="AH764" s="549"/>
      <c r="AI764" s="549"/>
      <c r="AJ764" s="549"/>
      <c r="AK764" s="549"/>
      <c r="AL764" s="549"/>
      <c r="AM764" s="549"/>
      <c r="AN764" s="549"/>
      <c r="AO764" s="549"/>
      <c r="AP764" s="549"/>
      <c r="AQ764" s="549"/>
      <c r="AR764" s="549"/>
      <c r="AS764" s="549"/>
      <c r="AT764" s="549"/>
      <c r="AU764" s="549"/>
      <c r="AV764" s="549"/>
      <c r="AW764" s="549"/>
      <c r="AX764" s="549"/>
      <c r="AY764" s="549"/>
      <c r="AZ764" s="549"/>
      <c r="BA764" s="549"/>
      <c r="BB764" s="549"/>
      <c r="BC764" s="549"/>
      <c r="BD764" s="549"/>
      <c r="BE764" s="549"/>
      <c r="BF764" s="549"/>
      <c r="BG764" s="549"/>
      <c r="BH764" s="549"/>
      <c r="BI764" s="549"/>
    </row>
    <row r="765" spans="16:61" s="254" customFormat="1" ht="9.9">
      <c r="P765" s="549"/>
      <c r="Q765" s="549"/>
      <c r="R765" s="549"/>
      <c r="S765" s="549"/>
      <c r="T765" s="549"/>
      <c r="U765" s="549"/>
      <c r="V765" s="549"/>
      <c r="W765" s="549"/>
      <c r="X765" s="549"/>
      <c r="Y765" s="549"/>
      <c r="Z765" s="549"/>
      <c r="AA765" s="549"/>
      <c r="AB765" s="549"/>
      <c r="AC765" s="549"/>
      <c r="AD765" s="549"/>
      <c r="AE765" s="549"/>
      <c r="AF765" s="549"/>
      <c r="AG765" s="549"/>
      <c r="AH765" s="549"/>
      <c r="AI765" s="549"/>
      <c r="AJ765" s="549"/>
      <c r="AK765" s="549"/>
      <c r="AL765" s="549"/>
      <c r="AM765" s="549"/>
      <c r="AN765" s="549"/>
      <c r="AO765" s="549"/>
      <c r="AP765" s="549"/>
      <c r="AQ765" s="549"/>
      <c r="AR765" s="549"/>
      <c r="AS765" s="549"/>
      <c r="AT765" s="549"/>
      <c r="AU765" s="549"/>
      <c r="AV765" s="549"/>
      <c r="AW765" s="549"/>
      <c r="AX765" s="549"/>
      <c r="AY765" s="549"/>
      <c r="AZ765" s="549"/>
      <c r="BA765" s="549"/>
      <c r="BB765" s="549"/>
      <c r="BC765" s="549"/>
      <c r="BD765" s="549"/>
      <c r="BE765" s="549"/>
      <c r="BF765" s="549"/>
      <c r="BG765" s="549"/>
      <c r="BH765" s="549"/>
      <c r="BI765" s="549"/>
    </row>
    <row r="766" spans="16:61" s="254" customFormat="1" ht="9.9">
      <c r="P766" s="549"/>
      <c r="Q766" s="549"/>
      <c r="R766" s="549"/>
      <c r="S766" s="549"/>
      <c r="T766" s="549"/>
      <c r="U766" s="549"/>
      <c r="V766" s="549"/>
      <c r="W766" s="549"/>
      <c r="X766" s="549"/>
      <c r="Y766" s="549"/>
      <c r="Z766" s="549"/>
      <c r="AA766" s="549"/>
      <c r="AB766" s="549"/>
      <c r="AC766" s="549"/>
      <c r="AD766" s="549"/>
      <c r="AE766" s="549"/>
      <c r="AF766" s="549"/>
      <c r="AG766" s="549"/>
      <c r="AH766" s="549"/>
      <c r="AI766" s="549"/>
      <c r="AJ766" s="549"/>
      <c r="AK766" s="549"/>
      <c r="AL766" s="549"/>
      <c r="AM766" s="549"/>
      <c r="AN766" s="549"/>
      <c r="AO766" s="549"/>
      <c r="AP766" s="549"/>
      <c r="AQ766" s="549"/>
      <c r="AR766" s="549"/>
      <c r="AS766" s="549"/>
      <c r="AT766" s="549"/>
      <c r="AU766" s="549"/>
      <c r="AV766" s="549"/>
      <c r="AW766" s="549"/>
      <c r="AX766" s="549"/>
      <c r="AY766" s="549"/>
      <c r="AZ766" s="549"/>
      <c r="BA766" s="549"/>
      <c r="BB766" s="549"/>
      <c r="BC766" s="549"/>
      <c r="BD766" s="549"/>
      <c r="BE766" s="549"/>
      <c r="BF766" s="549"/>
      <c r="BG766" s="549"/>
      <c r="BH766" s="549"/>
      <c r="BI766" s="549"/>
    </row>
    <row r="767" spans="16:61" s="254" customFormat="1" ht="9.9">
      <c r="P767" s="549"/>
      <c r="Q767" s="549"/>
      <c r="R767" s="549"/>
      <c r="S767" s="549"/>
      <c r="T767" s="549"/>
      <c r="U767" s="549"/>
      <c r="V767" s="549"/>
      <c r="W767" s="549"/>
      <c r="X767" s="549"/>
      <c r="Y767" s="549"/>
      <c r="Z767" s="549"/>
      <c r="AA767" s="549"/>
      <c r="AB767" s="549"/>
      <c r="AC767" s="549"/>
      <c r="AD767" s="549"/>
      <c r="AE767" s="549"/>
      <c r="AF767" s="549"/>
      <c r="AG767" s="549"/>
      <c r="AH767" s="549"/>
      <c r="AI767" s="549"/>
      <c r="AJ767" s="549"/>
      <c r="AK767" s="549"/>
      <c r="AL767" s="549"/>
      <c r="AM767" s="549"/>
      <c r="AN767" s="549"/>
      <c r="AO767" s="549"/>
      <c r="AP767" s="549"/>
      <c r="AQ767" s="549"/>
      <c r="AR767" s="549"/>
      <c r="AS767" s="549"/>
      <c r="AT767" s="549"/>
      <c r="AU767" s="549"/>
      <c r="AV767" s="549"/>
      <c r="AW767" s="549"/>
      <c r="AX767" s="549"/>
      <c r="AY767" s="549"/>
      <c r="AZ767" s="549"/>
      <c r="BA767" s="549"/>
      <c r="BB767" s="549"/>
      <c r="BC767" s="549"/>
      <c r="BD767" s="549"/>
      <c r="BE767" s="549"/>
      <c r="BF767" s="549"/>
      <c r="BG767" s="549"/>
      <c r="BH767" s="549"/>
      <c r="BI767" s="549"/>
    </row>
    <row r="768" spans="16:61" s="254" customFormat="1" ht="9.9">
      <c r="P768" s="549"/>
      <c r="Q768" s="549"/>
      <c r="R768" s="549"/>
      <c r="S768" s="549"/>
      <c r="T768" s="549"/>
      <c r="U768" s="549"/>
      <c r="V768" s="549"/>
      <c r="W768" s="549"/>
      <c r="X768" s="549"/>
      <c r="Y768" s="549"/>
      <c r="Z768" s="549"/>
      <c r="AA768" s="549"/>
      <c r="AB768" s="549"/>
      <c r="AC768" s="549"/>
      <c r="AD768" s="549"/>
      <c r="AE768" s="549"/>
      <c r="AF768" s="549"/>
      <c r="AG768" s="549"/>
      <c r="AH768" s="549"/>
      <c r="AI768" s="549"/>
      <c r="AJ768" s="549"/>
      <c r="AK768" s="549"/>
      <c r="AL768" s="549"/>
      <c r="AM768" s="549"/>
      <c r="AN768" s="549"/>
      <c r="AO768" s="549"/>
      <c r="AP768" s="549"/>
      <c r="AQ768" s="549"/>
      <c r="AR768" s="549"/>
      <c r="AS768" s="549"/>
      <c r="AT768" s="549"/>
      <c r="AU768" s="549"/>
      <c r="AV768" s="549"/>
      <c r="AW768" s="549"/>
      <c r="AX768" s="549"/>
      <c r="AY768" s="549"/>
      <c r="AZ768" s="549"/>
      <c r="BA768" s="549"/>
      <c r="BB768" s="549"/>
      <c r="BC768" s="549"/>
      <c r="BD768" s="549"/>
      <c r="BE768" s="549"/>
      <c r="BF768" s="549"/>
      <c r="BG768" s="549"/>
      <c r="BH768" s="549"/>
      <c r="BI768" s="549"/>
    </row>
    <row r="769" spans="16:61" s="254" customFormat="1" ht="9.9">
      <c r="P769" s="549"/>
      <c r="Q769" s="549"/>
      <c r="R769" s="549"/>
      <c r="S769" s="549"/>
      <c r="T769" s="549"/>
      <c r="U769" s="549"/>
      <c r="V769" s="549"/>
      <c r="W769" s="549"/>
      <c r="X769" s="549"/>
      <c r="Y769" s="549"/>
      <c r="Z769" s="549"/>
      <c r="AA769" s="549"/>
      <c r="AB769" s="549"/>
      <c r="AC769" s="549"/>
      <c r="AD769" s="549"/>
      <c r="AE769" s="549"/>
      <c r="AF769" s="549"/>
      <c r="AG769" s="549"/>
      <c r="AH769" s="549"/>
      <c r="AI769" s="549"/>
      <c r="AJ769" s="549"/>
      <c r="AK769" s="549"/>
      <c r="AL769" s="549"/>
      <c r="AM769" s="549"/>
      <c r="AN769" s="549"/>
      <c r="AO769" s="549"/>
      <c r="AP769" s="549"/>
      <c r="AQ769" s="549"/>
      <c r="AR769" s="549"/>
      <c r="AS769" s="549"/>
      <c r="AT769" s="549"/>
      <c r="AU769" s="549"/>
      <c r="AV769" s="549"/>
      <c r="AW769" s="549"/>
      <c r="AX769" s="549"/>
      <c r="AY769" s="549"/>
      <c r="AZ769" s="549"/>
      <c r="BA769" s="549"/>
      <c r="BB769" s="549"/>
      <c r="BC769" s="549"/>
      <c r="BD769" s="549"/>
      <c r="BE769" s="549"/>
      <c r="BF769" s="549"/>
      <c r="BG769" s="549"/>
      <c r="BH769" s="549"/>
      <c r="BI769" s="549"/>
    </row>
    <row r="770" spans="16:61" s="254" customFormat="1" ht="9.9">
      <c r="P770" s="549"/>
      <c r="Q770" s="549"/>
      <c r="R770" s="549"/>
      <c r="S770" s="549"/>
      <c r="T770" s="549"/>
      <c r="U770" s="549"/>
      <c r="V770" s="549"/>
      <c r="W770" s="549"/>
      <c r="X770" s="549"/>
      <c r="Y770" s="549"/>
      <c r="Z770" s="549"/>
      <c r="AA770" s="549"/>
      <c r="AB770" s="549"/>
      <c r="AC770" s="549"/>
      <c r="AD770" s="549"/>
      <c r="AE770" s="549"/>
      <c r="AF770" s="549"/>
      <c r="AG770" s="549"/>
      <c r="AH770" s="549"/>
      <c r="AI770" s="549"/>
      <c r="AJ770" s="549"/>
      <c r="AK770" s="549"/>
      <c r="AL770" s="549"/>
      <c r="AM770" s="549"/>
      <c r="AN770" s="549"/>
      <c r="AO770" s="549"/>
      <c r="AP770" s="549"/>
      <c r="AQ770" s="549"/>
      <c r="AR770" s="549"/>
      <c r="AS770" s="549"/>
      <c r="AT770" s="549"/>
      <c r="AU770" s="549"/>
      <c r="AV770" s="549"/>
      <c r="AW770" s="549"/>
      <c r="AX770" s="549"/>
      <c r="AY770" s="549"/>
      <c r="AZ770" s="549"/>
      <c r="BA770" s="549"/>
      <c r="BB770" s="549"/>
      <c r="BC770" s="549"/>
      <c r="BD770" s="549"/>
      <c r="BE770" s="549"/>
      <c r="BF770" s="549"/>
      <c r="BG770" s="549"/>
      <c r="BH770" s="549"/>
      <c r="BI770" s="549"/>
    </row>
    <row r="771" spans="16:61" s="254" customFormat="1" ht="9.9">
      <c r="P771" s="549"/>
      <c r="Q771" s="549"/>
      <c r="R771" s="549"/>
      <c r="S771" s="549"/>
      <c r="T771" s="549"/>
      <c r="U771" s="549"/>
      <c r="V771" s="549"/>
      <c r="W771" s="549"/>
      <c r="X771" s="549"/>
      <c r="Y771" s="549"/>
      <c r="Z771" s="549"/>
      <c r="AA771" s="549"/>
      <c r="AB771" s="549"/>
      <c r="AC771" s="549"/>
      <c r="AD771" s="549"/>
      <c r="AE771" s="549"/>
      <c r="AF771" s="549"/>
      <c r="AG771" s="549"/>
      <c r="AH771" s="549"/>
      <c r="AI771" s="549"/>
      <c r="AJ771" s="549"/>
      <c r="AK771" s="549"/>
      <c r="AL771" s="549"/>
      <c r="AM771" s="549"/>
      <c r="AN771" s="549"/>
      <c r="AO771" s="549"/>
      <c r="AP771" s="549"/>
      <c r="AQ771" s="549"/>
      <c r="AR771" s="549"/>
      <c r="AS771" s="549"/>
      <c r="AT771" s="549"/>
      <c r="AU771" s="549"/>
      <c r="AV771" s="549"/>
      <c r="AW771" s="549"/>
      <c r="AX771" s="549"/>
      <c r="AY771" s="549"/>
      <c r="AZ771" s="549"/>
      <c r="BA771" s="549"/>
      <c r="BB771" s="549"/>
      <c r="BC771" s="549"/>
      <c r="BD771" s="549"/>
      <c r="BE771" s="549"/>
      <c r="BF771" s="549"/>
      <c r="BG771" s="549"/>
      <c r="BH771" s="549"/>
      <c r="BI771" s="549"/>
    </row>
    <row r="772" spans="16:61" s="254" customFormat="1" ht="9.9">
      <c r="P772" s="549"/>
      <c r="Q772" s="549"/>
      <c r="R772" s="549"/>
      <c r="S772" s="549"/>
      <c r="T772" s="549"/>
      <c r="U772" s="549"/>
      <c r="V772" s="549"/>
      <c r="W772" s="549"/>
      <c r="X772" s="549"/>
      <c r="Y772" s="549"/>
      <c r="Z772" s="549"/>
      <c r="AA772" s="549"/>
      <c r="AB772" s="549"/>
      <c r="AC772" s="549"/>
      <c r="AD772" s="549"/>
      <c r="AE772" s="549"/>
      <c r="AF772" s="549"/>
      <c r="AG772" s="549"/>
      <c r="AH772" s="549"/>
      <c r="AI772" s="549"/>
      <c r="AJ772" s="549"/>
      <c r="AK772" s="549"/>
      <c r="AL772" s="549"/>
      <c r="AM772" s="549"/>
      <c r="AN772" s="549"/>
      <c r="AO772" s="549"/>
      <c r="AP772" s="549"/>
      <c r="AQ772" s="549"/>
      <c r="AR772" s="549"/>
      <c r="AS772" s="549"/>
      <c r="AT772" s="549"/>
      <c r="AU772" s="549"/>
      <c r="AV772" s="549"/>
      <c r="AW772" s="549"/>
      <c r="AX772" s="549"/>
      <c r="AY772" s="549"/>
      <c r="AZ772" s="549"/>
      <c r="BA772" s="549"/>
      <c r="BB772" s="549"/>
      <c r="BC772" s="549"/>
      <c r="BD772" s="549"/>
      <c r="BE772" s="549"/>
      <c r="BF772" s="549"/>
      <c r="BG772" s="549"/>
      <c r="BH772" s="549"/>
      <c r="BI772" s="549"/>
    </row>
    <row r="773" spans="16:61" s="254" customFormat="1" ht="9.9">
      <c r="P773" s="549"/>
      <c r="Q773" s="549"/>
      <c r="R773" s="549"/>
      <c r="S773" s="549"/>
      <c r="T773" s="549"/>
      <c r="U773" s="549"/>
      <c r="V773" s="549"/>
      <c r="W773" s="549"/>
      <c r="X773" s="549"/>
      <c r="Y773" s="549"/>
      <c r="Z773" s="549"/>
      <c r="AA773" s="549"/>
      <c r="AB773" s="549"/>
      <c r="AC773" s="549"/>
      <c r="AD773" s="549"/>
      <c r="AE773" s="549"/>
      <c r="AF773" s="549"/>
      <c r="AG773" s="549"/>
      <c r="AH773" s="549"/>
      <c r="AI773" s="549"/>
      <c r="AJ773" s="549"/>
      <c r="AK773" s="549"/>
      <c r="AL773" s="549"/>
      <c r="AM773" s="549"/>
      <c r="AN773" s="549"/>
      <c r="AO773" s="549"/>
      <c r="AP773" s="549"/>
      <c r="AQ773" s="549"/>
      <c r="AR773" s="549"/>
      <c r="AS773" s="549"/>
      <c r="AT773" s="549"/>
      <c r="AU773" s="549"/>
      <c r="AV773" s="549"/>
      <c r="AW773" s="549"/>
      <c r="AX773" s="549"/>
      <c r="AY773" s="549"/>
      <c r="AZ773" s="549"/>
      <c r="BA773" s="549"/>
      <c r="BB773" s="549"/>
      <c r="BC773" s="549"/>
      <c r="BD773" s="549"/>
      <c r="BE773" s="549"/>
      <c r="BF773" s="549"/>
      <c r="BG773" s="549"/>
      <c r="BH773" s="549"/>
      <c r="BI773" s="549"/>
    </row>
    <row r="774" spans="16:61" s="254" customFormat="1" ht="9.9">
      <c r="P774" s="549"/>
      <c r="Q774" s="549"/>
      <c r="R774" s="549"/>
      <c r="S774" s="549"/>
      <c r="T774" s="549"/>
      <c r="U774" s="549"/>
      <c r="V774" s="549"/>
      <c r="W774" s="549"/>
      <c r="X774" s="549"/>
      <c r="Y774" s="549"/>
      <c r="Z774" s="549"/>
      <c r="AA774" s="549"/>
      <c r="AB774" s="549"/>
      <c r="AC774" s="549"/>
      <c r="AD774" s="549"/>
      <c r="AE774" s="549"/>
      <c r="AF774" s="549"/>
      <c r="AG774" s="549"/>
      <c r="AH774" s="549"/>
      <c r="AI774" s="549"/>
      <c r="AJ774" s="549"/>
      <c r="AK774" s="549"/>
      <c r="AL774" s="549"/>
      <c r="AM774" s="549"/>
      <c r="AN774" s="549"/>
      <c r="AO774" s="549"/>
      <c r="AP774" s="549"/>
      <c r="AQ774" s="549"/>
      <c r="AR774" s="549"/>
      <c r="AS774" s="549"/>
      <c r="AT774" s="549"/>
      <c r="AU774" s="549"/>
      <c r="AV774" s="549"/>
      <c r="AW774" s="549"/>
      <c r="AX774" s="549"/>
      <c r="AY774" s="549"/>
      <c r="AZ774" s="549"/>
      <c r="BA774" s="549"/>
      <c r="BB774" s="549"/>
      <c r="BC774" s="549"/>
      <c r="BD774" s="549"/>
      <c r="BE774" s="549"/>
      <c r="BF774" s="549"/>
      <c r="BG774" s="549"/>
      <c r="BH774" s="549"/>
      <c r="BI774" s="549"/>
    </row>
    <row r="775" spans="16:61" s="254" customFormat="1" ht="9.9">
      <c r="P775" s="549"/>
      <c r="Q775" s="549"/>
      <c r="R775" s="549"/>
      <c r="S775" s="549"/>
      <c r="T775" s="549"/>
      <c r="U775" s="549"/>
      <c r="V775" s="549"/>
      <c r="W775" s="549"/>
      <c r="X775" s="549"/>
      <c r="Y775" s="549"/>
      <c r="Z775" s="549"/>
      <c r="AA775" s="549"/>
      <c r="AB775" s="549"/>
      <c r="AC775" s="549"/>
      <c r="AD775" s="549"/>
      <c r="AE775" s="549"/>
      <c r="AF775" s="549"/>
      <c r="AG775" s="549"/>
      <c r="AH775" s="549"/>
      <c r="AI775" s="549"/>
      <c r="AJ775" s="549"/>
      <c r="AK775" s="549"/>
      <c r="AL775" s="549"/>
      <c r="AM775" s="549"/>
      <c r="AN775" s="549"/>
      <c r="AO775" s="549"/>
      <c r="AP775" s="549"/>
      <c r="AQ775" s="549"/>
      <c r="AR775" s="549"/>
      <c r="AS775" s="549"/>
      <c r="AT775" s="549"/>
      <c r="AU775" s="549"/>
      <c r="AV775" s="549"/>
      <c r="AW775" s="549"/>
      <c r="AX775" s="549"/>
      <c r="AY775" s="549"/>
      <c r="AZ775" s="549"/>
      <c r="BA775" s="549"/>
      <c r="BB775" s="549"/>
      <c r="BC775" s="549"/>
      <c r="BD775" s="549"/>
      <c r="BE775" s="549"/>
      <c r="BF775" s="549"/>
      <c r="BG775" s="549"/>
      <c r="BH775" s="549"/>
      <c r="BI775" s="549"/>
    </row>
    <row r="776" spans="16:61" s="254" customFormat="1" ht="9.9">
      <c r="P776" s="549"/>
      <c r="Q776" s="549"/>
      <c r="R776" s="549"/>
      <c r="S776" s="549"/>
      <c r="T776" s="549"/>
      <c r="U776" s="549"/>
      <c r="V776" s="549"/>
      <c r="W776" s="549"/>
      <c r="X776" s="549"/>
      <c r="Y776" s="549"/>
      <c r="Z776" s="549"/>
      <c r="AA776" s="549"/>
      <c r="AB776" s="549"/>
      <c r="AC776" s="549"/>
      <c r="AD776" s="549"/>
      <c r="AE776" s="549"/>
      <c r="AF776" s="549"/>
      <c r="AG776" s="549"/>
      <c r="AH776" s="549"/>
      <c r="AI776" s="549"/>
      <c r="AJ776" s="549"/>
      <c r="AK776" s="549"/>
      <c r="AL776" s="549"/>
      <c r="AM776" s="549"/>
      <c r="AN776" s="549"/>
      <c r="AO776" s="549"/>
      <c r="AP776" s="549"/>
      <c r="AQ776" s="549"/>
      <c r="AR776" s="549"/>
      <c r="AS776" s="549"/>
      <c r="AT776" s="549"/>
      <c r="AU776" s="549"/>
      <c r="AV776" s="549"/>
      <c r="AW776" s="549"/>
      <c r="AX776" s="549"/>
      <c r="AY776" s="549"/>
      <c r="AZ776" s="549"/>
      <c r="BA776" s="549"/>
      <c r="BB776" s="549"/>
      <c r="BC776" s="549"/>
      <c r="BD776" s="549"/>
      <c r="BE776" s="549"/>
      <c r="BF776" s="549"/>
      <c r="BG776" s="549"/>
      <c r="BH776" s="549"/>
      <c r="BI776" s="549"/>
    </row>
    <row r="777" spans="16:61" s="254" customFormat="1" ht="9.9">
      <c r="P777" s="549"/>
      <c r="Q777" s="549"/>
      <c r="R777" s="549"/>
      <c r="S777" s="549"/>
      <c r="T777" s="549"/>
      <c r="U777" s="549"/>
      <c r="V777" s="549"/>
      <c r="W777" s="549"/>
      <c r="X777" s="549"/>
      <c r="Y777" s="549"/>
      <c r="Z777" s="549"/>
      <c r="AA777" s="549"/>
      <c r="AB777" s="549"/>
      <c r="AC777" s="549"/>
      <c r="AD777" s="549"/>
      <c r="AE777" s="549"/>
      <c r="AF777" s="549"/>
      <c r="AG777" s="549"/>
      <c r="AH777" s="549"/>
      <c r="AI777" s="549"/>
      <c r="AJ777" s="549"/>
      <c r="AK777" s="549"/>
      <c r="AL777" s="549"/>
      <c r="AM777" s="549"/>
      <c r="AN777" s="549"/>
      <c r="AO777" s="549"/>
      <c r="AP777" s="549"/>
      <c r="AQ777" s="549"/>
      <c r="AR777" s="549"/>
      <c r="AS777" s="549"/>
      <c r="AT777" s="549"/>
      <c r="AU777" s="549"/>
      <c r="AV777" s="549"/>
      <c r="AW777" s="549"/>
      <c r="AX777" s="549"/>
      <c r="AY777" s="549"/>
      <c r="AZ777" s="549"/>
      <c r="BA777" s="549"/>
      <c r="BB777" s="549"/>
      <c r="BC777" s="549"/>
      <c r="BD777" s="549"/>
      <c r="BE777" s="549"/>
      <c r="BF777" s="549"/>
      <c r="BG777" s="549"/>
      <c r="BH777" s="549"/>
      <c r="BI777" s="549"/>
    </row>
    <row r="778" spans="16:61" s="254" customFormat="1" ht="9.9">
      <c r="P778" s="549"/>
      <c r="Q778" s="549"/>
      <c r="R778" s="549"/>
      <c r="S778" s="549"/>
      <c r="T778" s="549"/>
      <c r="U778" s="549"/>
      <c r="V778" s="549"/>
      <c r="W778" s="549"/>
      <c r="X778" s="549"/>
      <c r="Y778" s="549"/>
      <c r="Z778" s="549"/>
      <c r="AA778" s="549"/>
      <c r="AB778" s="549"/>
      <c r="AC778" s="549"/>
      <c r="AD778" s="549"/>
      <c r="AE778" s="549"/>
      <c r="AF778" s="549"/>
      <c r="AG778" s="549"/>
      <c r="AH778" s="549"/>
      <c r="AI778" s="549"/>
      <c r="AJ778" s="549"/>
      <c r="AK778" s="549"/>
      <c r="AL778" s="549"/>
      <c r="AM778" s="549"/>
      <c r="AN778" s="549"/>
      <c r="AO778" s="549"/>
      <c r="AP778" s="549"/>
      <c r="AQ778" s="549"/>
      <c r="AR778" s="549"/>
      <c r="AS778" s="549"/>
      <c r="AT778" s="549"/>
      <c r="AU778" s="549"/>
      <c r="AV778" s="549"/>
      <c r="AW778" s="549"/>
      <c r="AX778" s="549"/>
      <c r="AY778" s="549"/>
      <c r="AZ778" s="549"/>
      <c r="BA778" s="549"/>
      <c r="BB778" s="549"/>
      <c r="BC778" s="549"/>
      <c r="BD778" s="549"/>
      <c r="BE778" s="549"/>
      <c r="BF778" s="549"/>
      <c r="BG778" s="549"/>
      <c r="BH778" s="549"/>
      <c r="BI778" s="549"/>
    </row>
    <row r="779" spans="16:61" s="254" customFormat="1" ht="9.9">
      <c r="P779" s="549"/>
      <c r="Q779" s="549"/>
      <c r="R779" s="549"/>
      <c r="S779" s="549"/>
      <c r="T779" s="549"/>
      <c r="U779" s="549"/>
      <c r="V779" s="549"/>
      <c r="W779" s="549"/>
      <c r="X779" s="549"/>
      <c r="Y779" s="549"/>
      <c r="Z779" s="549"/>
      <c r="AA779" s="549"/>
      <c r="AB779" s="549"/>
      <c r="AC779" s="549"/>
      <c r="AD779" s="549"/>
      <c r="AE779" s="549"/>
      <c r="AF779" s="549"/>
      <c r="AG779" s="549"/>
      <c r="AH779" s="549"/>
      <c r="AI779" s="549"/>
      <c r="AJ779" s="549"/>
      <c r="AK779" s="549"/>
      <c r="AL779" s="549"/>
      <c r="AM779" s="549"/>
      <c r="AN779" s="549"/>
      <c r="AO779" s="549"/>
      <c r="AP779" s="549"/>
      <c r="AQ779" s="549"/>
      <c r="AR779" s="549"/>
      <c r="AS779" s="549"/>
      <c r="AT779" s="549"/>
      <c r="AU779" s="549"/>
      <c r="AV779" s="549"/>
      <c r="AW779" s="549"/>
      <c r="AX779" s="549"/>
      <c r="AY779" s="549"/>
      <c r="AZ779" s="549"/>
      <c r="BA779" s="549"/>
      <c r="BB779" s="549"/>
      <c r="BC779" s="549"/>
      <c r="BD779" s="549"/>
      <c r="BE779" s="549"/>
      <c r="BF779" s="549"/>
      <c r="BG779" s="549"/>
      <c r="BH779" s="549"/>
      <c r="BI779" s="549"/>
    </row>
    <row r="780" spans="16:61" s="254" customFormat="1" ht="9.9">
      <c r="P780" s="549"/>
      <c r="Q780" s="549"/>
      <c r="R780" s="549"/>
      <c r="S780" s="549"/>
      <c r="T780" s="549"/>
      <c r="U780" s="549"/>
      <c r="V780" s="549"/>
      <c r="W780" s="549"/>
      <c r="X780" s="549"/>
      <c r="Y780" s="549"/>
      <c r="Z780" s="549"/>
      <c r="AA780" s="549"/>
      <c r="AB780" s="549"/>
      <c r="AC780" s="549"/>
      <c r="AD780" s="549"/>
      <c r="AE780" s="549"/>
      <c r="AF780" s="549"/>
      <c r="AG780" s="549"/>
      <c r="AH780" s="549"/>
      <c r="AI780" s="549"/>
      <c r="AJ780" s="549"/>
      <c r="AK780" s="549"/>
      <c r="AL780" s="549"/>
      <c r="AM780" s="549"/>
      <c r="AN780" s="549"/>
      <c r="AO780" s="549"/>
      <c r="AP780" s="549"/>
      <c r="AQ780" s="549"/>
      <c r="AR780" s="549"/>
      <c r="AS780" s="549"/>
      <c r="AT780" s="549"/>
      <c r="AU780" s="549"/>
      <c r="AV780" s="549"/>
      <c r="AW780" s="549"/>
      <c r="AX780" s="549"/>
      <c r="AY780" s="549"/>
      <c r="AZ780" s="549"/>
      <c r="BA780" s="549"/>
      <c r="BB780" s="549"/>
      <c r="BC780" s="549"/>
      <c r="BD780" s="549"/>
      <c r="BE780" s="549"/>
      <c r="BF780" s="549"/>
      <c r="BG780" s="549"/>
      <c r="BH780" s="549"/>
      <c r="BI780" s="549"/>
    </row>
    <row r="781" spans="16:61" s="254" customFormat="1" ht="9.9">
      <c r="P781" s="549"/>
      <c r="Q781" s="549"/>
      <c r="R781" s="549"/>
      <c r="S781" s="549"/>
      <c r="T781" s="549"/>
      <c r="U781" s="549"/>
      <c r="V781" s="549"/>
      <c r="W781" s="549"/>
      <c r="X781" s="549"/>
      <c r="Y781" s="549"/>
      <c r="Z781" s="549"/>
      <c r="AA781" s="549"/>
      <c r="AB781" s="549"/>
      <c r="AC781" s="549"/>
      <c r="AD781" s="549"/>
      <c r="AE781" s="549"/>
      <c r="AF781" s="549"/>
      <c r="AG781" s="549"/>
      <c r="AH781" s="549"/>
      <c r="AI781" s="549"/>
      <c r="AJ781" s="549"/>
      <c r="AK781" s="549"/>
      <c r="AL781" s="549"/>
      <c r="AM781" s="549"/>
      <c r="AN781" s="549"/>
      <c r="AO781" s="549"/>
      <c r="AP781" s="549"/>
      <c r="AQ781" s="549"/>
      <c r="AR781" s="549"/>
      <c r="AS781" s="549"/>
      <c r="AT781" s="549"/>
      <c r="AU781" s="549"/>
      <c r="AV781" s="549"/>
      <c r="AW781" s="549"/>
      <c r="AX781" s="549"/>
      <c r="AY781" s="549"/>
      <c r="AZ781" s="549"/>
      <c r="BA781" s="549"/>
      <c r="BB781" s="549"/>
      <c r="BC781" s="549"/>
      <c r="BD781" s="549"/>
      <c r="BE781" s="549"/>
      <c r="BF781" s="549"/>
      <c r="BG781" s="549"/>
      <c r="BH781" s="549"/>
      <c r="BI781" s="549"/>
    </row>
    <row r="782" spans="16:61" s="254" customFormat="1" ht="9.9">
      <c r="P782" s="549"/>
      <c r="Q782" s="549"/>
      <c r="R782" s="549"/>
      <c r="S782" s="549"/>
      <c r="T782" s="549"/>
      <c r="U782" s="549"/>
      <c r="V782" s="549"/>
      <c r="W782" s="549"/>
      <c r="X782" s="549"/>
      <c r="Y782" s="549"/>
      <c r="Z782" s="549"/>
      <c r="AA782" s="549"/>
      <c r="AB782" s="549"/>
      <c r="AC782" s="549"/>
      <c r="AD782" s="549"/>
      <c r="AE782" s="549"/>
      <c r="AF782" s="549"/>
      <c r="AG782" s="549"/>
      <c r="AH782" s="549"/>
      <c r="AI782" s="549"/>
      <c r="AJ782" s="549"/>
      <c r="AK782" s="549"/>
      <c r="AL782" s="549"/>
      <c r="AM782" s="549"/>
      <c r="AN782" s="549"/>
      <c r="AO782" s="549"/>
      <c r="AP782" s="549"/>
      <c r="AQ782" s="549"/>
      <c r="AR782" s="549"/>
      <c r="AS782" s="549"/>
      <c r="AT782" s="549"/>
      <c r="AU782" s="549"/>
      <c r="AV782" s="549"/>
      <c r="AW782" s="549"/>
      <c r="AX782" s="549"/>
      <c r="AY782" s="549"/>
      <c r="AZ782" s="549"/>
      <c r="BA782" s="549"/>
      <c r="BB782" s="549"/>
      <c r="BC782" s="549"/>
      <c r="BD782" s="549"/>
      <c r="BE782" s="549"/>
      <c r="BF782" s="549"/>
      <c r="BG782" s="549"/>
      <c r="BH782" s="549"/>
      <c r="BI782" s="549"/>
    </row>
    <row r="783" spans="16:61" s="254" customFormat="1" ht="9.9">
      <c r="P783" s="549"/>
      <c r="Q783" s="549"/>
      <c r="R783" s="549"/>
      <c r="S783" s="549"/>
      <c r="T783" s="549"/>
      <c r="U783" s="549"/>
      <c r="V783" s="549"/>
      <c r="W783" s="549"/>
      <c r="X783" s="549"/>
      <c r="Y783" s="549"/>
      <c r="Z783" s="549"/>
      <c r="AA783" s="549"/>
      <c r="AB783" s="549"/>
      <c r="AC783" s="549"/>
      <c r="AD783" s="549"/>
      <c r="AE783" s="549"/>
      <c r="AF783" s="549"/>
      <c r="AG783" s="549"/>
      <c r="AH783" s="549"/>
      <c r="AI783" s="549"/>
      <c r="AJ783" s="549"/>
      <c r="AK783" s="549"/>
      <c r="AL783" s="549"/>
      <c r="AM783" s="549"/>
      <c r="AN783" s="549"/>
      <c r="AO783" s="549"/>
      <c r="AP783" s="549"/>
      <c r="AQ783" s="549"/>
      <c r="AR783" s="549"/>
      <c r="AS783" s="549"/>
      <c r="AT783" s="549"/>
      <c r="AU783" s="549"/>
      <c r="AV783" s="549"/>
      <c r="AW783" s="549"/>
      <c r="AX783" s="549"/>
      <c r="AY783" s="549"/>
      <c r="AZ783" s="549"/>
      <c r="BA783" s="549"/>
      <c r="BB783" s="549"/>
      <c r="BC783" s="549"/>
      <c r="BD783" s="549"/>
      <c r="BE783" s="549"/>
      <c r="BF783" s="549"/>
      <c r="BG783" s="549"/>
      <c r="BH783" s="549"/>
      <c r="BI783" s="549"/>
    </row>
    <row r="784" spans="16:61" s="254" customFormat="1" ht="9.9">
      <c r="P784" s="549"/>
      <c r="Q784" s="549"/>
      <c r="R784" s="549"/>
      <c r="S784" s="549"/>
      <c r="T784" s="549"/>
      <c r="U784" s="549"/>
      <c r="V784" s="549"/>
      <c r="W784" s="549"/>
      <c r="X784" s="549"/>
      <c r="Y784" s="549"/>
      <c r="Z784" s="549"/>
      <c r="AA784" s="549"/>
      <c r="AB784" s="549"/>
      <c r="AC784" s="549"/>
      <c r="AD784" s="549"/>
      <c r="AE784" s="549"/>
      <c r="AF784" s="549"/>
      <c r="AG784" s="549"/>
      <c r="AH784" s="549"/>
      <c r="AI784" s="549"/>
      <c r="AJ784" s="549"/>
      <c r="AK784" s="549"/>
      <c r="AL784" s="549"/>
      <c r="AM784" s="549"/>
      <c r="AN784" s="549"/>
      <c r="AO784" s="549"/>
      <c r="AP784" s="549"/>
      <c r="AQ784" s="549"/>
      <c r="AR784" s="549"/>
      <c r="AS784" s="549"/>
      <c r="AT784" s="549"/>
      <c r="AU784" s="549"/>
      <c r="AV784" s="549"/>
      <c r="AW784" s="549"/>
      <c r="AX784" s="549"/>
      <c r="AY784" s="549"/>
      <c r="AZ784" s="549"/>
      <c r="BA784" s="549"/>
      <c r="BB784" s="549"/>
      <c r="BC784" s="549"/>
      <c r="BD784" s="549"/>
      <c r="BE784" s="549"/>
      <c r="BF784" s="549"/>
      <c r="BG784" s="549"/>
      <c r="BH784" s="549"/>
      <c r="BI784" s="549"/>
    </row>
    <row r="785" spans="16:61" s="254" customFormat="1" ht="9.9">
      <c r="P785" s="549"/>
      <c r="Q785" s="549"/>
      <c r="R785" s="549"/>
      <c r="S785" s="549"/>
      <c r="T785" s="549"/>
      <c r="U785" s="549"/>
      <c r="V785" s="549"/>
      <c r="W785" s="549"/>
      <c r="X785" s="549"/>
      <c r="Y785" s="549"/>
      <c r="Z785" s="549"/>
      <c r="AA785" s="549"/>
      <c r="AB785" s="549"/>
      <c r="AC785" s="549"/>
      <c r="AD785" s="549"/>
      <c r="AE785" s="549"/>
      <c r="AF785" s="549"/>
      <c r="AG785" s="549"/>
      <c r="AH785" s="549"/>
      <c r="AI785" s="549"/>
      <c r="AJ785" s="549"/>
      <c r="AK785" s="549"/>
      <c r="AL785" s="549"/>
      <c r="AM785" s="549"/>
      <c r="AN785" s="549"/>
      <c r="AO785" s="549"/>
      <c r="AP785" s="549"/>
      <c r="AQ785" s="549"/>
      <c r="AR785" s="549"/>
      <c r="AS785" s="549"/>
      <c r="AT785" s="549"/>
      <c r="AU785" s="549"/>
      <c r="AV785" s="549"/>
      <c r="AW785" s="549"/>
      <c r="AX785" s="549"/>
      <c r="AY785" s="549"/>
      <c r="AZ785" s="549"/>
      <c r="BA785" s="549"/>
      <c r="BB785" s="549"/>
      <c r="BC785" s="549"/>
      <c r="BD785" s="549"/>
      <c r="BE785" s="549"/>
      <c r="BF785" s="549"/>
      <c r="BG785" s="549"/>
      <c r="BH785" s="549"/>
      <c r="BI785" s="549"/>
    </row>
    <row r="786" spans="16:61" s="254" customFormat="1" ht="9.9">
      <c r="P786" s="549"/>
      <c r="Q786" s="549"/>
      <c r="R786" s="549"/>
      <c r="S786" s="549"/>
      <c r="T786" s="549"/>
      <c r="U786" s="549"/>
      <c r="V786" s="549"/>
      <c r="W786" s="549"/>
      <c r="X786" s="549"/>
      <c r="Y786" s="549"/>
      <c r="Z786" s="549"/>
      <c r="AA786" s="549"/>
      <c r="AB786" s="549"/>
      <c r="AC786" s="549"/>
      <c r="AD786" s="549"/>
      <c r="AE786" s="549"/>
      <c r="AF786" s="549"/>
      <c r="AG786" s="549"/>
      <c r="AH786" s="549"/>
      <c r="AI786" s="549"/>
      <c r="AJ786" s="549"/>
      <c r="AK786" s="549"/>
      <c r="AL786" s="549"/>
      <c r="AM786" s="549"/>
      <c r="AN786" s="549"/>
      <c r="AO786" s="549"/>
      <c r="AP786" s="549"/>
      <c r="AQ786" s="549"/>
      <c r="AR786" s="549"/>
      <c r="AS786" s="549"/>
      <c r="AT786" s="549"/>
      <c r="AU786" s="549"/>
      <c r="AV786" s="549"/>
      <c r="AW786" s="549"/>
      <c r="AX786" s="549"/>
      <c r="AY786" s="549"/>
      <c r="AZ786" s="549"/>
      <c r="BA786" s="549"/>
      <c r="BB786" s="549"/>
      <c r="BC786" s="549"/>
      <c r="BD786" s="549"/>
      <c r="BE786" s="549"/>
      <c r="BF786" s="549"/>
      <c r="BG786" s="549"/>
      <c r="BH786" s="549"/>
      <c r="BI786" s="549"/>
    </row>
    <row r="787" spans="16:61" s="254" customFormat="1" ht="9.9">
      <c r="P787" s="549"/>
      <c r="Q787" s="549"/>
      <c r="R787" s="549"/>
      <c r="S787" s="549"/>
      <c r="T787" s="549"/>
      <c r="U787" s="549"/>
      <c r="V787" s="549"/>
      <c r="W787" s="549"/>
      <c r="X787" s="549"/>
      <c r="Y787" s="549"/>
      <c r="Z787" s="549"/>
      <c r="AA787" s="549"/>
      <c r="AB787" s="549"/>
      <c r="AC787" s="549"/>
      <c r="AD787" s="549"/>
      <c r="AE787" s="549"/>
      <c r="AF787" s="549"/>
      <c r="AG787" s="549"/>
      <c r="AH787" s="549"/>
      <c r="AI787" s="549"/>
      <c r="AJ787" s="549"/>
      <c r="AK787" s="549"/>
      <c r="AL787" s="549"/>
      <c r="AM787" s="549"/>
      <c r="AN787" s="549"/>
      <c r="AO787" s="549"/>
      <c r="AP787" s="549"/>
      <c r="AQ787" s="549"/>
      <c r="AR787" s="549"/>
      <c r="AS787" s="549"/>
      <c r="AT787" s="549"/>
      <c r="AU787" s="549"/>
      <c r="AV787" s="549"/>
      <c r="AW787" s="549"/>
      <c r="AX787" s="549"/>
      <c r="AY787" s="549"/>
      <c r="AZ787" s="549"/>
      <c r="BA787" s="549"/>
      <c r="BB787" s="549"/>
      <c r="BC787" s="549"/>
      <c r="BD787" s="549"/>
      <c r="BE787" s="549"/>
      <c r="BF787" s="549"/>
      <c r="BG787" s="549"/>
      <c r="BH787" s="549"/>
      <c r="BI787" s="549"/>
    </row>
    <row r="788" spans="16:61" s="254" customFormat="1" ht="9.9">
      <c r="P788" s="549"/>
      <c r="Q788" s="549"/>
      <c r="R788" s="549"/>
      <c r="S788" s="549"/>
      <c r="T788" s="549"/>
      <c r="U788" s="549"/>
      <c r="V788" s="549"/>
      <c r="W788" s="549"/>
      <c r="X788" s="549"/>
      <c r="Y788" s="549"/>
      <c r="Z788" s="549"/>
      <c r="AA788" s="549"/>
      <c r="AB788" s="549"/>
      <c r="AC788" s="549"/>
      <c r="AD788" s="549"/>
      <c r="AE788" s="549"/>
      <c r="AF788" s="549"/>
      <c r="AG788" s="549"/>
      <c r="AH788" s="549"/>
      <c r="AI788" s="549"/>
      <c r="AJ788" s="549"/>
      <c r="AK788" s="549"/>
      <c r="AL788" s="549"/>
      <c r="AM788" s="549"/>
      <c r="AN788" s="549"/>
      <c r="AO788" s="549"/>
      <c r="AP788" s="549"/>
      <c r="AQ788" s="549"/>
      <c r="AR788" s="549"/>
      <c r="AS788" s="549"/>
      <c r="AT788" s="549"/>
      <c r="AU788" s="549"/>
      <c r="AV788" s="549"/>
      <c r="AW788" s="549"/>
      <c r="AX788" s="549"/>
      <c r="AY788" s="549"/>
      <c r="AZ788" s="549"/>
      <c r="BA788" s="549"/>
      <c r="BB788" s="549"/>
      <c r="BC788" s="549"/>
      <c r="BD788" s="549"/>
      <c r="BE788" s="549"/>
      <c r="BF788" s="549"/>
      <c r="BG788" s="549"/>
      <c r="BH788" s="549"/>
      <c r="BI788" s="549"/>
    </row>
    <row r="789" spans="16:61" s="254" customFormat="1" ht="9.9">
      <c r="P789" s="549"/>
      <c r="Q789" s="549"/>
      <c r="R789" s="549"/>
      <c r="S789" s="549"/>
      <c r="T789" s="549"/>
      <c r="U789" s="549"/>
      <c r="V789" s="549"/>
      <c r="W789" s="549"/>
      <c r="X789" s="549"/>
      <c r="Y789" s="549"/>
      <c r="Z789" s="549"/>
      <c r="AA789" s="549"/>
      <c r="AB789" s="549"/>
      <c r="AC789" s="549"/>
      <c r="AD789" s="549"/>
      <c r="AE789" s="549"/>
      <c r="AF789" s="549"/>
      <c r="AG789" s="549"/>
      <c r="AH789" s="549"/>
      <c r="AI789" s="549"/>
      <c r="AJ789" s="549"/>
      <c r="AK789" s="549"/>
      <c r="AL789" s="549"/>
      <c r="AM789" s="549"/>
      <c r="AN789" s="549"/>
      <c r="AO789" s="549"/>
      <c r="AP789" s="549"/>
      <c r="AQ789" s="549"/>
      <c r="AR789" s="549"/>
      <c r="AS789" s="549"/>
      <c r="AT789" s="549"/>
      <c r="AU789" s="549"/>
      <c r="AV789" s="549"/>
      <c r="AW789" s="549"/>
      <c r="AX789" s="549"/>
      <c r="AY789" s="549"/>
      <c r="AZ789" s="549"/>
      <c r="BA789" s="549"/>
      <c r="BB789" s="549"/>
      <c r="BC789" s="549"/>
      <c r="BD789" s="549"/>
      <c r="BE789" s="549"/>
      <c r="BF789" s="549"/>
      <c r="BG789" s="549"/>
      <c r="BH789" s="549"/>
      <c r="BI789" s="549"/>
    </row>
    <row r="790" spans="16:61" s="254" customFormat="1" ht="9.9">
      <c r="P790" s="549"/>
      <c r="Q790" s="549"/>
      <c r="R790" s="549"/>
      <c r="S790" s="549"/>
      <c r="T790" s="549"/>
      <c r="U790" s="549"/>
      <c r="V790" s="549"/>
      <c r="W790" s="549"/>
      <c r="X790" s="549"/>
      <c r="Y790" s="549"/>
      <c r="Z790" s="549"/>
      <c r="AA790" s="549"/>
      <c r="AB790" s="549"/>
      <c r="AC790" s="549"/>
      <c r="AD790" s="549"/>
      <c r="AE790" s="549"/>
      <c r="AF790" s="549"/>
      <c r="AG790" s="549"/>
      <c r="AH790" s="549"/>
      <c r="AI790" s="549"/>
      <c r="AJ790" s="549"/>
      <c r="AK790" s="549"/>
      <c r="AL790" s="549"/>
      <c r="AM790" s="549"/>
      <c r="AN790" s="549"/>
      <c r="AO790" s="549"/>
      <c r="AP790" s="549"/>
      <c r="AQ790" s="549"/>
      <c r="AR790" s="549"/>
      <c r="AS790" s="549"/>
      <c r="AT790" s="549"/>
      <c r="AU790" s="549"/>
      <c r="AV790" s="549"/>
      <c r="AW790" s="549"/>
      <c r="AX790" s="549"/>
      <c r="AY790" s="549"/>
      <c r="AZ790" s="549"/>
      <c r="BA790" s="549"/>
      <c r="BB790" s="549"/>
      <c r="BC790" s="549"/>
      <c r="BD790" s="549"/>
      <c r="BE790" s="549"/>
      <c r="BF790" s="549"/>
      <c r="BG790" s="549"/>
      <c r="BH790" s="549"/>
      <c r="BI790" s="549"/>
    </row>
    <row r="791" spans="16:61" s="254" customFormat="1" ht="9.9">
      <c r="P791" s="549"/>
      <c r="Q791" s="549"/>
      <c r="R791" s="549"/>
      <c r="S791" s="549"/>
      <c r="T791" s="549"/>
      <c r="U791" s="549"/>
      <c r="V791" s="549"/>
      <c r="W791" s="549"/>
      <c r="X791" s="549"/>
      <c r="Y791" s="549"/>
      <c r="Z791" s="549"/>
      <c r="AA791" s="549"/>
      <c r="AB791" s="549"/>
      <c r="AC791" s="549"/>
      <c r="AD791" s="549"/>
      <c r="AE791" s="549"/>
      <c r="AF791" s="549"/>
      <c r="AG791" s="549"/>
      <c r="AH791" s="549"/>
      <c r="AI791" s="549"/>
      <c r="AJ791" s="549"/>
      <c r="AK791" s="549"/>
      <c r="AL791" s="549"/>
      <c r="AM791" s="549"/>
      <c r="AN791" s="549"/>
      <c r="AO791" s="549"/>
      <c r="AP791" s="549"/>
      <c r="AQ791" s="549"/>
      <c r="AR791" s="549"/>
      <c r="AS791" s="549"/>
      <c r="AT791" s="549"/>
      <c r="AU791" s="549"/>
      <c r="AV791" s="549"/>
      <c r="AW791" s="549"/>
      <c r="AX791" s="549"/>
      <c r="AY791" s="549"/>
      <c r="AZ791" s="549"/>
      <c r="BA791" s="549"/>
      <c r="BB791" s="549"/>
      <c r="BC791" s="549"/>
      <c r="BD791" s="549"/>
      <c r="BE791" s="549"/>
      <c r="BF791" s="549"/>
      <c r="BG791" s="549"/>
      <c r="BH791" s="549"/>
      <c r="BI791" s="549"/>
    </row>
    <row r="792" spans="16:61" s="254" customFormat="1" ht="9.9">
      <c r="P792" s="549"/>
      <c r="Q792" s="549"/>
      <c r="R792" s="549"/>
      <c r="S792" s="549"/>
      <c r="T792" s="549"/>
      <c r="U792" s="549"/>
      <c r="V792" s="549"/>
      <c r="W792" s="549"/>
      <c r="X792" s="549"/>
      <c r="Y792" s="549"/>
      <c r="Z792" s="549"/>
      <c r="AA792" s="549"/>
      <c r="AB792" s="549"/>
      <c r="AC792" s="549"/>
      <c r="AD792" s="549"/>
      <c r="AE792" s="549"/>
      <c r="AF792" s="549"/>
      <c r="AG792" s="549"/>
      <c r="AH792" s="549"/>
      <c r="AI792" s="549"/>
      <c r="AJ792" s="549"/>
      <c r="AK792" s="549"/>
      <c r="AL792" s="549"/>
      <c r="AM792" s="549"/>
      <c r="AN792" s="549"/>
      <c r="AO792" s="549"/>
      <c r="AP792" s="549"/>
      <c r="AQ792" s="549"/>
      <c r="AR792" s="549"/>
      <c r="AS792" s="549"/>
      <c r="AT792" s="549"/>
      <c r="AU792" s="549"/>
      <c r="AV792" s="549"/>
      <c r="AW792" s="549"/>
      <c r="AX792" s="549"/>
      <c r="AY792" s="549"/>
      <c r="AZ792" s="549"/>
      <c r="BA792" s="549"/>
      <c r="BB792" s="549"/>
      <c r="BC792" s="549"/>
      <c r="BD792" s="549"/>
      <c r="BE792" s="549"/>
      <c r="BF792" s="549"/>
      <c r="BG792" s="549"/>
      <c r="BH792" s="549"/>
      <c r="BI792" s="549"/>
    </row>
    <row r="793" spans="16:61" s="254" customFormat="1" ht="9.9">
      <c r="P793" s="549"/>
      <c r="Q793" s="549"/>
      <c r="R793" s="549"/>
      <c r="S793" s="549"/>
      <c r="T793" s="549"/>
      <c r="U793" s="549"/>
      <c r="V793" s="549"/>
      <c r="W793" s="549"/>
      <c r="X793" s="549"/>
      <c r="Y793" s="549"/>
      <c r="Z793" s="549"/>
      <c r="AA793" s="549"/>
      <c r="AB793" s="549"/>
      <c r="AC793" s="549"/>
      <c r="AD793" s="549"/>
      <c r="AE793" s="549"/>
      <c r="AF793" s="549"/>
      <c r="AG793" s="549"/>
      <c r="AH793" s="549"/>
      <c r="AI793" s="549"/>
      <c r="AJ793" s="549"/>
      <c r="AK793" s="549"/>
      <c r="AL793" s="549"/>
      <c r="AM793" s="549"/>
      <c r="AN793" s="549"/>
      <c r="AO793" s="549"/>
      <c r="AP793" s="549"/>
      <c r="AQ793" s="549"/>
      <c r="AR793" s="549"/>
      <c r="AS793" s="549"/>
      <c r="AT793" s="549"/>
      <c r="AU793" s="549"/>
      <c r="AV793" s="549"/>
      <c r="AW793" s="549"/>
      <c r="AX793" s="549"/>
      <c r="AY793" s="549"/>
      <c r="AZ793" s="549"/>
      <c r="BA793" s="549"/>
      <c r="BB793" s="549"/>
      <c r="BC793" s="549"/>
      <c r="BD793" s="549"/>
      <c r="BE793" s="549"/>
      <c r="BF793" s="549"/>
      <c r="BG793" s="549"/>
      <c r="BH793" s="549"/>
      <c r="BI793" s="549"/>
    </row>
    <row r="794" spans="16:61" s="254" customFormat="1" ht="9.9">
      <c r="P794" s="549"/>
      <c r="Q794" s="549"/>
      <c r="R794" s="549"/>
      <c r="S794" s="549"/>
      <c r="T794" s="549"/>
      <c r="U794" s="549"/>
      <c r="V794" s="549"/>
      <c r="W794" s="549"/>
      <c r="X794" s="549"/>
      <c r="Y794" s="549"/>
      <c r="Z794" s="549"/>
      <c r="AA794" s="549"/>
      <c r="AB794" s="549"/>
      <c r="AC794" s="549"/>
      <c r="AD794" s="549"/>
      <c r="AE794" s="549"/>
      <c r="AF794" s="549"/>
      <c r="AG794" s="549"/>
      <c r="AH794" s="549"/>
      <c r="AI794" s="549"/>
      <c r="AJ794" s="549"/>
      <c r="AK794" s="549"/>
      <c r="AL794" s="549"/>
      <c r="AM794" s="549"/>
      <c r="AN794" s="549"/>
      <c r="AO794" s="549"/>
      <c r="AP794" s="549"/>
      <c r="AQ794" s="549"/>
      <c r="AR794" s="549"/>
      <c r="AS794" s="549"/>
      <c r="AT794" s="549"/>
      <c r="AU794" s="549"/>
      <c r="AV794" s="549"/>
      <c r="AW794" s="549"/>
      <c r="AX794" s="549"/>
      <c r="AY794" s="549"/>
      <c r="AZ794" s="549"/>
      <c r="BA794" s="549"/>
      <c r="BB794" s="549"/>
      <c r="BC794" s="549"/>
      <c r="BD794" s="549"/>
      <c r="BE794" s="549"/>
      <c r="BF794" s="549"/>
      <c r="BG794" s="549"/>
      <c r="BH794" s="549"/>
      <c r="BI794" s="549"/>
    </row>
    <row r="795" spans="16:61" s="254" customFormat="1" ht="9.9">
      <c r="P795" s="549"/>
      <c r="Q795" s="549"/>
      <c r="R795" s="549"/>
      <c r="S795" s="549"/>
      <c r="T795" s="549"/>
      <c r="U795" s="549"/>
      <c r="V795" s="549"/>
      <c r="W795" s="549"/>
      <c r="X795" s="549"/>
      <c r="Y795" s="549"/>
      <c r="Z795" s="549"/>
      <c r="AA795" s="549"/>
      <c r="AB795" s="549"/>
      <c r="AC795" s="549"/>
      <c r="AD795" s="549"/>
      <c r="AE795" s="549"/>
      <c r="AF795" s="549"/>
      <c r="AG795" s="549"/>
      <c r="AH795" s="549"/>
      <c r="AI795" s="549"/>
      <c r="AJ795" s="549"/>
      <c r="AK795" s="549"/>
      <c r="AL795" s="549"/>
      <c r="AM795" s="549"/>
      <c r="AN795" s="549"/>
      <c r="AO795" s="549"/>
      <c r="AP795" s="549"/>
      <c r="AQ795" s="549"/>
      <c r="AR795" s="549"/>
      <c r="AS795" s="549"/>
      <c r="AT795" s="549"/>
      <c r="AU795" s="549"/>
      <c r="AV795" s="549"/>
      <c r="AW795" s="549"/>
      <c r="AX795" s="549"/>
      <c r="AY795" s="549"/>
      <c r="AZ795" s="549"/>
      <c r="BA795" s="549"/>
      <c r="BB795" s="549"/>
      <c r="BC795" s="549"/>
      <c r="BD795" s="549"/>
      <c r="BE795" s="549"/>
      <c r="BF795" s="549"/>
      <c r="BG795" s="549"/>
      <c r="BH795" s="549"/>
      <c r="BI795" s="549"/>
    </row>
    <row r="796" spans="16:61" s="254" customFormat="1" ht="9.9">
      <c r="P796" s="549"/>
      <c r="Q796" s="549"/>
      <c r="R796" s="549"/>
      <c r="S796" s="549"/>
      <c r="T796" s="549"/>
      <c r="U796" s="549"/>
      <c r="V796" s="549"/>
      <c r="W796" s="549"/>
      <c r="X796" s="549"/>
      <c r="Y796" s="549"/>
      <c r="Z796" s="549"/>
      <c r="AA796" s="549"/>
      <c r="AB796" s="549"/>
      <c r="AC796" s="549"/>
      <c r="AD796" s="549"/>
      <c r="AE796" s="549"/>
      <c r="AF796" s="549"/>
      <c r="AG796" s="549"/>
      <c r="AH796" s="549"/>
      <c r="AI796" s="549"/>
      <c r="AJ796" s="549"/>
      <c r="AK796" s="549"/>
      <c r="AL796" s="549"/>
      <c r="AM796" s="549"/>
      <c r="AN796" s="549"/>
      <c r="AO796" s="549"/>
      <c r="AP796" s="549"/>
      <c r="AQ796" s="549"/>
      <c r="AR796" s="549"/>
      <c r="AS796" s="549"/>
      <c r="AT796" s="549"/>
      <c r="AU796" s="549"/>
      <c r="AV796" s="549"/>
      <c r="AW796" s="549"/>
      <c r="AX796" s="549"/>
      <c r="AY796" s="549"/>
      <c r="AZ796" s="549"/>
      <c r="BA796" s="549"/>
      <c r="BB796" s="549"/>
      <c r="BC796" s="549"/>
      <c r="BD796" s="549"/>
      <c r="BE796" s="549"/>
      <c r="BF796" s="549"/>
      <c r="BG796" s="549"/>
      <c r="BH796" s="549"/>
      <c r="BI796" s="549"/>
    </row>
    <row r="797" spans="16:61" s="254" customFormat="1" ht="9.9">
      <c r="P797" s="549"/>
      <c r="Q797" s="549"/>
      <c r="R797" s="549"/>
      <c r="S797" s="549"/>
      <c r="T797" s="549"/>
      <c r="U797" s="549"/>
      <c r="V797" s="549"/>
      <c r="W797" s="549"/>
      <c r="X797" s="549"/>
      <c r="Y797" s="549"/>
      <c r="Z797" s="549"/>
      <c r="AA797" s="549"/>
      <c r="AB797" s="549"/>
      <c r="AC797" s="549"/>
      <c r="AD797" s="549"/>
      <c r="AE797" s="549"/>
      <c r="AF797" s="549"/>
      <c r="AG797" s="549"/>
      <c r="AH797" s="549"/>
      <c r="AI797" s="549"/>
      <c r="AJ797" s="549"/>
      <c r="AK797" s="549"/>
      <c r="AL797" s="549"/>
      <c r="AM797" s="549"/>
      <c r="AN797" s="549"/>
      <c r="AO797" s="549"/>
      <c r="AP797" s="549"/>
      <c r="AQ797" s="549"/>
      <c r="AR797" s="549"/>
      <c r="AS797" s="549"/>
      <c r="AT797" s="549"/>
      <c r="AU797" s="549"/>
      <c r="AV797" s="549"/>
      <c r="AW797" s="549"/>
      <c r="AX797" s="549"/>
      <c r="AY797" s="549"/>
      <c r="AZ797" s="549"/>
      <c r="BA797" s="549"/>
      <c r="BB797" s="549"/>
      <c r="BC797" s="549"/>
      <c r="BD797" s="549"/>
      <c r="BE797" s="549"/>
      <c r="BF797" s="549"/>
      <c r="BG797" s="549"/>
      <c r="BH797" s="549"/>
      <c r="BI797" s="549"/>
    </row>
    <row r="798" spans="16:61" s="254" customFormat="1" ht="9.9">
      <c r="P798" s="549"/>
      <c r="Q798" s="549"/>
      <c r="R798" s="549"/>
      <c r="S798" s="549"/>
      <c r="T798" s="549"/>
      <c r="U798" s="549"/>
      <c r="V798" s="549"/>
      <c r="W798" s="549"/>
      <c r="X798" s="549"/>
      <c r="Y798" s="549"/>
      <c r="Z798" s="549"/>
      <c r="AA798" s="549"/>
      <c r="AB798" s="549"/>
      <c r="AC798" s="549"/>
      <c r="AD798" s="549"/>
      <c r="AE798" s="549"/>
      <c r="AF798" s="549"/>
      <c r="AG798" s="549"/>
      <c r="AH798" s="549"/>
      <c r="AI798" s="549"/>
      <c r="AJ798" s="549"/>
      <c r="AK798" s="549"/>
      <c r="AL798" s="549"/>
      <c r="AM798" s="549"/>
      <c r="AN798" s="549"/>
      <c r="AO798" s="549"/>
      <c r="AP798" s="549"/>
      <c r="AQ798" s="549"/>
      <c r="AR798" s="549"/>
      <c r="AS798" s="549"/>
      <c r="AT798" s="549"/>
      <c r="AU798" s="549"/>
      <c r="AV798" s="549"/>
      <c r="AW798" s="549"/>
      <c r="AX798" s="549"/>
      <c r="AY798" s="549"/>
      <c r="AZ798" s="549"/>
      <c r="BA798" s="549"/>
      <c r="BB798" s="549"/>
      <c r="BC798" s="549"/>
      <c r="BD798" s="549"/>
      <c r="BE798" s="549"/>
      <c r="BF798" s="549"/>
      <c r="BG798" s="549"/>
      <c r="BH798" s="549"/>
      <c r="BI798" s="549"/>
    </row>
    <row r="799" spans="16:61" s="254" customFormat="1" ht="9.9">
      <c r="P799" s="549"/>
      <c r="Q799" s="549"/>
      <c r="R799" s="549"/>
      <c r="S799" s="549"/>
      <c r="T799" s="549"/>
      <c r="U799" s="549"/>
      <c r="V799" s="549"/>
      <c r="W799" s="549"/>
      <c r="X799" s="549"/>
      <c r="Y799" s="549"/>
      <c r="Z799" s="549"/>
      <c r="AA799" s="549"/>
      <c r="AB799" s="549"/>
      <c r="AC799" s="549"/>
      <c r="AD799" s="549"/>
      <c r="AE799" s="549"/>
      <c r="AF799" s="549"/>
      <c r="AG799" s="549"/>
      <c r="AH799" s="549"/>
      <c r="AI799" s="549"/>
      <c r="AJ799" s="549"/>
      <c r="AK799" s="549"/>
      <c r="AL799" s="549"/>
      <c r="AM799" s="549"/>
      <c r="AN799" s="549"/>
      <c r="AO799" s="549"/>
      <c r="AP799" s="549"/>
      <c r="AQ799" s="549"/>
      <c r="AR799" s="549"/>
      <c r="AS799" s="549"/>
      <c r="AT799" s="549"/>
      <c r="AU799" s="549"/>
      <c r="AV799" s="549"/>
      <c r="AW799" s="549"/>
      <c r="AX799" s="549"/>
      <c r="AY799" s="549"/>
      <c r="AZ799" s="549"/>
      <c r="BA799" s="549"/>
      <c r="BB799" s="549"/>
      <c r="BC799" s="549"/>
      <c r="BD799" s="549"/>
      <c r="BE799" s="549"/>
      <c r="BF799" s="549"/>
      <c r="BG799" s="549"/>
      <c r="BH799" s="549"/>
      <c r="BI799" s="549"/>
    </row>
    <row r="800" spans="16:61" s="254" customFormat="1" ht="9.9">
      <c r="P800" s="549"/>
      <c r="Q800" s="549"/>
      <c r="R800" s="549"/>
      <c r="S800" s="549"/>
      <c r="T800" s="549"/>
      <c r="U800" s="549"/>
      <c r="V800" s="549"/>
      <c r="W800" s="549"/>
      <c r="X800" s="549"/>
      <c r="Y800" s="549"/>
      <c r="Z800" s="549"/>
      <c r="AA800" s="549"/>
      <c r="AB800" s="549"/>
      <c r="AC800" s="549"/>
      <c r="AD800" s="549"/>
      <c r="AE800" s="549"/>
      <c r="AF800" s="549"/>
      <c r="AG800" s="549"/>
      <c r="AH800" s="549"/>
      <c r="AI800" s="549"/>
      <c r="AJ800" s="549"/>
      <c r="AK800" s="549"/>
      <c r="AL800" s="549"/>
      <c r="AM800" s="549"/>
      <c r="AN800" s="549"/>
      <c r="AO800" s="549"/>
      <c r="AP800" s="549"/>
      <c r="AQ800" s="549"/>
      <c r="AR800" s="549"/>
      <c r="AS800" s="549"/>
      <c r="AT800" s="549"/>
      <c r="AU800" s="549"/>
      <c r="AV800" s="549"/>
      <c r="AW800" s="549"/>
      <c r="AX800" s="549"/>
      <c r="AY800" s="549"/>
      <c r="AZ800" s="549"/>
      <c r="BA800" s="549"/>
      <c r="BB800" s="549"/>
      <c r="BC800" s="549"/>
      <c r="BD800" s="549"/>
      <c r="BE800" s="549"/>
      <c r="BF800" s="549"/>
      <c r="BG800" s="549"/>
      <c r="BH800" s="549"/>
      <c r="BI800" s="549"/>
    </row>
    <row r="801" spans="16:61" s="254" customFormat="1" ht="9.9">
      <c r="P801" s="549"/>
      <c r="Q801" s="549"/>
      <c r="R801" s="549"/>
      <c r="S801" s="549"/>
      <c r="T801" s="549"/>
      <c r="U801" s="549"/>
      <c r="V801" s="549"/>
      <c r="W801" s="549"/>
      <c r="X801" s="549"/>
      <c r="Y801" s="549"/>
      <c r="Z801" s="549"/>
      <c r="AA801" s="549"/>
      <c r="AB801" s="549"/>
      <c r="AC801" s="549"/>
      <c r="AD801" s="549"/>
      <c r="AE801" s="549"/>
      <c r="AF801" s="549"/>
      <c r="AG801" s="549"/>
      <c r="AH801" s="549"/>
      <c r="AI801" s="549"/>
      <c r="AJ801" s="549"/>
      <c r="AK801" s="549"/>
      <c r="AL801" s="549"/>
      <c r="AM801" s="549"/>
      <c r="AN801" s="549"/>
      <c r="AO801" s="549"/>
      <c r="AP801" s="549"/>
      <c r="AQ801" s="549"/>
      <c r="AR801" s="549"/>
      <c r="AS801" s="549"/>
      <c r="AT801" s="549"/>
      <c r="AU801" s="549"/>
      <c r="AV801" s="549"/>
      <c r="AW801" s="549"/>
      <c r="AX801" s="549"/>
      <c r="AY801" s="549"/>
      <c r="AZ801" s="549"/>
      <c r="BA801" s="549"/>
      <c r="BB801" s="549"/>
      <c r="BC801" s="549"/>
      <c r="BD801" s="549"/>
      <c r="BE801" s="549"/>
      <c r="BF801" s="549"/>
      <c r="BG801" s="549"/>
      <c r="BH801" s="549"/>
      <c r="BI801" s="549"/>
    </row>
    <row r="802" spans="16:61" s="254" customFormat="1" ht="9.9">
      <c r="P802" s="549"/>
      <c r="Q802" s="549"/>
      <c r="R802" s="549"/>
      <c r="S802" s="549"/>
      <c r="T802" s="549"/>
      <c r="U802" s="549"/>
      <c r="V802" s="549"/>
      <c r="W802" s="549"/>
      <c r="X802" s="549"/>
      <c r="Y802" s="549"/>
      <c r="Z802" s="549"/>
      <c r="AA802" s="549"/>
      <c r="AB802" s="549"/>
      <c r="AC802" s="549"/>
      <c r="AD802" s="549"/>
      <c r="AE802" s="549"/>
      <c r="AF802" s="549"/>
      <c r="AG802" s="549"/>
      <c r="AH802" s="549"/>
      <c r="AI802" s="549"/>
      <c r="AJ802" s="549"/>
      <c r="AK802" s="549"/>
      <c r="AL802" s="549"/>
      <c r="AM802" s="549"/>
      <c r="AN802" s="549"/>
      <c r="AO802" s="549"/>
      <c r="AP802" s="549"/>
      <c r="AQ802" s="549"/>
      <c r="AR802" s="549"/>
      <c r="AS802" s="549"/>
      <c r="AT802" s="549"/>
      <c r="AU802" s="549"/>
      <c r="AV802" s="549"/>
      <c r="AW802" s="549"/>
      <c r="AX802" s="549"/>
      <c r="AY802" s="549"/>
      <c r="AZ802" s="549"/>
      <c r="BA802" s="549"/>
      <c r="BB802" s="549"/>
      <c r="BC802" s="549"/>
      <c r="BD802" s="549"/>
      <c r="BE802" s="549"/>
      <c r="BF802" s="549"/>
      <c r="BG802" s="549"/>
      <c r="BH802" s="549"/>
      <c r="BI802" s="549"/>
    </row>
    <row r="803" spans="16:61" s="254" customFormat="1" ht="9.9">
      <c r="P803" s="549"/>
      <c r="Q803" s="549"/>
      <c r="R803" s="549"/>
      <c r="S803" s="549"/>
      <c r="T803" s="549"/>
      <c r="U803" s="549"/>
      <c r="V803" s="549"/>
      <c r="W803" s="549"/>
      <c r="X803" s="549"/>
      <c r="Y803" s="549"/>
      <c r="Z803" s="549"/>
      <c r="AA803" s="549"/>
      <c r="AB803" s="549"/>
      <c r="AC803" s="549"/>
      <c r="AD803" s="549"/>
      <c r="AE803" s="549"/>
      <c r="AF803" s="549"/>
      <c r="AG803" s="549"/>
      <c r="AH803" s="549"/>
      <c r="AI803" s="549"/>
      <c r="AJ803" s="549"/>
      <c r="AK803" s="549"/>
      <c r="AL803" s="549"/>
      <c r="AM803" s="549"/>
      <c r="AN803" s="549"/>
      <c r="AO803" s="549"/>
      <c r="AP803" s="549"/>
      <c r="AQ803" s="549"/>
      <c r="AR803" s="549"/>
      <c r="AS803" s="549"/>
      <c r="AT803" s="549"/>
      <c r="AU803" s="549"/>
      <c r="AV803" s="549"/>
      <c r="AW803" s="549"/>
      <c r="AX803" s="549"/>
      <c r="AY803" s="549"/>
      <c r="AZ803" s="549"/>
      <c r="BA803" s="549"/>
      <c r="BB803" s="549"/>
      <c r="BC803" s="549"/>
      <c r="BD803" s="549"/>
      <c r="BE803" s="549"/>
      <c r="BF803" s="549"/>
      <c r="BG803" s="549"/>
      <c r="BH803" s="549"/>
      <c r="BI803" s="549"/>
    </row>
    <row r="804" spans="16:61" s="254" customFormat="1" ht="9.9">
      <c r="P804" s="549"/>
      <c r="Q804" s="549"/>
      <c r="R804" s="549"/>
      <c r="S804" s="549"/>
      <c r="T804" s="549"/>
      <c r="U804" s="549"/>
      <c r="V804" s="549"/>
      <c r="W804" s="549"/>
      <c r="X804" s="549"/>
      <c r="Y804" s="549"/>
      <c r="Z804" s="549"/>
      <c r="AA804" s="549"/>
      <c r="AB804" s="549"/>
      <c r="AC804" s="549"/>
      <c r="AD804" s="549"/>
      <c r="AE804" s="549"/>
      <c r="AF804" s="549"/>
      <c r="AG804" s="549"/>
      <c r="AH804" s="549"/>
      <c r="AI804" s="549"/>
      <c r="AJ804" s="549"/>
      <c r="AK804" s="549"/>
      <c r="AL804" s="549"/>
      <c r="AM804" s="549"/>
      <c r="AN804" s="549"/>
      <c r="AO804" s="549"/>
      <c r="AP804" s="549"/>
      <c r="AQ804" s="549"/>
      <c r="AR804" s="549"/>
      <c r="AS804" s="549"/>
      <c r="AT804" s="549"/>
      <c r="AU804" s="549"/>
      <c r="AV804" s="549"/>
      <c r="AW804" s="549"/>
      <c r="AX804" s="549"/>
      <c r="AY804" s="549"/>
      <c r="AZ804" s="549"/>
      <c r="BA804" s="549"/>
      <c r="BB804" s="549"/>
      <c r="BC804" s="549"/>
      <c r="BD804" s="549"/>
      <c r="BE804" s="549"/>
      <c r="BF804" s="549"/>
      <c r="BG804" s="549"/>
      <c r="BH804" s="549"/>
      <c r="BI804" s="549"/>
    </row>
    <row r="805" spans="16:61" s="254" customFormat="1" ht="9.9">
      <c r="P805" s="549"/>
      <c r="Q805" s="549"/>
      <c r="R805" s="549"/>
      <c r="S805" s="549"/>
      <c r="T805" s="549"/>
      <c r="U805" s="549"/>
      <c r="V805" s="549"/>
      <c r="W805" s="549"/>
      <c r="X805" s="549"/>
      <c r="Y805" s="549"/>
      <c r="Z805" s="549"/>
      <c r="AA805" s="549"/>
      <c r="AB805" s="549"/>
      <c r="AC805" s="549"/>
      <c r="AD805" s="549"/>
      <c r="AE805" s="549"/>
      <c r="AF805" s="549"/>
      <c r="AG805" s="549"/>
      <c r="AH805" s="549"/>
      <c r="AI805" s="549"/>
      <c r="AJ805" s="549"/>
      <c r="AK805" s="549"/>
      <c r="AL805" s="549"/>
      <c r="AM805" s="549"/>
      <c r="AN805" s="549"/>
      <c r="AO805" s="549"/>
      <c r="AP805" s="549"/>
      <c r="AQ805" s="549"/>
      <c r="AR805" s="549"/>
      <c r="AS805" s="549"/>
      <c r="AT805" s="549"/>
      <c r="AU805" s="549"/>
      <c r="AV805" s="549"/>
      <c r="AW805" s="549"/>
      <c r="AX805" s="549"/>
      <c r="AY805" s="549"/>
      <c r="AZ805" s="549"/>
      <c r="BA805" s="549"/>
      <c r="BB805" s="549"/>
      <c r="BC805" s="549"/>
      <c r="BD805" s="549"/>
      <c r="BE805" s="549"/>
      <c r="BF805" s="549"/>
      <c r="BG805" s="549"/>
      <c r="BH805" s="549"/>
      <c r="BI805" s="549"/>
    </row>
    <row r="806" spans="16:61" s="254" customFormat="1" ht="9.9">
      <c r="P806" s="549"/>
      <c r="Q806" s="549"/>
      <c r="R806" s="549"/>
      <c r="S806" s="549"/>
      <c r="T806" s="549"/>
      <c r="U806" s="549"/>
      <c r="V806" s="549"/>
      <c r="W806" s="549"/>
      <c r="X806" s="549"/>
      <c r="Y806" s="549"/>
      <c r="Z806" s="549"/>
      <c r="AA806" s="549"/>
      <c r="AB806" s="549"/>
      <c r="AC806" s="549"/>
      <c r="AD806" s="549"/>
      <c r="AE806" s="549"/>
      <c r="AF806" s="549"/>
      <c r="AG806" s="549"/>
      <c r="AH806" s="549"/>
      <c r="AI806" s="549"/>
      <c r="AJ806" s="549"/>
      <c r="AK806" s="549"/>
      <c r="AL806" s="549"/>
      <c r="AM806" s="549"/>
      <c r="AN806" s="549"/>
      <c r="AO806" s="549"/>
      <c r="AP806" s="549"/>
      <c r="AQ806" s="549"/>
      <c r="AR806" s="549"/>
      <c r="AS806" s="549"/>
      <c r="AT806" s="549"/>
      <c r="AU806" s="549"/>
      <c r="AV806" s="549"/>
      <c r="AW806" s="549"/>
      <c r="AX806" s="549"/>
      <c r="AY806" s="549"/>
      <c r="AZ806" s="549"/>
      <c r="BA806" s="549"/>
      <c r="BB806" s="549"/>
      <c r="BC806" s="549"/>
      <c r="BD806" s="549"/>
      <c r="BE806" s="549"/>
      <c r="BF806" s="549"/>
      <c r="BG806" s="549"/>
      <c r="BH806" s="549"/>
      <c r="BI806" s="549"/>
    </row>
    <row r="807" spans="16:61" s="254" customFormat="1" ht="9.9">
      <c r="P807" s="549"/>
      <c r="Q807" s="549"/>
      <c r="R807" s="549"/>
      <c r="S807" s="549"/>
      <c r="T807" s="549"/>
      <c r="U807" s="549"/>
      <c r="V807" s="549"/>
      <c r="W807" s="549"/>
      <c r="X807" s="549"/>
      <c r="Y807" s="549"/>
      <c r="Z807" s="549"/>
      <c r="AA807" s="549"/>
      <c r="AB807" s="549"/>
      <c r="AC807" s="549"/>
      <c r="AD807" s="549"/>
      <c r="AE807" s="549"/>
      <c r="AF807" s="549"/>
      <c r="AG807" s="549"/>
      <c r="AH807" s="549"/>
      <c r="AI807" s="549"/>
      <c r="AJ807" s="549"/>
      <c r="AK807" s="549"/>
      <c r="AL807" s="549"/>
      <c r="AM807" s="549"/>
      <c r="AN807" s="549"/>
      <c r="AO807" s="549"/>
      <c r="AP807" s="549"/>
      <c r="AQ807" s="549"/>
      <c r="AR807" s="549"/>
      <c r="AS807" s="549"/>
      <c r="AT807" s="549"/>
      <c r="AU807" s="549"/>
      <c r="AV807" s="549"/>
      <c r="AW807" s="549"/>
      <c r="AX807" s="549"/>
      <c r="AY807" s="549"/>
      <c r="AZ807" s="549"/>
      <c r="BA807" s="549"/>
      <c r="BB807" s="549"/>
      <c r="BC807" s="549"/>
      <c r="BD807" s="549"/>
      <c r="BE807" s="549"/>
      <c r="BF807" s="549"/>
      <c r="BG807" s="549"/>
      <c r="BH807" s="549"/>
      <c r="BI807" s="549"/>
    </row>
    <row r="808" spans="16:61" s="254" customFormat="1" ht="9.9">
      <c r="P808" s="549"/>
      <c r="Q808" s="549"/>
      <c r="R808" s="549"/>
      <c r="S808" s="549"/>
      <c r="T808" s="549"/>
      <c r="U808" s="549"/>
      <c r="V808" s="549"/>
      <c r="W808" s="549"/>
      <c r="X808" s="549"/>
      <c r="Y808" s="549"/>
      <c r="Z808" s="549"/>
      <c r="AA808" s="549"/>
      <c r="AB808" s="549"/>
      <c r="AC808" s="549"/>
      <c r="AD808" s="549"/>
      <c r="AE808" s="549"/>
      <c r="AF808" s="549"/>
      <c r="AG808" s="549"/>
      <c r="AH808" s="549"/>
      <c r="AI808" s="549"/>
      <c r="AJ808" s="549"/>
      <c r="AK808" s="549"/>
      <c r="AL808" s="549"/>
      <c r="AM808" s="549"/>
      <c r="AN808" s="549"/>
      <c r="AO808" s="549"/>
      <c r="AP808" s="549"/>
      <c r="AQ808" s="549"/>
      <c r="AR808" s="549"/>
      <c r="AS808" s="549"/>
      <c r="AT808" s="549"/>
      <c r="AU808" s="549"/>
      <c r="AV808" s="549"/>
      <c r="AW808" s="549"/>
      <c r="AX808" s="549"/>
      <c r="AY808" s="549"/>
      <c r="AZ808" s="549"/>
      <c r="BA808" s="549"/>
      <c r="BB808" s="549"/>
      <c r="BC808" s="549"/>
      <c r="BD808" s="549"/>
      <c r="BE808" s="549"/>
      <c r="BF808" s="549"/>
      <c r="BG808" s="549"/>
      <c r="BH808" s="549"/>
      <c r="BI808" s="549"/>
    </row>
    <row r="809" spans="16:61" s="254" customFormat="1" ht="9.9">
      <c r="P809" s="549"/>
      <c r="Q809" s="549"/>
      <c r="R809" s="549"/>
      <c r="S809" s="549"/>
      <c r="T809" s="549"/>
      <c r="U809" s="549"/>
      <c r="V809" s="549"/>
      <c r="W809" s="549"/>
      <c r="X809" s="549"/>
      <c r="Y809" s="549"/>
      <c r="Z809" s="549"/>
      <c r="AA809" s="549"/>
      <c r="AB809" s="549"/>
      <c r="AC809" s="549"/>
      <c r="AD809" s="549"/>
      <c r="AE809" s="549"/>
      <c r="AF809" s="549"/>
      <c r="AG809" s="549"/>
      <c r="AH809" s="549"/>
      <c r="AI809" s="549"/>
      <c r="AJ809" s="549"/>
      <c r="AK809" s="549"/>
      <c r="AL809" s="549"/>
      <c r="AM809" s="549"/>
      <c r="AN809" s="549"/>
      <c r="AO809" s="549"/>
      <c r="AP809" s="549"/>
      <c r="AQ809" s="549"/>
      <c r="AR809" s="549"/>
      <c r="AS809" s="549"/>
      <c r="AT809" s="549"/>
      <c r="AU809" s="549"/>
      <c r="AV809" s="549"/>
      <c r="AW809" s="549"/>
      <c r="AX809" s="549"/>
      <c r="AY809" s="549"/>
      <c r="AZ809" s="549"/>
      <c r="BA809" s="549"/>
      <c r="BB809" s="549"/>
      <c r="BC809" s="549"/>
      <c r="BD809" s="549"/>
      <c r="BE809" s="549"/>
      <c r="BF809" s="549"/>
      <c r="BG809" s="549"/>
      <c r="BH809" s="549"/>
      <c r="BI809" s="549"/>
    </row>
    <row r="810" spans="16:61" s="254" customFormat="1" ht="9.9">
      <c r="P810" s="549"/>
      <c r="Q810" s="549"/>
      <c r="R810" s="549"/>
      <c r="S810" s="549"/>
      <c r="T810" s="549"/>
      <c r="U810" s="549"/>
      <c r="V810" s="549"/>
      <c r="W810" s="549"/>
      <c r="X810" s="549"/>
      <c r="Y810" s="549"/>
      <c r="Z810" s="549"/>
      <c r="AA810" s="549"/>
      <c r="AB810" s="549"/>
      <c r="AC810" s="549"/>
      <c r="AD810" s="549"/>
      <c r="AE810" s="549"/>
      <c r="AF810" s="549"/>
      <c r="AG810" s="549"/>
      <c r="AH810" s="549"/>
      <c r="AI810" s="549"/>
      <c r="AJ810" s="549"/>
      <c r="AK810" s="549"/>
      <c r="AL810" s="549"/>
      <c r="AM810" s="549"/>
      <c r="AN810" s="549"/>
      <c r="AO810" s="549"/>
      <c r="AP810" s="549"/>
      <c r="AQ810" s="549"/>
      <c r="AR810" s="549"/>
      <c r="AS810" s="549"/>
      <c r="AT810" s="549"/>
      <c r="AU810" s="549"/>
      <c r="AV810" s="549"/>
      <c r="AW810" s="549"/>
      <c r="AX810" s="549"/>
      <c r="AY810" s="549"/>
      <c r="AZ810" s="549"/>
      <c r="BA810" s="549"/>
      <c r="BB810" s="549"/>
      <c r="BC810" s="549"/>
      <c r="BD810" s="549"/>
      <c r="BE810" s="549"/>
      <c r="BF810" s="549"/>
      <c r="BG810" s="549"/>
      <c r="BH810" s="549"/>
      <c r="BI810" s="549"/>
    </row>
    <row r="811" spans="16:61" s="254" customFormat="1" ht="9.9">
      <c r="P811" s="549"/>
      <c r="Q811" s="549"/>
      <c r="R811" s="549"/>
      <c r="S811" s="549"/>
      <c r="T811" s="549"/>
      <c r="U811" s="549"/>
      <c r="V811" s="549"/>
      <c r="W811" s="549"/>
      <c r="X811" s="549"/>
      <c r="Y811" s="549"/>
      <c r="Z811" s="549"/>
      <c r="AA811" s="549"/>
      <c r="AB811" s="549"/>
      <c r="AC811" s="549"/>
      <c r="AD811" s="549"/>
      <c r="AE811" s="549"/>
      <c r="AF811" s="549"/>
      <c r="AG811" s="549"/>
      <c r="AH811" s="549"/>
      <c r="AI811" s="549"/>
      <c r="AJ811" s="549"/>
      <c r="AK811" s="549"/>
      <c r="AL811" s="549"/>
      <c r="AM811" s="549"/>
      <c r="AN811" s="549"/>
      <c r="AO811" s="549"/>
      <c r="AP811" s="549"/>
      <c r="AQ811" s="549"/>
      <c r="AR811" s="549"/>
      <c r="AS811" s="549"/>
      <c r="AT811" s="549"/>
      <c r="AU811" s="549"/>
      <c r="AV811" s="549"/>
      <c r="AW811" s="549"/>
      <c r="AX811" s="549"/>
      <c r="AY811" s="549"/>
      <c r="AZ811" s="549"/>
      <c r="BA811" s="549"/>
      <c r="BB811" s="549"/>
      <c r="BC811" s="549"/>
      <c r="BD811" s="549"/>
      <c r="BE811" s="549"/>
      <c r="BF811" s="549"/>
      <c r="BG811" s="549"/>
      <c r="BH811" s="549"/>
      <c r="BI811" s="549"/>
    </row>
    <row r="812" spans="16:61" s="254" customFormat="1" ht="9.9">
      <c r="P812" s="549"/>
      <c r="Q812" s="549"/>
      <c r="R812" s="549"/>
      <c r="S812" s="549"/>
      <c r="T812" s="549"/>
      <c r="U812" s="549"/>
      <c r="V812" s="549"/>
      <c r="W812" s="549"/>
      <c r="X812" s="549"/>
      <c r="Y812" s="549"/>
      <c r="Z812" s="549"/>
      <c r="AA812" s="549"/>
      <c r="AB812" s="549"/>
      <c r="AC812" s="549"/>
      <c r="AD812" s="549"/>
      <c r="AE812" s="549"/>
      <c r="AF812" s="549"/>
      <c r="AG812" s="549"/>
      <c r="AH812" s="549"/>
      <c r="AI812" s="549"/>
      <c r="AJ812" s="549"/>
      <c r="AK812" s="549"/>
      <c r="AL812" s="549"/>
      <c r="AM812" s="549"/>
      <c r="AN812" s="549"/>
      <c r="AO812" s="549"/>
      <c r="AP812" s="549"/>
      <c r="AQ812" s="549"/>
      <c r="AR812" s="549"/>
      <c r="AS812" s="549"/>
      <c r="AT812" s="549"/>
      <c r="AU812" s="549"/>
      <c r="AV812" s="549"/>
      <c r="AW812" s="549"/>
      <c r="AX812" s="549"/>
      <c r="AY812" s="549"/>
      <c r="AZ812" s="549"/>
      <c r="BA812" s="549"/>
      <c r="BB812" s="549"/>
      <c r="BC812" s="549"/>
      <c r="BD812" s="549"/>
      <c r="BE812" s="549"/>
      <c r="BF812" s="549"/>
      <c r="BG812" s="549"/>
      <c r="BH812" s="549"/>
      <c r="BI812" s="549"/>
    </row>
    <row r="813" spans="16:61" s="254" customFormat="1" ht="9.9">
      <c r="P813" s="549"/>
      <c r="Q813" s="549"/>
      <c r="R813" s="549"/>
      <c r="S813" s="549"/>
      <c r="T813" s="549"/>
      <c r="U813" s="549"/>
      <c r="V813" s="549"/>
      <c r="W813" s="549"/>
      <c r="X813" s="549"/>
      <c r="Y813" s="549"/>
      <c r="Z813" s="549"/>
      <c r="AA813" s="549"/>
      <c r="AB813" s="549"/>
      <c r="AC813" s="549"/>
      <c r="AD813" s="549"/>
      <c r="AE813" s="549"/>
      <c r="AF813" s="549"/>
      <c r="AG813" s="549"/>
      <c r="AH813" s="549"/>
      <c r="AI813" s="549"/>
      <c r="AJ813" s="549"/>
      <c r="AK813" s="549"/>
      <c r="AL813" s="549"/>
      <c r="AM813" s="549"/>
      <c r="AN813" s="549"/>
      <c r="AO813" s="549"/>
      <c r="AP813" s="549"/>
      <c r="AQ813" s="549"/>
      <c r="AR813" s="549"/>
      <c r="AS813" s="549"/>
      <c r="AT813" s="549"/>
      <c r="AU813" s="549"/>
      <c r="AV813" s="549"/>
      <c r="AW813" s="549"/>
      <c r="AX813" s="549"/>
      <c r="AY813" s="549"/>
      <c r="AZ813" s="549"/>
      <c r="BA813" s="549"/>
      <c r="BB813" s="549"/>
      <c r="BC813" s="549"/>
      <c r="BD813" s="549"/>
      <c r="BE813" s="549"/>
      <c r="BF813" s="549"/>
      <c r="BG813" s="549"/>
      <c r="BH813" s="549"/>
      <c r="BI813" s="549"/>
    </row>
    <row r="814" spans="16:61" s="254" customFormat="1" ht="9.9">
      <c r="P814" s="549"/>
      <c r="Q814" s="549"/>
      <c r="R814" s="549"/>
      <c r="S814" s="549"/>
      <c r="T814" s="549"/>
      <c r="U814" s="549"/>
      <c r="V814" s="549"/>
      <c r="W814" s="549"/>
      <c r="X814" s="549"/>
      <c r="Y814" s="549"/>
      <c r="Z814" s="549"/>
      <c r="AA814" s="549"/>
      <c r="AB814" s="549"/>
      <c r="AC814" s="549"/>
      <c r="AD814" s="549"/>
      <c r="AE814" s="549"/>
      <c r="AF814" s="549"/>
      <c r="AG814" s="549"/>
      <c r="AH814" s="549"/>
      <c r="AI814" s="549"/>
      <c r="AJ814" s="549"/>
      <c r="AK814" s="549"/>
      <c r="AL814" s="549"/>
      <c r="AM814" s="549"/>
      <c r="AN814" s="549"/>
      <c r="AO814" s="549"/>
      <c r="AP814" s="549"/>
      <c r="AQ814" s="549"/>
      <c r="AR814" s="549"/>
      <c r="AS814" s="549"/>
      <c r="AT814" s="549"/>
      <c r="AU814" s="549"/>
      <c r="AV814" s="549"/>
      <c r="AW814" s="549"/>
      <c r="AX814" s="549"/>
      <c r="AY814" s="549"/>
      <c r="AZ814" s="549"/>
      <c r="BA814" s="549"/>
      <c r="BB814" s="549"/>
      <c r="BC814" s="549"/>
      <c r="BD814" s="549"/>
      <c r="BE814" s="549"/>
      <c r="BF814" s="549"/>
      <c r="BG814" s="549"/>
      <c r="BH814" s="549"/>
      <c r="BI814" s="549"/>
    </row>
    <row r="815" spans="16:61" s="254" customFormat="1" ht="9.9">
      <c r="P815" s="549"/>
      <c r="Q815" s="549"/>
      <c r="R815" s="549"/>
      <c r="S815" s="549"/>
      <c r="T815" s="549"/>
      <c r="U815" s="549"/>
      <c r="V815" s="549"/>
      <c r="W815" s="549"/>
      <c r="X815" s="549"/>
      <c r="Y815" s="549"/>
      <c r="Z815" s="549"/>
      <c r="AA815" s="549"/>
      <c r="AB815" s="549"/>
      <c r="AC815" s="549"/>
      <c r="AD815" s="549"/>
      <c r="AE815" s="549"/>
      <c r="AF815" s="549"/>
      <c r="AG815" s="549"/>
      <c r="AH815" s="549"/>
      <c r="AI815" s="549"/>
      <c r="AJ815" s="549"/>
      <c r="AK815" s="549"/>
      <c r="AL815" s="549"/>
      <c r="AM815" s="549"/>
      <c r="AN815" s="549"/>
      <c r="AO815" s="549"/>
      <c r="AP815" s="549"/>
      <c r="AQ815" s="549"/>
      <c r="AR815" s="549"/>
      <c r="AS815" s="549"/>
      <c r="AT815" s="549"/>
      <c r="AU815" s="549"/>
      <c r="AV815" s="549"/>
      <c r="AW815" s="549"/>
      <c r="AX815" s="549"/>
      <c r="AY815" s="549"/>
      <c r="AZ815" s="549"/>
      <c r="BA815" s="549"/>
      <c r="BB815" s="549"/>
      <c r="BC815" s="549"/>
      <c r="BD815" s="549"/>
      <c r="BE815" s="549"/>
      <c r="BF815" s="549"/>
      <c r="BG815" s="549"/>
      <c r="BH815" s="549"/>
      <c r="BI815" s="549"/>
    </row>
    <row r="816" spans="16:61" s="254" customFormat="1" ht="9.9">
      <c r="P816" s="549"/>
      <c r="Q816" s="549"/>
      <c r="R816" s="549"/>
      <c r="S816" s="549"/>
      <c r="T816" s="549"/>
      <c r="U816" s="549"/>
      <c r="V816" s="549"/>
      <c r="W816" s="549"/>
      <c r="X816" s="549"/>
      <c r="Y816" s="549"/>
      <c r="Z816" s="549"/>
      <c r="AA816" s="549"/>
      <c r="AB816" s="549"/>
      <c r="AC816" s="549"/>
      <c r="AD816" s="549"/>
      <c r="AE816" s="549"/>
      <c r="AF816" s="549"/>
      <c r="AG816" s="549"/>
      <c r="AH816" s="549"/>
      <c r="AI816" s="549"/>
      <c r="AJ816" s="549"/>
      <c r="AK816" s="549"/>
      <c r="AL816" s="549"/>
      <c r="AM816" s="549"/>
      <c r="AN816" s="549"/>
      <c r="AO816" s="549"/>
      <c r="AP816" s="549"/>
      <c r="AQ816" s="549"/>
      <c r="AR816" s="549"/>
      <c r="AS816" s="549"/>
      <c r="AT816" s="549"/>
      <c r="AU816" s="549"/>
      <c r="AV816" s="549"/>
      <c r="AW816" s="549"/>
      <c r="AX816" s="549"/>
      <c r="AY816" s="549"/>
      <c r="AZ816" s="549"/>
      <c r="BA816" s="549"/>
      <c r="BB816" s="549"/>
      <c r="BC816" s="549"/>
      <c r="BD816" s="549"/>
      <c r="BE816" s="549"/>
      <c r="BF816" s="549"/>
      <c r="BG816" s="549"/>
      <c r="BH816" s="549"/>
      <c r="BI816" s="549"/>
    </row>
    <row r="817" spans="16:61" s="254" customFormat="1" ht="9.9">
      <c r="P817" s="549"/>
      <c r="Q817" s="549"/>
      <c r="R817" s="549"/>
      <c r="S817" s="549"/>
      <c r="T817" s="549"/>
      <c r="U817" s="549"/>
      <c r="V817" s="549"/>
      <c r="W817" s="549"/>
      <c r="X817" s="549"/>
      <c r="Y817" s="549"/>
      <c r="Z817" s="549"/>
      <c r="AA817" s="549"/>
      <c r="AB817" s="549"/>
      <c r="AC817" s="549"/>
      <c r="AD817" s="549"/>
      <c r="AE817" s="549"/>
      <c r="AF817" s="549"/>
      <c r="AG817" s="549"/>
      <c r="AH817" s="549"/>
      <c r="AI817" s="549"/>
      <c r="AJ817" s="549"/>
      <c r="AK817" s="549"/>
      <c r="AL817" s="549"/>
      <c r="AM817" s="549"/>
      <c r="AN817" s="549"/>
      <c r="AO817" s="549"/>
      <c r="AP817" s="549"/>
      <c r="AQ817" s="549"/>
      <c r="AR817" s="549"/>
      <c r="AS817" s="549"/>
      <c r="AT817" s="549"/>
      <c r="AU817" s="549"/>
      <c r="AV817" s="549"/>
      <c r="AW817" s="549"/>
      <c r="AX817" s="549"/>
      <c r="AY817" s="549"/>
      <c r="AZ817" s="549"/>
      <c r="BA817" s="549"/>
      <c r="BB817" s="549"/>
      <c r="BC817" s="549"/>
      <c r="BD817" s="549"/>
      <c r="BE817" s="549"/>
      <c r="BF817" s="549"/>
      <c r="BG817" s="549"/>
      <c r="BH817" s="549"/>
      <c r="BI817" s="549"/>
    </row>
    <row r="818" spans="16:61" s="254" customFormat="1" ht="9.9">
      <c r="P818" s="549"/>
      <c r="Q818" s="549"/>
      <c r="R818" s="549"/>
      <c r="S818" s="549"/>
      <c r="T818" s="549"/>
      <c r="U818" s="549"/>
      <c r="V818" s="549"/>
      <c r="W818" s="549"/>
      <c r="X818" s="549"/>
      <c r="Y818" s="549"/>
      <c r="Z818" s="549"/>
      <c r="AA818" s="549"/>
      <c r="AB818" s="549"/>
      <c r="AC818" s="549"/>
      <c r="AD818" s="549"/>
      <c r="AE818" s="549"/>
      <c r="AF818" s="549"/>
      <c r="AG818" s="549"/>
      <c r="AH818" s="549"/>
      <c r="AI818" s="549"/>
      <c r="AJ818" s="549"/>
      <c r="AK818" s="549"/>
      <c r="AL818" s="549"/>
      <c r="AM818" s="549"/>
      <c r="AN818" s="549"/>
      <c r="AO818" s="549"/>
      <c r="AP818" s="549"/>
      <c r="AQ818" s="549"/>
      <c r="AR818" s="549"/>
      <c r="AS818" s="549"/>
      <c r="AT818" s="549"/>
      <c r="AU818" s="549"/>
      <c r="AV818" s="549"/>
      <c r="AW818" s="549"/>
      <c r="AX818" s="549"/>
      <c r="AY818" s="549"/>
      <c r="AZ818" s="549"/>
      <c r="BA818" s="549"/>
      <c r="BB818" s="549"/>
      <c r="BC818" s="549"/>
      <c r="BD818" s="549"/>
      <c r="BE818" s="549"/>
      <c r="BF818" s="549"/>
      <c r="BG818" s="549"/>
      <c r="BH818" s="549"/>
      <c r="BI818" s="549"/>
    </row>
    <row r="819" spans="16:61" s="254" customFormat="1" ht="9.9">
      <c r="P819" s="549"/>
      <c r="Q819" s="549"/>
      <c r="R819" s="549"/>
      <c r="S819" s="549"/>
      <c r="T819" s="549"/>
      <c r="U819" s="549"/>
      <c r="V819" s="549"/>
      <c r="W819" s="549"/>
      <c r="X819" s="549"/>
      <c r="Y819" s="549"/>
      <c r="Z819" s="549"/>
      <c r="AA819" s="549"/>
      <c r="AB819" s="549"/>
      <c r="AC819" s="549"/>
      <c r="AD819" s="549"/>
      <c r="AE819" s="549"/>
      <c r="AF819" s="549"/>
      <c r="AG819" s="549"/>
      <c r="AH819" s="549"/>
      <c r="AI819" s="549"/>
      <c r="AJ819" s="549"/>
      <c r="AK819" s="549"/>
      <c r="AL819" s="549"/>
      <c r="AM819" s="549"/>
      <c r="AN819" s="549"/>
      <c r="AO819" s="549"/>
      <c r="AP819" s="549"/>
      <c r="AQ819" s="549"/>
      <c r="AR819" s="549"/>
      <c r="AS819" s="549"/>
      <c r="AT819" s="549"/>
      <c r="AU819" s="549"/>
      <c r="AV819" s="549"/>
      <c r="AW819" s="549"/>
      <c r="AX819" s="549"/>
      <c r="AY819" s="549"/>
      <c r="AZ819" s="549"/>
      <c r="BA819" s="549"/>
      <c r="BB819" s="549"/>
      <c r="BC819" s="549"/>
      <c r="BD819" s="549"/>
      <c r="BE819" s="549"/>
      <c r="BF819" s="549"/>
      <c r="BG819" s="549"/>
      <c r="BH819" s="549"/>
      <c r="BI819" s="549"/>
    </row>
    <row r="820" spans="16:61" s="254" customFormat="1" ht="9.9">
      <c r="P820" s="549"/>
      <c r="Q820" s="549"/>
      <c r="R820" s="549"/>
      <c r="S820" s="549"/>
      <c r="T820" s="549"/>
      <c r="U820" s="549"/>
      <c r="V820" s="549"/>
      <c r="W820" s="549"/>
      <c r="X820" s="549"/>
      <c r="Y820" s="549"/>
      <c r="Z820" s="549"/>
      <c r="AA820" s="549"/>
      <c r="AB820" s="549"/>
      <c r="AC820" s="549"/>
      <c r="AD820" s="549"/>
      <c r="AE820" s="549"/>
      <c r="AF820" s="549"/>
      <c r="AG820" s="549"/>
      <c r="AH820" s="549"/>
      <c r="AI820" s="549"/>
      <c r="AJ820" s="549"/>
      <c r="AK820" s="549"/>
      <c r="AL820" s="549"/>
      <c r="AM820" s="549"/>
      <c r="AN820" s="549"/>
      <c r="AO820" s="549"/>
      <c r="AP820" s="549"/>
      <c r="AQ820" s="549"/>
      <c r="AR820" s="549"/>
      <c r="AS820" s="549"/>
      <c r="AT820" s="549"/>
      <c r="AU820" s="549"/>
      <c r="AV820" s="549"/>
      <c r="AW820" s="549"/>
      <c r="AX820" s="549"/>
      <c r="AY820" s="549"/>
      <c r="AZ820" s="549"/>
      <c r="BA820" s="549"/>
      <c r="BB820" s="549"/>
      <c r="BC820" s="549"/>
      <c r="BD820" s="549"/>
      <c r="BE820" s="549"/>
      <c r="BF820" s="549"/>
      <c r="BG820" s="549"/>
      <c r="BH820" s="549"/>
      <c r="BI820" s="549"/>
    </row>
    <row r="821" spans="16:61" s="254" customFormat="1" ht="9.9">
      <c r="P821" s="549"/>
      <c r="Q821" s="549"/>
      <c r="R821" s="549"/>
      <c r="S821" s="549"/>
      <c r="T821" s="549"/>
      <c r="U821" s="549"/>
      <c r="V821" s="549"/>
      <c r="W821" s="549"/>
      <c r="X821" s="549"/>
      <c r="Y821" s="549"/>
      <c r="Z821" s="549"/>
      <c r="AA821" s="549"/>
      <c r="AB821" s="549"/>
      <c r="AC821" s="549"/>
      <c r="AD821" s="549"/>
      <c r="AE821" s="549"/>
      <c r="AF821" s="549"/>
      <c r="AG821" s="549"/>
      <c r="AH821" s="549"/>
      <c r="AI821" s="549"/>
      <c r="AJ821" s="549"/>
      <c r="AK821" s="549"/>
      <c r="AL821" s="549"/>
      <c r="AM821" s="549"/>
      <c r="AN821" s="549"/>
      <c r="AO821" s="549"/>
      <c r="AP821" s="549"/>
      <c r="AQ821" s="549"/>
      <c r="AR821" s="549"/>
      <c r="AS821" s="549"/>
      <c r="AT821" s="549"/>
      <c r="AU821" s="549"/>
      <c r="AV821" s="549"/>
      <c r="AW821" s="549"/>
      <c r="AX821" s="549"/>
      <c r="AY821" s="549"/>
      <c r="AZ821" s="549"/>
      <c r="BA821" s="549"/>
      <c r="BB821" s="549"/>
      <c r="BC821" s="549"/>
      <c r="BD821" s="549"/>
      <c r="BE821" s="549"/>
      <c r="BF821" s="549"/>
      <c r="BG821" s="549"/>
      <c r="BH821" s="549"/>
      <c r="BI821" s="549"/>
    </row>
    <row r="822" spans="16:61" s="254" customFormat="1" ht="9.9">
      <c r="P822" s="549"/>
      <c r="Q822" s="549"/>
      <c r="R822" s="549"/>
      <c r="S822" s="549"/>
      <c r="T822" s="549"/>
      <c r="U822" s="549"/>
      <c r="V822" s="549"/>
      <c r="W822" s="549"/>
      <c r="X822" s="549"/>
      <c r="Y822" s="549"/>
      <c r="Z822" s="549"/>
      <c r="AA822" s="549"/>
      <c r="AB822" s="549"/>
      <c r="AC822" s="549"/>
      <c r="AD822" s="549"/>
      <c r="AE822" s="549"/>
      <c r="AF822" s="549"/>
      <c r="AG822" s="549"/>
      <c r="AH822" s="549"/>
      <c r="AI822" s="549"/>
      <c r="AJ822" s="549"/>
      <c r="AK822" s="549"/>
      <c r="AL822" s="549"/>
      <c r="AM822" s="549"/>
      <c r="AN822" s="549"/>
      <c r="AO822" s="549"/>
      <c r="AP822" s="549"/>
      <c r="AQ822" s="549"/>
      <c r="AR822" s="549"/>
      <c r="AS822" s="549"/>
      <c r="AT822" s="549"/>
      <c r="AU822" s="549"/>
      <c r="AV822" s="549"/>
      <c r="AW822" s="549"/>
      <c r="AX822" s="549"/>
      <c r="AY822" s="549"/>
      <c r="AZ822" s="549"/>
      <c r="BA822" s="549"/>
      <c r="BB822" s="549"/>
      <c r="BC822" s="549"/>
      <c r="BD822" s="549"/>
      <c r="BE822" s="549"/>
      <c r="BF822" s="549"/>
      <c r="BG822" s="549"/>
      <c r="BH822" s="549"/>
      <c r="BI822" s="549"/>
    </row>
    <row r="823" spans="16:61" s="254" customFormat="1" ht="9.9">
      <c r="P823" s="549"/>
      <c r="Q823" s="549"/>
      <c r="R823" s="549"/>
      <c r="S823" s="549"/>
      <c r="T823" s="549"/>
      <c r="U823" s="549"/>
      <c r="V823" s="549"/>
      <c r="W823" s="549"/>
      <c r="X823" s="549"/>
      <c r="Y823" s="549"/>
      <c r="Z823" s="549"/>
      <c r="AA823" s="549"/>
      <c r="AB823" s="549"/>
      <c r="AC823" s="549"/>
      <c r="AD823" s="549"/>
      <c r="AE823" s="549"/>
      <c r="AF823" s="549"/>
      <c r="AG823" s="549"/>
      <c r="AH823" s="549"/>
      <c r="AI823" s="549"/>
      <c r="AJ823" s="549"/>
      <c r="AK823" s="549"/>
      <c r="AL823" s="549"/>
      <c r="AM823" s="549"/>
      <c r="AN823" s="549"/>
      <c r="AO823" s="549"/>
      <c r="AP823" s="549"/>
      <c r="AQ823" s="549"/>
      <c r="AR823" s="549"/>
      <c r="AS823" s="549"/>
      <c r="AT823" s="549"/>
      <c r="AU823" s="549"/>
      <c r="AV823" s="549"/>
      <c r="AW823" s="549"/>
      <c r="AX823" s="549"/>
      <c r="AY823" s="549"/>
      <c r="AZ823" s="549"/>
      <c r="BA823" s="549"/>
      <c r="BB823" s="549"/>
      <c r="BC823" s="549"/>
      <c r="BD823" s="549"/>
      <c r="BE823" s="549"/>
      <c r="BF823" s="549"/>
      <c r="BG823" s="549"/>
      <c r="BH823" s="549"/>
      <c r="BI823" s="549"/>
    </row>
    <row r="824" spans="16:61" s="254" customFormat="1" ht="9.9">
      <c r="P824" s="549"/>
      <c r="Q824" s="549"/>
      <c r="R824" s="549"/>
      <c r="S824" s="549"/>
      <c r="T824" s="549"/>
      <c r="U824" s="549"/>
      <c r="V824" s="549"/>
      <c r="W824" s="549"/>
      <c r="X824" s="549"/>
      <c r="Y824" s="549"/>
      <c r="Z824" s="549"/>
      <c r="AA824" s="549"/>
      <c r="AB824" s="549"/>
      <c r="AC824" s="549"/>
      <c r="AD824" s="549"/>
      <c r="AE824" s="549"/>
      <c r="AF824" s="549"/>
      <c r="AG824" s="549"/>
      <c r="AH824" s="549"/>
      <c r="AI824" s="549"/>
      <c r="AJ824" s="549"/>
      <c r="AK824" s="549"/>
      <c r="AL824" s="549"/>
      <c r="AM824" s="549"/>
      <c r="AN824" s="549"/>
      <c r="AO824" s="549"/>
      <c r="AP824" s="549"/>
      <c r="AQ824" s="549"/>
      <c r="AR824" s="549"/>
      <c r="AS824" s="549"/>
      <c r="AT824" s="549"/>
      <c r="AU824" s="549"/>
      <c r="AV824" s="549"/>
      <c r="AW824" s="549"/>
      <c r="AX824" s="549"/>
      <c r="AY824" s="549"/>
      <c r="AZ824" s="549"/>
      <c r="BA824" s="549"/>
      <c r="BB824" s="549"/>
      <c r="BC824" s="549"/>
      <c r="BD824" s="549"/>
      <c r="BE824" s="549"/>
      <c r="BF824" s="549"/>
      <c r="BG824" s="549"/>
      <c r="BH824" s="549"/>
      <c r="BI824" s="549"/>
    </row>
    <row r="825" spans="16:61" s="254" customFormat="1" ht="9.9">
      <c r="P825" s="549"/>
      <c r="Q825" s="549"/>
      <c r="R825" s="549"/>
      <c r="S825" s="549"/>
      <c r="T825" s="549"/>
      <c r="U825" s="549"/>
      <c r="V825" s="549"/>
      <c r="W825" s="549"/>
      <c r="X825" s="549"/>
      <c r="Y825" s="549"/>
      <c r="Z825" s="549"/>
      <c r="AA825" s="549"/>
      <c r="AB825" s="549"/>
      <c r="AC825" s="549"/>
      <c r="AD825" s="549"/>
      <c r="AE825" s="549"/>
      <c r="AF825" s="549"/>
      <c r="AG825" s="549"/>
      <c r="AH825" s="549"/>
      <c r="AI825" s="549"/>
      <c r="AJ825" s="549"/>
      <c r="AK825" s="549"/>
      <c r="AL825" s="549"/>
      <c r="AM825" s="549"/>
      <c r="AN825" s="549"/>
      <c r="AO825" s="549"/>
      <c r="AP825" s="549"/>
      <c r="AQ825" s="549"/>
      <c r="AR825" s="549"/>
      <c r="AS825" s="549"/>
      <c r="AT825" s="549"/>
      <c r="AU825" s="549"/>
      <c r="AV825" s="549"/>
      <c r="AW825" s="549"/>
      <c r="AX825" s="549"/>
      <c r="AY825" s="549"/>
      <c r="AZ825" s="549"/>
      <c r="BA825" s="549"/>
      <c r="BB825" s="549"/>
      <c r="BC825" s="549"/>
      <c r="BD825" s="549"/>
      <c r="BE825" s="549"/>
      <c r="BF825" s="549"/>
      <c r="BG825" s="549"/>
      <c r="BH825" s="549"/>
      <c r="BI825" s="549"/>
    </row>
    <row r="826" spans="16:61" s="254" customFormat="1" ht="9.9">
      <c r="P826" s="549"/>
      <c r="Q826" s="549"/>
      <c r="R826" s="549"/>
      <c r="S826" s="549"/>
      <c r="T826" s="549"/>
      <c r="U826" s="549"/>
      <c r="V826" s="549"/>
      <c r="W826" s="549"/>
      <c r="X826" s="549"/>
      <c r="Y826" s="549"/>
      <c r="Z826" s="549"/>
      <c r="AA826" s="549"/>
      <c r="AB826" s="549"/>
      <c r="AC826" s="549"/>
      <c r="AD826" s="549"/>
      <c r="AE826" s="549"/>
      <c r="AF826" s="549"/>
      <c r="AG826" s="549"/>
      <c r="AH826" s="549"/>
      <c r="AI826" s="549"/>
      <c r="AJ826" s="549"/>
      <c r="AK826" s="549"/>
      <c r="AL826" s="549"/>
      <c r="AM826" s="549"/>
      <c r="AN826" s="549"/>
      <c r="AO826" s="549"/>
      <c r="AP826" s="549"/>
      <c r="AQ826" s="549"/>
      <c r="AR826" s="549"/>
      <c r="AS826" s="549"/>
      <c r="AT826" s="549"/>
      <c r="AU826" s="549"/>
      <c r="AV826" s="549"/>
      <c r="AW826" s="549"/>
      <c r="AX826" s="549"/>
      <c r="AY826" s="549"/>
      <c r="AZ826" s="549"/>
      <c r="BA826" s="549"/>
      <c r="BB826" s="549"/>
      <c r="BC826" s="549"/>
      <c r="BD826" s="549"/>
      <c r="BE826" s="549"/>
      <c r="BF826" s="549"/>
      <c r="BG826" s="549"/>
      <c r="BH826" s="549"/>
      <c r="BI826" s="549"/>
    </row>
    <row r="827" spans="16:61" s="254" customFormat="1" ht="9.9">
      <c r="P827" s="549"/>
      <c r="Q827" s="549"/>
      <c r="R827" s="549"/>
      <c r="S827" s="549"/>
      <c r="T827" s="549"/>
      <c r="U827" s="549"/>
      <c r="V827" s="549"/>
      <c r="W827" s="549"/>
      <c r="X827" s="549"/>
      <c r="Y827" s="549"/>
      <c r="Z827" s="549"/>
      <c r="AA827" s="549"/>
      <c r="AB827" s="549"/>
      <c r="AC827" s="549"/>
      <c r="AD827" s="549"/>
      <c r="AE827" s="549"/>
      <c r="AF827" s="549"/>
      <c r="AG827" s="549"/>
      <c r="AH827" s="549"/>
      <c r="AI827" s="549"/>
      <c r="AJ827" s="549"/>
      <c r="AK827" s="549"/>
      <c r="AL827" s="549"/>
      <c r="AM827" s="549"/>
      <c r="AN827" s="549"/>
      <c r="AO827" s="549"/>
      <c r="AP827" s="549"/>
      <c r="AQ827" s="549"/>
      <c r="AR827" s="549"/>
      <c r="AS827" s="549"/>
      <c r="AT827" s="549"/>
      <c r="AU827" s="549"/>
      <c r="AV827" s="549"/>
      <c r="AW827" s="549"/>
      <c r="AX827" s="549"/>
      <c r="AY827" s="549"/>
      <c r="AZ827" s="549"/>
      <c r="BA827" s="549"/>
      <c r="BB827" s="549"/>
      <c r="BC827" s="549"/>
      <c r="BD827" s="549"/>
      <c r="BE827" s="549"/>
      <c r="BF827" s="549"/>
      <c r="BG827" s="549"/>
      <c r="BH827" s="549"/>
      <c r="BI827" s="549"/>
    </row>
    <row r="828" spans="16:61" s="254" customFormat="1" ht="9.9">
      <c r="P828" s="549"/>
      <c r="Q828" s="549"/>
      <c r="R828" s="549"/>
      <c r="S828" s="549"/>
      <c r="T828" s="549"/>
      <c r="U828" s="549"/>
      <c r="V828" s="549"/>
      <c r="W828" s="549"/>
      <c r="X828" s="549"/>
      <c r="Y828" s="549"/>
      <c r="Z828" s="549"/>
      <c r="AA828" s="549"/>
      <c r="AB828" s="549"/>
      <c r="AC828" s="549"/>
      <c r="AD828" s="549"/>
      <c r="AE828" s="549"/>
      <c r="AF828" s="549"/>
      <c r="AG828" s="549"/>
      <c r="AH828" s="549"/>
      <c r="AI828" s="549"/>
      <c r="AJ828" s="549"/>
      <c r="AK828" s="549"/>
      <c r="AL828" s="549"/>
      <c r="AM828" s="549"/>
      <c r="AN828" s="549"/>
      <c r="AO828" s="549"/>
      <c r="AP828" s="549"/>
      <c r="AQ828" s="549"/>
      <c r="AR828" s="549"/>
      <c r="AS828" s="549"/>
      <c r="AT828" s="549"/>
      <c r="AU828" s="549"/>
      <c r="AV828" s="549"/>
      <c r="AW828" s="549"/>
      <c r="AX828" s="549"/>
      <c r="AY828" s="549"/>
      <c r="AZ828" s="549"/>
      <c r="BA828" s="549"/>
      <c r="BB828" s="549"/>
      <c r="BC828" s="549"/>
      <c r="BD828" s="549"/>
      <c r="BE828" s="549"/>
      <c r="BF828" s="549"/>
      <c r="BG828" s="549"/>
      <c r="BH828" s="549"/>
      <c r="BI828" s="549"/>
    </row>
    <row r="829" spans="16:61" s="254" customFormat="1" ht="9.9">
      <c r="P829" s="549"/>
      <c r="Q829" s="549"/>
      <c r="R829" s="549"/>
      <c r="S829" s="549"/>
      <c r="T829" s="549"/>
      <c r="U829" s="549"/>
      <c r="V829" s="549"/>
      <c r="W829" s="549"/>
      <c r="X829" s="549"/>
      <c r="Y829" s="549"/>
      <c r="Z829" s="549"/>
      <c r="AA829" s="549"/>
      <c r="AB829" s="549"/>
      <c r="AC829" s="549"/>
      <c r="AD829" s="549"/>
      <c r="AE829" s="549"/>
      <c r="AF829" s="549"/>
      <c r="AG829" s="549"/>
      <c r="AH829" s="549"/>
      <c r="AI829" s="549"/>
      <c r="AJ829" s="549"/>
      <c r="AK829" s="549"/>
      <c r="AL829" s="549"/>
      <c r="AM829" s="549"/>
      <c r="AN829" s="549"/>
      <c r="AO829" s="549"/>
      <c r="AP829" s="549"/>
      <c r="AQ829" s="549"/>
      <c r="AR829" s="549"/>
      <c r="AS829" s="549"/>
      <c r="AT829" s="549"/>
      <c r="AU829" s="549"/>
      <c r="AV829" s="549"/>
      <c r="AW829" s="549"/>
      <c r="AX829" s="549"/>
      <c r="AY829" s="549"/>
      <c r="AZ829" s="549"/>
      <c r="BA829" s="549"/>
      <c r="BB829" s="549"/>
      <c r="BC829" s="549"/>
      <c r="BD829" s="549"/>
      <c r="BE829" s="549"/>
      <c r="BF829" s="549"/>
      <c r="BG829" s="549"/>
      <c r="BH829" s="549"/>
      <c r="BI829" s="549"/>
    </row>
    <row r="830" spans="16:61" s="254" customFormat="1" ht="9.9">
      <c r="P830" s="549"/>
      <c r="Q830" s="549"/>
      <c r="R830" s="549"/>
      <c r="S830" s="549"/>
      <c r="T830" s="549"/>
      <c r="U830" s="549"/>
      <c r="V830" s="549"/>
      <c r="W830" s="549"/>
      <c r="X830" s="549"/>
      <c r="Y830" s="549"/>
      <c r="Z830" s="549"/>
      <c r="AA830" s="549"/>
      <c r="AB830" s="549"/>
      <c r="AC830" s="549"/>
      <c r="AD830" s="549"/>
      <c r="AE830" s="549"/>
      <c r="AF830" s="549"/>
      <c r="AG830" s="549"/>
      <c r="AH830" s="549"/>
      <c r="AI830" s="549"/>
      <c r="AJ830" s="549"/>
      <c r="AK830" s="549"/>
      <c r="AL830" s="549"/>
      <c r="AM830" s="549"/>
      <c r="AN830" s="549"/>
      <c r="AO830" s="549"/>
      <c r="AP830" s="549"/>
      <c r="AQ830" s="549"/>
      <c r="AR830" s="549"/>
      <c r="AS830" s="549"/>
      <c r="AT830" s="549"/>
      <c r="AU830" s="549"/>
      <c r="AV830" s="549"/>
      <c r="AW830" s="549"/>
      <c r="AX830" s="549"/>
      <c r="AY830" s="549"/>
      <c r="AZ830" s="549"/>
      <c r="BA830" s="549"/>
      <c r="BB830" s="549"/>
      <c r="BC830" s="549"/>
      <c r="BD830" s="549"/>
      <c r="BE830" s="549"/>
      <c r="BF830" s="549"/>
      <c r="BG830" s="549"/>
      <c r="BH830" s="549"/>
      <c r="BI830" s="549"/>
    </row>
    <row r="831" spans="16:61" s="254" customFormat="1" ht="9.9">
      <c r="P831" s="549"/>
      <c r="Q831" s="549"/>
      <c r="R831" s="549"/>
      <c r="S831" s="549"/>
      <c r="T831" s="549"/>
      <c r="U831" s="549"/>
      <c r="V831" s="549"/>
      <c r="W831" s="549"/>
      <c r="X831" s="549"/>
      <c r="Y831" s="549"/>
      <c r="Z831" s="549"/>
      <c r="AA831" s="549"/>
      <c r="AB831" s="549"/>
      <c r="AC831" s="549"/>
      <c r="AD831" s="549"/>
      <c r="AE831" s="549"/>
      <c r="AF831" s="549"/>
      <c r="AG831" s="549"/>
      <c r="AH831" s="549"/>
      <c r="AI831" s="549"/>
      <c r="AJ831" s="549"/>
      <c r="AK831" s="549"/>
      <c r="AL831" s="549"/>
      <c r="AM831" s="549"/>
      <c r="AN831" s="549"/>
      <c r="AO831" s="549"/>
      <c r="AP831" s="549"/>
      <c r="AQ831" s="549"/>
      <c r="AR831" s="549"/>
      <c r="AS831" s="549"/>
      <c r="AT831" s="549"/>
      <c r="AU831" s="549"/>
      <c r="AV831" s="549"/>
      <c r="AW831" s="549"/>
      <c r="AX831" s="549"/>
      <c r="AY831" s="549"/>
      <c r="AZ831" s="549"/>
      <c r="BA831" s="549"/>
      <c r="BB831" s="549"/>
      <c r="BC831" s="549"/>
      <c r="BD831" s="549"/>
      <c r="BE831" s="549"/>
      <c r="BF831" s="549"/>
      <c r="BG831" s="549"/>
      <c r="BH831" s="549"/>
      <c r="BI831" s="549"/>
    </row>
    <row r="832" spans="16:61" s="254" customFormat="1" ht="9.9">
      <c r="P832" s="549"/>
      <c r="Q832" s="549"/>
      <c r="R832" s="549"/>
      <c r="S832" s="549"/>
      <c r="T832" s="549"/>
      <c r="U832" s="549"/>
      <c r="V832" s="549"/>
      <c r="W832" s="549"/>
      <c r="X832" s="549"/>
      <c r="Y832" s="549"/>
      <c r="Z832" s="549"/>
      <c r="AA832" s="549"/>
      <c r="AB832" s="549"/>
      <c r="AC832" s="549"/>
      <c r="AD832" s="549"/>
      <c r="AE832" s="549"/>
      <c r="AF832" s="549"/>
      <c r="AG832" s="549"/>
      <c r="AH832" s="549"/>
      <c r="AI832" s="549"/>
      <c r="AJ832" s="549"/>
      <c r="AK832" s="549"/>
      <c r="AL832" s="549"/>
      <c r="AM832" s="549"/>
      <c r="AN832" s="549"/>
      <c r="AO832" s="549"/>
      <c r="AP832" s="549"/>
      <c r="AQ832" s="549"/>
      <c r="AR832" s="549"/>
      <c r="AS832" s="549"/>
      <c r="AT832" s="549"/>
      <c r="AU832" s="549"/>
      <c r="AV832" s="549"/>
      <c r="AW832" s="549"/>
      <c r="AX832" s="549"/>
      <c r="AY832" s="549"/>
      <c r="AZ832" s="549"/>
      <c r="BA832" s="549"/>
      <c r="BB832" s="549"/>
      <c r="BC832" s="549"/>
      <c r="BD832" s="549"/>
      <c r="BE832" s="549"/>
      <c r="BF832" s="549"/>
      <c r="BG832" s="549"/>
      <c r="BH832" s="549"/>
      <c r="BI832" s="549"/>
    </row>
    <row r="833" spans="16:61" s="254" customFormat="1" ht="9.9">
      <c r="P833" s="549"/>
      <c r="Q833" s="549"/>
      <c r="R833" s="549"/>
      <c r="S833" s="549"/>
      <c r="T833" s="549"/>
      <c r="U833" s="549"/>
      <c r="V833" s="549"/>
      <c r="W833" s="549"/>
      <c r="X833" s="549"/>
      <c r="Y833" s="549"/>
      <c r="Z833" s="549"/>
      <c r="AA833" s="549"/>
      <c r="AB833" s="549"/>
      <c r="AC833" s="549"/>
      <c r="AD833" s="549"/>
      <c r="AE833" s="549"/>
      <c r="AF833" s="549"/>
      <c r="AG833" s="549"/>
      <c r="AH833" s="549"/>
      <c r="AI833" s="549"/>
      <c r="AJ833" s="549"/>
      <c r="AK833" s="549"/>
      <c r="AL833" s="549"/>
      <c r="AM833" s="549"/>
      <c r="AN833" s="549"/>
      <c r="AO833" s="549"/>
      <c r="AP833" s="549"/>
      <c r="AQ833" s="549"/>
      <c r="AR833" s="549"/>
      <c r="AS833" s="549"/>
      <c r="AT833" s="549"/>
      <c r="AU833" s="549"/>
      <c r="AV833" s="549"/>
      <c r="AW833" s="549"/>
      <c r="AX833" s="549"/>
      <c r="AY833" s="549"/>
      <c r="AZ833" s="549"/>
      <c r="BA833" s="549"/>
      <c r="BB833" s="549"/>
      <c r="BC833" s="549"/>
      <c r="BD833" s="549"/>
      <c r="BE833" s="549"/>
      <c r="BF833" s="549"/>
      <c r="BG833" s="549"/>
      <c r="BH833" s="549"/>
      <c r="BI833" s="549"/>
    </row>
    <row r="834" spans="16:61" s="254" customFormat="1" ht="9.9">
      <c r="P834" s="549"/>
      <c r="Q834" s="549"/>
      <c r="R834" s="549"/>
      <c r="S834" s="549"/>
      <c r="T834" s="549"/>
      <c r="U834" s="549"/>
      <c r="V834" s="549"/>
      <c r="W834" s="549"/>
      <c r="X834" s="549"/>
      <c r="Y834" s="549"/>
      <c r="Z834" s="549"/>
      <c r="AA834" s="549"/>
      <c r="AB834" s="549"/>
      <c r="AC834" s="549"/>
      <c r="AD834" s="549"/>
      <c r="AE834" s="549"/>
      <c r="AF834" s="549"/>
      <c r="AG834" s="549"/>
      <c r="AH834" s="549"/>
      <c r="AI834" s="549"/>
      <c r="AJ834" s="549"/>
      <c r="AK834" s="549"/>
      <c r="AL834" s="549"/>
      <c r="AM834" s="549"/>
      <c r="AN834" s="549"/>
      <c r="AO834" s="549"/>
      <c r="AP834" s="549"/>
      <c r="AQ834" s="549"/>
      <c r="AR834" s="549"/>
      <c r="AS834" s="549"/>
      <c r="AT834" s="549"/>
      <c r="AU834" s="549"/>
      <c r="AV834" s="549"/>
      <c r="AW834" s="549"/>
      <c r="AX834" s="549"/>
      <c r="AY834" s="549"/>
      <c r="AZ834" s="549"/>
      <c r="BA834" s="549"/>
      <c r="BB834" s="549"/>
      <c r="BC834" s="549"/>
      <c r="BD834" s="549"/>
      <c r="BE834" s="549"/>
      <c r="BF834" s="549"/>
      <c r="BG834" s="549"/>
      <c r="BH834" s="549"/>
      <c r="BI834" s="549"/>
    </row>
    <row r="835" spans="16:61" s="254" customFormat="1" ht="9.9">
      <c r="P835" s="549"/>
      <c r="Q835" s="549"/>
      <c r="R835" s="549"/>
      <c r="S835" s="549"/>
      <c r="T835" s="549"/>
      <c r="U835" s="549"/>
      <c r="V835" s="549"/>
      <c r="W835" s="549"/>
      <c r="X835" s="549"/>
      <c r="Y835" s="549"/>
      <c r="Z835" s="549"/>
      <c r="AA835" s="549"/>
      <c r="AB835" s="549"/>
      <c r="AC835" s="549"/>
      <c r="AD835" s="549"/>
      <c r="AE835" s="549"/>
      <c r="AF835" s="549"/>
      <c r="AG835" s="549"/>
      <c r="AH835" s="549"/>
      <c r="AI835" s="549"/>
      <c r="AJ835" s="549"/>
      <c r="AK835" s="549"/>
      <c r="AL835" s="549"/>
      <c r="AM835" s="549"/>
      <c r="AN835" s="549"/>
      <c r="AO835" s="549"/>
      <c r="AP835" s="549"/>
      <c r="AQ835" s="549"/>
      <c r="AR835" s="549"/>
      <c r="AS835" s="549"/>
      <c r="AT835" s="549"/>
      <c r="AU835" s="549"/>
      <c r="AV835" s="549"/>
      <c r="AW835" s="549"/>
      <c r="AX835" s="549"/>
      <c r="AY835" s="549"/>
      <c r="AZ835" s="549"/>
      <c r="BA835" s="549"/>
      <c r="BB835" s="549"/>
      <c r="BC835" s="549"/>
      <c r="BD835" s="549"/>
      <c r="BE835" s="549"/>
      <c r="BF835" s="549"/>
      <c r="BG835" s="549"/>
      <c r="BH835" s="549"/>
      <c r="BI835" s="549"/>
    </row>
    <row r="836" spans="16:61" s="254" customFormat="1" ht="9.9">
      <c r="P836" s="549"/>
      <c r="Q836" s="549"/>
      <c r="R836" s="549"/>
      <c r="S836" s="549"/>
      <c r="T836" s="549"/>
      <c r="U836" s="549"/>
      <c r="V836" s="549"/>
      <c r="W836" s="549"/>
      <c r="X836" s="549"/>
      <c r="Y836" s="549"/>
      <c r="Z836" s="549"/>
      <c r="AA836" s="549"/>
      <c r="AB836" s="549"/>
      <c r="AC836" s="549"/>
      <c r="AD836" s="549"/>
      <c r="AE836" s="549"/>
      <c r="AF836" s="549"/>
      <c r="AG836" s="549"/>
      <c r="AH836" s="549"/>
      <c r="AI836" s="549"/>
      <c r="AJ836" s="549"/>
      <c r="AK836" s="549"/>
      <c r="AL836" s="549"/>
      <c r="AM836" s="549"/>
      <c r="AN836" s="549"/>
      <c r="AO836" s="549"/>
      <c r="AP836" s="549"/>
      <c r="AQ836" s="549"/>
      <c r="AR836" s="549"/>
      <c r="AS836" s="549"/>
      <c r="AT836" s="549"/>
      <c r="AU836" s="549"/>
      <c r="AV836" s="549"/>
      <c r="AW836" s="549"/>
      <c r="AX836" s="549"/>
      <c r="AY836" s="549"/>
      <c r="AZ836" s="549"/>
      <c r="BA836" s="549"/>
      <c r="BB836" s="549"/>
      <c r="BC836" s="549"/>
      <c r="BD836" s="549"/>
      <c r="BE836" s="549"/>
      <c r="BF836" s="549"/>
      <c r="BG836" s="549"/>
      <c r="BH836" s="549"/>
      <c r="BI836" s="549"/>
    </row>
    <row r="837" spans="16:61" s="254" customFormat="1" ht="9.9">
      <c r="P837" s="549"/>
      <c r="Q837" s="549"/>
      <c r="R837" s="549"/>
      <c r="S837" s="549"/>
      <c r="T837" s="549"/>
      <c r="U837" s="549"/>
      <c r="V837" s="549"/>
      <c r="W837" s="549"/>
      <c r="X837" s="549"/>
      <c r="Y837" s="549"/>
      <c r="Z837" s="549"/>
      <c r="AA837" s="549"/>
      <c r="AB837" s="549"/>
      <c r="AC837" s="549"/>
      <c r="AD837" s="549"/>
      <c r="AE837" s="549"/>
      <c r="AF837" s="549"/>
      <c r="AG837" s="549"/>
      <c r="AH837" s="549"/>
      <c r="AI837" s="549"/>
      <c r="AJ837" s="549"/>
      <c r="AK837" s="549"/>
      <c r="AL837" s="549"/>
      <c r="AM837" s="549"/>
      <c r="AN837" s="549"/>
      <c r="AO837" s="549"/>
      <c r="AP837" s="549"/>
      <c r="AQ837" s="549"/>
      <c r="AR837" s="549"/>
      <c r="AS837" s="549"/>
      <c r="AT837" s="549"/>
      <c r="AU837" s="549"/>
      <c r="AV837" s="549"/>
      <c r="AW837" s="549"/>
      <c r="AX837" s="549"/>
      <c r="AY837" s="549"/>
      <c r="AZ837" s="549"/>
      <c r="BA837" s="549"/>
      <c r="BB837" s="549"/>
      <c r="BC837" s="549"/>
      <c r="BD837" s="549"/>
      <c r="BE837" s="549"/>
      <c r="BF837" s="549"/>
      <c r="BG837" s="549"/>
      <c r="BH837" s="549"/>
      <c r="BI837" s="549"/>
    </row>
    <row r="838" spans="16:61" s="254" customFormat="1" ht="9.9">
      <c r="P838" s="549"/>
      <c r="Q838" s="549"/>
      <c r="R838" s="549"/>
      <c r="S838" s="549"/>
      <c r="T838" s="549"/>
      <c r="U838" s="549"/>
      <c r="V838" s="549"/>
      <c r="W838" s="549"/>
      <c r="X838" s="549"/>
      <c r="Y838" s="549"/>
      <c r="Z838" s="549"/>
      <c r="AA838" s="549"/>
      <c r="AB838" s="549"/>
      <c r="AC838" s="549"/>
      <c r="AD838" s="549"/>
      <c r="AE838" s="549"/>
      <c r="AF838" s="549"/>
      <c r="AG838" s="549"/>
      <c r="AH838" s="549"/>
      <c r="AI838" s="549"/>
      <c r="AJ838" s="549"/>
      <c r="AK838" s="549"/>
      <c r="AL838" s="549"/>
      <c r="AM838" s="549"/>
      <c r="AN838" s="549"/>
      <c r="AO838" s="549"/>
      <c r="AP838" s="549"/>
      <c r="AQ838" s="549"/>
      <c r="AR838" s="549"/>
      <c r="AS838" s="549"/>
      <c r="AT838" s="549"/>
      <c r="AU838" s="549"/>
      <c r="AV838" s="549"/>
      <c r="AW838" s="549"/>
      <c r="AX838" s="549"/>
      <c r="AY838" s="549"/>
      <c r="AZ838" s="549"/>
      <c r="BA838" s="549"/>
      <c r="BB838" s="549"/>
      <c r="BC838" s="549"/>
      <c r="BD838" s="549"/>
      <c r="BE838" s="549"/>
      <c r="BF838" s="549"/>
      <c r="BG838" s="549"/>
      <c r="BH838" s="549"/>
      <c r="BI838" s="549"/>
    </row>
    <row r="839" spans="16:61" s="254" customFormat="1" ht="9.9">
      <c r="P839" s="549"/>
      <c r="Q839" s="549"/>
      <c r="R839" s="549"/>
      <c r="S839" s="549"/>
      <c r="T839" s="549"/>
      <c r="U839" s="549"/>
      <c r="V839" s="549"/>
      <c r="W839" s="549"/>
      <c r="X839" s="549"/>
      <c r="Y839" s="549"/>
      <c r="Z839" s="549"/>
      <c r="AA839" s="549"/>
      <c r="AB839" s="549"/>
      <c r="AC839" s="549"/>
      <c r="AD839" s="549"/>
      <c r="AE839" s="549"/>
      <c r="AF839" s="549"/>
      <c r="AG839" s="549"/>
      <c r="AH839" s="549"/>
      <c r="AI839" s="549"/>
      <c r="AJ839" s="549"/>
      <c r="AK839" s="549"/>
      <c r="AL839" s="549"/>
      <c r="AM839" s="549"/>
      <c r="AN839" s="549"/>
      <c r="AO839" s="549"/>
      <c r="AP839" s="549"/>
      <c r="AQ839" s="549"/>
      <c r="AR839" s="549"/>
      <c r="AS839" s="549"/>
      <c r="AT839" s="549"/>
      <c r="AU839" s="549"/>
      <c r="AV839" s="549"/>
      <c r="AW839" s="549"/>
      <c r="AX839" s="549"/>
      <c r="AY839" s="549"/>
      <c r="AZ839" s="549"/>
      <c r="BA839" s="549"/>
      <c r="BB839" s="549"/>
      <c r="BC839" s="549"/>
      <c r="BD839" s="549"/>
      <c r="BE839" s="549"/>
      <c r="BF839" s="549"/>
      <c r="BG839" s="549"/>
      <c r="BH839" s="549"/>
      <c r="BI839" s="549"/>
    </row>
    <row r="840" spans="16:61" s="254" customFormat="1" ht="9.9">
      <c r="P840" s="549"/>
      <c r="Q840" s="549"/>
      <c r="R840" s="549"/>
      <c r="S840" s="549"/>
      <c r="T840" s="549"/>
      <c r="U840" s="549"/>
      <c r="V840" s="549"/>
      <c r="W840" s="549"/>
      <c r="X840" s="549"/>
      <c r="Y840" s="549"/>
      <c r="Z840" s="549"/>
      <c r="AA840" s="549"/>
      <c r="AB840" s="549"/>
      <c r="AC840" s="549"/>
      <c r="AD840" s="549"/>
      <c r="AE840" s="549"/>
      <c r="AF840" s="549"/>
      <c r="AG840" s="549"/>
      <c r="AH840" s="549"/>
      <c r="AI840" s="549"/>
      <c r="AJ840" s="549"/>
      <c r="AK840" s="549"/>
      <c r="AL840" s="549"/>
      <c r="AM840" s="549"/>
      <c r="AN840" s="549"/>
      <c r="AO840" s="549"/>
      <c r="AP840" s="549"/>
      <c r="AQ840" s="549"/>
      <c r="AR840" s="549"/>
      <c r="AS840" s="549"/>
      <c r="AT840" s="549"/>
      <c r="AU840" s="549"/>
      <c r="AV840" s="549"/>
      <c r="AW840" s="549"/>
      <c r="AX840" s="549"/>
      <c r="AY840" s="549"/>
      <c r="AZ840" s="549"/>
      <c r="BA840" s="549"/>
      <c r="BB840" s="549"/>
      <c r="BC840" s="549"/>
      <c r="BD840" s="549"/>
      <c r="BE840" s="549"/>
      <c r="BF840" s="549"/>
      <c r="BG840" s="549"/>
      <c r="BH840" s="549"/>
      <c r="BI840" s="549"/>
    </row>
    <row r="841" spans="16:61" s="254" customFormat="1" ht="9.9">
      <c r="P841" s="549"/>
      <c r="Q841" s="549"/>
      <c r="R841" s="549"/>
      <c r="S841" s="549"/>
      <c r="T841" s="549"/>
      <c r="U841" s="549"/>
      <c r="V841" s="549"/>
      <c r="W841" s="549"/>
      <c r="X841" s="549"/>
      <c r="Y841" s="549"/>
      <c r="Z841" s="549"/>
      <c r="AA841" s="549"/>
      <c r="AB841" s="549"/>
      <c r="AC841" s="549"/>
      <c r="AD841" s="549"/>
      <c r="AE841" s="549"/>
      <c r="AF841" s="549"/>
      <c r="AG841" s="549"/>
      <c r="AH841" s="549"/>
      <c r="AI841" s="549"/>
      <c r="AJ841" s="549"/>
      <c r="AK841" s="549"/>
      <c r="AL841" s="549"/>
      <c r="AM841" s="549"/>
      <c r="AN841" s="549"/>
      <c r="AO841" s="549"/>
      <c r="AP841" s="549"/>
      <c r="AQ841" s="549"/>
      <c r="AR841" s="549"/>
      <c r="AS841" s="549"/>
      <c r="AT841" s="549"/>
      <c r="AU841" s="549"/>
      <c r="AV841" s="549"/>
      <c r="AW841" s="549"/>
      <c r="AX841" s="549"/>
      <c r="AY841" s="549"/>
      <c r="AZ841" s="549"/>
      <c r="BA841" s="549"/>
      <c r="BB841" s="549"/>
      <c r="BC841" s="549"/>
      <c r="BD841" s="549"/>
      <c r="BE841" s="549"/>
      <c r="BF841" s="549"/>
      <c r="BG841" s="549"/>
      <c r="BH841" s="549"/>
      <c r="BI841" s="549"/>
    </row>
    <row r="842" spans="16:61" s="254" customFormat="1" ht="9.9">
      <c r="P842" s="549"/>
      <c r="Q842" s="549"/>
      <c r="R842" s="549"/>
      <c r="S842" s="549"/>
      <c r="T842" s="549"/>
      <c r="U842" s="549"/>
      <c r="V842" s="549"/>
      <c r="W842" s="549"/>
      <c r="X842" s="549"/>
      <c r="Y842" s="549"/>
      <c r="Z842" s="549"/>
      <c r="AA842" s="549"/>
      <c r="AB842" s="549"/>
      <c r="AC842" s="549"/>
      <c r="AD842" s="549"/>
      <c r="AE842" s="549"/>
      <c r="AF842" s="549"/>
      <c r="AG842" s="549"/>
      <c r="AH842" s="549"/>
      <c r="AI842" s="549"/>
      <c r="AJ842" s="549"/>
      <c r="AK842" s="549"/>
      <c r="AL842" s="549"/>
      <c r="AM842" s="549"/>
      <c r="AN842" s="549"/>
      <c r="AO842" s="549"/>
      <c r="AP842" s="549"/>
      <c r="AQ842" s="549"/>
      <c r="AR842" s="549"/>
      <c r="AS842" s="549"/>
      <c r="AT842" s="549"/>
      <c r="AU842" s="549"/>
      <c r="AV842" s="549"/>
      <c r="AW842" s="549"/>
      <c r="AX842" s="549"/>
      <c r="AY842" s="549"/>
      <c r="AZ842" s="549"/>
      <c r="BA842" s="549"/>
      <c r="BB842" s="549"/>
      <c r="BC842" s="549"/>
      <c r="BD842" s="549"/>
      <c r="BE842" s="549"/>
      <c r="BF842" s="549"/>
      <c r="BG842" s="549"/>
      <c r="BH842" s="549"/>
      <c r="BI842" s="549"/>
    </row>
    <row r="843" spans="16:61" s="254" customFormat="1" ht="9.9">
      <c r="P843" s="549"/>
      <c r="Q843" s="549"/>
      <c r="R843" s="549"/>
      <c r="S843" s="549"/>
      <c r="T843" s="549"/>
      <c r="U843" s="549"/>
      <c r="V843" s="549"/>
      <c r="W843" s="549"/>
      <c r="X843" s="549"/>
      <c r="Y843" s="549"/>
      <c r="Z843" s="549"/>
      <c r="AA843" s="549"/>
      <c r="AB843" s="549"/>
      <c r="AC843" s="549"/>
      <c r="AD843" s="549"/>
      <c r="AE843" s="549"/>
      <c r="AF843" s="549"/>
      <c r="AG843" s="549"/>
      <c r="AH843" s="549"/>
      <c r="AI843" s="549"/>
      <c r="AJ843" s="549"/>
      <c r="AK843" s="549"/>
      <c r="AL843" s="549"/>
      <c r="AM843" s="549"/>
      <c r="AN843" s="549"/>
      <c r="AO843" s="549"/>
      <c r="AP843" s="549"/>
      <c r="AQ843" s="549"/>
      <c r="AR843" s="549"/>
      <c r="AS843" s="549"/>
      <c r="AT843" s="549"/>
      <c r="AU843" s="549"/>
      <c r="AV843" s="549"/>
      <c r="AW843" s="549"/>
      <c r="AX843" s="549"/>
      <c r="AY843" s="549"/>
      <c r="AZ843" s="549"/>
      <c r="BA843" s="549"/>
      <c r="BB843" s="549"/>
      <c r="BC843" s="549"/>
      <c r="BD843" s="549"/>
      <c r="BE843" s="549"/>
      <c r="BF843" s="549"/>
      <c r="BG843" s="549"/>
      <c r="BH843" s="549"/>
      <c r="BI843" s="549"/>
    </row>
    <row r="844" spans="16:61" s="254" customFormat="1" ht="9.9">
      <c r="P844" s="549"/>
      <c r="Q844" s="549"/>
      <c r="R844" s="549"/>
      <c r="S844" s="549"/>
      <c r="T844" s="549"/>
      <c r="U844" s="549"/>
      <c r="V844" s="549"/>
      <c r="W844" s="549"/>
      <c r="X844" s="549"/>
      <c r="Y844" s="549"/>
      <c r="Z844" s="549"/>
      <c r="AA844" s="549"/>
      <c r="AB844" s="549"/>
      <c r="AC844" s="549"/>
      <c r="AD844" s="549"/>
      <c r="AE844" s="549"/>
      <c r="AF844" s="549"/>
      <c r="AG844" s="549"/>
      <c r="AH844" s="549"/>
      <c r="AI844" s="549"/>
      <c r="AJ844" s="549"/>
      <c r="AK844" s="549"/>
      <c r="AL844" s="549"/>
      <c r="AM844" s="549"/>
      <c r="AN844" s="549"/>
      <c r="AO844" s="549"/>
      <c r="AP844" s="549"/>
      <c r="AQ844" s="549"/>
      <c r="AR844" s="549"/>
      <c r="AS844" s="549"/>
      <c r="AT844" s="549"/>
      <c r="AU844" s="549"/>
      <c r="AV844" s="549"/>
      <c r="AW844" s="549"/>
      <c r="AX844" s="549"/>
      <c r="AY844" s="549"/>
      <c r="AZ844" s="549"/>
      <c r="BA844" s="549"/>
      <c r="BB844" s="549"/>
      <c r="BC844" s="549"/>
      <c r="BD844" s="549"/>
      <c r="BE844" s="549"/>
      <c r="BF844" s="549"/>
      <c r="BG844" s="549"/>
      <c r="BH844" s="549"/>
      <c r="BI844" s="549"/>
    </row>
    <row r="845" spans="16:61" s="254" customFormat="1" ht="9.9">
      <c r="P845" s="549"/>
      <c r="Q845" s="549"/>
      <c r="R845" s="549"/>
      <c r="S845" s="549"/>
      <c r="T845" s="549"/>
      <c r="U845" s="549"/>
      <c r="V845" s="549"/>
      <c r="W845" s="549"/>
      <c r="X845" s="549"/>
      <c r="Y845" s="549"/>
      <c r="Z845" s="549"/>
      <c r="AA845" s="549"/>
      <c r="AB845" s="549"/>
      <c r="AC845" s="549"/>
      <c r="AD845" s="549"/>
      <c r="AE845" s="549"/>
      <c r="AF845" s="549"/>
      <c r="AG845" s="549"/>
      <c r="AH845" s="549"/>
      <c r="AI845" s="549"/>
      <c r="AJ845" s="549"/>
      <c r="AK845" s="549"/>
      <c r="AL845" s="549"/>
      <c r="AM845" s="549"/>
      <c r="AN845" s="549"/>
      <c r="AO845" s="549"/>
      <c r="AP845" s="549"/>
      <c r="AQ845" s="549"/>
      <c r="AR845" s="549"/>
      <c r="AS845" s="549"/>
      <c r="AT845" s="549"/>
      <c r="AU845" s="549"/>
      <c r="AV845" s="549"/>
      <c r="AW845" s="549"/>
      <c r="AX845" s="549"/>
      <c r="AY845" s="549"/>
      <c r="AZ845" s="549"/>
      <c r="BA845" s="549"/>
      <c r="BB845" s="549"/>
      <c r="BC845" s="549"/>
      <c r="BD845" s="549"/>
      <c r="BE845" s="549"/>
      <c r="BF845" s="549"/>
      <c r="BG845" s="549"/>
      <c r="BH845" s="549"/>
      <c r="BI845" s="549"/>
    </row>
    <row r="846" spans="16:61" s="254" customFormat="1" ht="9.9">
      <c r="P846" s="549"/>
      <c r="Q846" s="549"/>
      <c r="R846" s="549"/>
      <c r="S846" s="549"/>
      <c r="T846" s="549"/>
      <c r="U846" s="549"/>
      <c r="V846" s="549"/>
      <c r="W846" s="549"/>
      <c r="X846" s="549"/>
      <c r="Y846" s="549"/>
      <c r="Z846" s="549"/>
      <c r="AA846" s="549"/>
      <c r="AB846" s="549"/>
      <c r="AC846" s="549"/>
      <c r="AD846" s="549"/>
      <c r="AE846" s="549"/>
      <c r="AF846" s="549"/>
      <c r="AG846" s="549"/>
      <c r="AH846" s="549"/>
      <c r="AI846" s="549"/>
      <c r="AJ846" s="549"/>
      <c r="AK846" s="549"/>
      <c r="AL846" s="549"/>
      <c r="AM846" s="549"/>
      <c r="AN846" s="549"/>
      <c r="AO846" s="549"/>
      <c r="AP846" s="549"/>
      <c r="AQ846" s="549"/>
      <c r="AR846" s="549"/>
      <c r="AS846" s="549"/>
      <c r="AT846" s="549"/>
      <c r="AU846" s="549"/>
      <c r="AV846" s="549"/>
      <c r="AW846" s="549"/>
      <c r="AX846" s="549"/>
      <c r="AY846" s="549"/>
      <c r="AZ846" s="549"/>
      <c r="BA846" s="549"/>
      <c r="BB846" s="549"/>
      <c r="BC846" s="549"/>
      <c r="BD846" s="549"/>
      <c r="BE846" s="549"/>
      <c r="BF846" s="549"/>
      <c r="BG846" s="549"/>
      <c r="BH846" s="549"/>
      <c r="BI846" s="549"/>
    </row>
    <row r="847" spans="16:61" s="254" customFormat="1" ht="9.9">
      <c r="P847" s="549"/>
      <c r="Q847" s="549"/>
      <c r="R847" s="549"/>
      <c r="S847" s="549"/>
      <c r="T847" s="549"/>
      <c r="U847" s="549"/>
      <c r="V847" s="549"/>
      <c r="W847" s="549"/>
      <c r="X847" s="549"/>
      <c r="Y847" s="549"/>
      <c r="Z847" s="549"/>
      <c r="AA847" s="549"/>
      <c r="AB847" s="549"/>
      <c r="AC847" s="549"/>
      <c r="AD847" s="549"/>
      <c r="AE847" s="549"/>
      <c r="AF847" s="549"/>
      <c r="AG847" s="549"/>
      <c r="AH847" s="549"/>
      <c r="AI847" s="549"/>
      <c r="AJ847" s="549"/>
      <c r="AK847" s="549"/>
      <c r="AL847" s="549"/>
      <c r="AM847" s="549"/>
      <c r="AN847" s="549"/>
      <c r="AO847" s="549"/>
      <c r="AP847" s="549"/>
      <c r="AQ847" s="549"/>
      <c r="AR847" s="549"/>
      <c r="AS847" s="549"/>
      <c r="AT847" s="549"/>
      <c r="AU847" s="549"/>
      <c r="AV847" s="549"/>
      <c r="AW847" s="549"/>
      <c r="AX847" s="549"/>
      <c r="AY847" s="549"/>
      <c r="AZ847" s="549"/>
      <c r="BA847" s="549"/>
      <c r="BB847" s="549"/>
      <c r="BC847" s="549"/>
      <c r="BD847" s="549"/>
      <c r="BE847" s="549"/>
      <c r="BF847" s="549"/>
      <c r="BG847" s="549"/>
      <c r="BH847" s="549"/>
      <c r="BI847" s="549"/>
    </row>
    <row r="848" spans="16:61" s="254" customFormat="1" ht="9.9">
      <c r="P848" s="549"/>
      <c r="Q848" s="549"/>
      <c r="R848" s="549"/>
      <c r="S848" s="549"/>
      <c r="T848" s="549"/>
      <c r="U848" s="549"/>
      <c r="V848" s="549"/>
      <c r="W848" s="549"/>
      <c r="X848" s="549"/>
      <c r="Y848" s="549"/>
      <c r="Z848" s="549"/>
      <c r="AA848" s="549"/>
      <c r="AB848" s="549"/>
      <c r="AC848" s="549"/>
      <c r="AD848" s="549"/>
      <c r="AE848" s="549"/>
      <c r="AF848" s="549"/>
      <c r="AG848" s="549"/>
      <c r="AH848" s="549"/>
      <c r="AI848" s="549"/>
      <c r="AJ848" s="549"/>
      <c r="AK848" s="549"/>
      <c r="AL848" s="549"/>
      <c r="AM848" s="549"/>
      <c r="AN848" s="549"/>
      <c r="AO848" s="549"/>
      <c r="AP848" s="549"/>
      <c r="AQ848" s="549"/>
      <c r="AR848" s="549"/>
      <c r="AS848" s="549"/>
      <c r="AT848" s="549"/>
      <c r="AU848" s="549"/>
      <c r="AV848" s="549"/>
      <c r="AW848" s="549"/>
      <c r="AX848" s="549"/>
      <c r="AY848" s="549"/>
      <c r="AZ848" s="549"/>
      <c r="BA848" s="549"/>
      <c r="BB848" s="549"/>
      <c r="BC848" s="549"/>
      <c r="BD848" s="549"/>
      <c r="BE848" s="549"/>
      <c r="BF848" s="549"/>
      <c r="BG848" s="549"/>
      <c r="BH848" s="549"/>
      <c r="BI848" s="549"/>
    </row>
    <row r="849" spans="16:61" s="254" customFormat="1" ht="9.9">
      <c r="P849" s="549"/>
      <c r="Q849" s="549"/>
      <c r="R849" s="549"/>
      <c r="S849" s="549"/>
      <c r="T849" s="549"/>
      <c r="U849" s="549"/>
      <c r="V849" s="549"/>
      <c r="W849" s="549"/>
      <c r="X849" s="549"/>
      <c r="Y849" s="549"/>
      <c r="Z849" s="549"/>
      <c r="AA849" s="549"/>
      <c r="AB849" s="549"/>
      <c r="AC849" s="549"/>
      <c r="AD849" s="549"/>
      <c r="AE849" s="549"/>
      <c r="AF849" s="549"/>
      <c r="AG849" s="549"/>
      <c r="AH849" s="549"/>
      <c r="AI849" s="549"/>
      <c r="AJ849" s="549"/>
      <c r="AK849" s="549"/>
      <c r="AL849" s="549"/>
      <c r="AM849" s="549"/>
      <c r="AN849" s="549"/>
      <c r="AO849" s="549"/>
      <c r="AP849" s="549"/>
      <c r="AQ849" s="549"/>
      <c r="AR849" s="549"/>
      <c r="AS849" s="549"/>
      <c r="AT849" s="549"/>
      <c r="AU849" s="549"/>
      <c r="AV849" s="549"/>
      <c r="AW849" s="549"/>
      <c r="AX849" s="549"/>
      <c r="AY849" s="549"/>
      <c r="AZ849" s="549"/>
      <c r="BA849" s="549"/>
      <c r="BB849" s="549"/>
      <c r="BC849" s="549"/>
      <c r="BD849" s="549"/>
      <c r="BE849" s="549"/>
      <c r="BF849" s="549"/>
      <c r="BG849" s="549"/>
      <c r="BH849" s="549"/>
      <c r="BI849" s="549"/>
    </row>
    <row r="850" spans="16:61" s="254" customFormat="1" ht="9.9">
      <c r="P850" s="549"/>
      <c r="Q850" s="549"/>
      <c r="R850" s="549"/>
      <c r="S850" s="549"/>
      <c r="T850" s="549"/>
      <c r="U850" s="549"/>
      <c r="V850" s="549"/>
      <c r="W850" s="549"/>
      <c r="X850" s="549"/>
      <c r="Y850" s="549"/>
      <c r="Z850" s="549"/>
      <c r="AA850" s="549"/>
      <c r="AB850" s="549"/>
      <c r="AC850" s="549"/>
      <c r="AD850" s="549"/>
      <c r="AE850" s="549"/>
      <c r="AF850" s="549"/>
      <c r="AG850" s="549"/>
      <c r="AH850" s="549"/>
      <c r="AI850" s="549"/>
      <c r="AJ850" s="549"/>
      <c r="AK850" s="549"/>
      <c r="AL850" s="549"/>
      <c r="AM850" s="549"/>
      <c r="AN850" s="549"/>
      <c r="AO850" s="549"/>
      <c r="AP850" s="549"/>
      <c r="AQ850" s="549"/>
      <c r="AR850" s="549"/>
      <c r="AS850" s="549"/>
      <c r="AT850" s="549"/>
      <c r="AU850" s="549"/>
      <c r="AV850" s="549"/>
      <c r="AW850" s="549"/>
      <c r="AX850" s="549"/>
      <c r="AY850" s="549"/>
      <c r="AZ850" s="549"/>
      <c r="BA850" s="549"/>
      <c r="BB850" s="549"/>
      <c r="BC850" s="549"/>
      <c r="BD850" s="549"/>
      <c r="BE850" s="549"/>
      <c r="BF850" s="549"/>
      <c r="BG850" s="549"/>
      <c r="BH850" s="549"/>
      <c r="BI850" s="549"/>
    </row>
    <row r="851" spans="16:61" s="254" customFormat="1" ht="9.9">
      <c r="P851" s="549"/>
      <c r="Q851" s="549"/>
      <c r="R851" s="549"/>
      <c r="S851" s="549"/>
      <c r="T851" s="549"/>
      <c r="U851" s="549"/>
      <c r="V851" s="549"/>
      <c r="W851" s="549"/>
      <c r="X851" s="549"/>
      <c r="Y851" s="549"/>
      <c r="Z851" s="549"/>
      <c r="AA851" s="549"/>
      <c r="AB851" s="549"/>
      <c r="AC851" s="549"/>
      <c r="AD851" s="549"/>
      <c r="AE851" s="549"/>
      <c r="AF851" s="549"/>
      <c r="AG851" s="549"/>
      <c r="AH851" s="549"/>
      <c r="AI851" s="549"/>
      <c r="AJ851" s="549"/>
      <c r="AK851" s="549"/>
      <c r="AL851" s="549"/>
      <c r="AM851" s="549"/>
      <c r="AN851" s="549"/>
      <c r="AO851" s="549"/>
      <c r="AP851" s="549"/>
      <c r="AQ851" s="549"/>
      <c r="AR851" s="549"/>
      <c r="AS851" s="549"/>
      <c r="AT851" s="549"/>
      <c r="AU851" s="549"/>
      <c r="AV851" s="549"/>
      <c r="AW851" s="549"/>
      <c r="AX851" s="549"/>
      <c r="AY851" s="549"/>
      <c r="AZ851" s="549"/>
      <c r="BA851" s="549"/>
      <c r="BB851" s="549"/>
      <c r="BC851" s="549"/>
      <c r="BD851" s="549"/>
      <c r="BE851" s="549"/>
      <c r="BF851" s="549"/>
      <c r="BG851" s="549"/>
      <c r="BH851" s="549"/>
      <c r="BI851" s="549"/>
    </row>
    <row r="852" spans="16:61" s="254" customFormat="1" ht="9.9">
      <c r="P852" s="549"/>
      <c r="Q852" s="549"/>
      <c r="R852" s="549"/>
      <c r="S852" s="549"/>
      <c r="T852" s="549"/>
      <c r="U852" s="549"/>
      <c r="V852" s="549"/>
      <c r="W852" s="549"/>
      <c r="X852" s="549"/>
      <c r="Y852" s="549"/>
      <c r="Z852" s="549"/>
      <c r="AA852" s="549"/>
      <c r="AB852" s="549"/>
      <c r="AC852" s="549"/>
      <c r="AD852" s="549"/>
      <c r="AE852" s="549"/>
      <c r="AF852" s="549"/>
      <c r="AG852" s="549"/>
      <c r="AH852" s="549"/>
      <c r="AI852" s="549"/>
      <c r="AJ852" s="549"/>
      <c r="AK852" s="549"/>
      <c r="AL852" s="549"/>
      <c r="AM852" s="549"/>
      <c r="AN852" s="549"/>
      <c r="AO852" s="549"/>
      <c r="AP852" s="549"/>
      <c r="AQ852" s="549"/>
      <c r="AR852" s="549"/>
      <c r="AS852" s="549"/>
      <c r="AT852" s="549"/>
      <c r="AU852" s="549"/>
      <c r="AV852" s="549"/>
      <c r="AW852" s="549"/>
      <c r="AX852" s="549"/>
      <c r="AY852" s="549"/>
      <c r="AZ852" s="549"/>
      <c r="BA852" s="549"/>
      <c r="BB852" s="549"/>
      <c r="BC852" s="549"/>
      <c r="BD852" s="549"/>
      <c r="BE852" s="549"/>
      <c r="BF852" s="549"/>
      <c r="BG852" s="549"/>
      <c r="BH852" s="549"/>
      <c r="BI852" s="549"/>
    </row>
    <row r="853" spans="16:61" s="254" customFormat="1" ht="9.9">
      <c r="P853" s="549"/>
      <c r="Q853" s="549"/>
      <c r="R853" s="549"/>
      <c r="S853" s="549"/>
      <c r="T853" s="549"/>
      <c r="U853" s="549"/>
      <c r="V853" s="549"/>
      <c r="W853" s="549"/>
      <c r="X853" s="549"/>
      <c r="Y853" s="549"/>
      <c r="Z853" s="549"/>
      <c r="AA853" s="549"/>
      <c r="AB853" s="549"/>
      <c r="AC853" s="549"/>
      <c r="AD853" s="549"/>
      <c r="AE853" s="549"/>
      <c r="AF853" s="549"/>
      <c r="AG853" s="549"/>
      <c r="AH853" s="549"/>
      <c r="AI853" s="549"/>
      <c r="AJ853" s="549"/>
      <c r="AK853" s="549"/>
      <c r="AL853" s="549"/>
      <c r="AM853" s="549"/>
      <c r="AN853" s="549"/>
      <c r="AO853" s="549"/>
      <c r="AP853" s="549"/>
      <c r="AQ853" s="549"/>
      <c r="AR853" s="549"/>
      <c r="AS853" s="549"/>
      <c r="AT853" s="549"/>
      <c r="AU853" s="549"/>
      <c r="AV853" s="549"/>
      <c r="AW853" s="549"/>
      <c r="AX853" s="549"/>
      <c r="AY853" s="549"/>
      <c r="AZ853" s="549"/>
      <c r="BA853" s="549"/>
      <c r="BB853" s="549"/>
      <c r="BC853" s="549"/>
      <c r="BD853" s="549"/>
      <c r="BE853" s="549"/>
      <c r="BF853" s="549"/>
      <c r="BG853" s="549"/>
      <c r="BH853" s="549"/>
      <c r="BI853" s="549"/>
    </row>
    <row r="854" spans="16:61" s="254" customFormat="1" ht="9.9">
      <c r="P854" s="549"/>
      <c r="Q854" s="549"/>
      <c r="R854" s="549"/>
      <c r="S854" s="549"/>
      <c r="T854" s="549"/>
      <c r="U854" s="549"/>
      <c r="V854" s="549"/>
      <c r="W854" s="549"/>
      <c r="X854" s="549"/>
      <c r="Y854" s="549"/>
      <c r="Z854" s="549"/>
      <c r="AA854" s="549"/>
      <c r="AB854" s="549"/>
      <c r="AC854" s="549"/>
      <c r="AD854" s="549"/>
      <c r="AE854" s="549"/>
      <c r="AF854" s="549"/>
      <c r="AG854" s="549"/>
      <c r="AH854" s="549"/>
      <c r="AI854" s="549"/>
      <c r="AJ854" s="549"/>
      <c r="AK854" s="549"/>
      <c r="AL854" s="549"/>
      <c r="AM854" s="549"/>
      <c r="AN854" s="549"/>
      <c r="AO854" s="549"/>
      <c r="AP854" s="549"/>
      <c r="AQ854" s="549"/>
      <c r="AR854" s="549"/>
      <c r="AS854" s="549"/>
      <c r="AT854" s="549"/>
      <c r="AU854" s="549"/>
      <c r="AV854" s="549"/>
      <c r="AW854" s="549"/>
      <c r="AX854" s="549"/>
      <c r="AY854" s="549"/>
      <c r="AZ854" s="549"/>
      <c r="BA854" s="549"/>
      <c r="BB854" s="549"/>
      <c r="BC854" s="549"/>
      <c r="BD854" s="549"/>
      <c r="BE854" s="549"/>
      <c r="BF854" s="549"/>
      <c r="BG854" s="549"/>
      <c r="BH854" s="549"/>
      <c r="BI854" s="549"/>
    </row>
    <row r="855" spans="16:61" s="254" customFormat="1" ht="9.9">
      <c r="P855" s="549"/>
      <c r="Q855" s="549"/>
      <c r="R855" s="549"/>
      <c r="S855" s="549"/>
      <c r="T855" s="549"/>
      <c r="U855" s="549"/>
      <c r="V855" s="549"/>
      <c r="W855" s="549"/>
      <c r="X855" s="549"/>
      <c r="Y855" s="549"/>
      <c r="Z855" s="549"/>
      <c r="AA855" s="549"/>
      <c r="AB855" s="549"/>
      <c r="AC855" s="549"/>
      <c r="AD855" s="549"/>
      <c r="AE855" s="549"/>
      <c r="AF855" s="549"/>
      <c r="AG855" s="549"/>
      <c r="AH855" s="549"/>
      <c r="AI855" s="549"/>
      <c r="AJ855" s="549"/>
      <c r="AK855" s="549"/>
      <c r="AL855" s="549"/>
      <c r="AM855" s="549"/>
      <c r="AN855" s="549"/>
      <c r="AO855" s="549"/>
      <c r="AP855" s="549"/>
      <c r="AQ855" s="549"/>
      <c r="AR855" s="549"/>
      <c r="AS855" s="549"/>
      <c r="AT855" s="549"/>
      <c r="AU855" s="549"/>
      <c r="AV855" s="549"/>
      <c r="AW855" s="549"/>
      <c r="AX855" s="549"/>
      <c r="AY855" s="549"/>
      <c r="AZ855" s="549"/>
      <c r="BA855" s="549"/>
      <c r="BB855" s="549"/>
      <c r="BC855" s="549"/>
      <c r="BD855" s="549"/>
      <c r="BE855" s="549"/>
      <c r="BF855" s="549"/>
      <c r="BG855" s="549"/>
      <c r="BH855" s="549"/>
      <c r="BI855" s="549"/>
    </row>
    <row r="856" spans="16:61" s="254" customFormat="1" ht="9.9">
      <c r="P856" s="549"/>
      <c r="Q856" s="549"/>
      <c r="R856" s="549"/>
      <c r="S856" s="549"/>
      <c r="T856" s="549"/>
      <c r="U856" s="549"/>
      <c r="V856" s="549"/>
      <c r="W856" s="549"/>
      <c r="X856" s="549"/>
      <c r="Y856" s="549"/>
      <c r="Z856" s="549"/>
      <c r="AA856" s="549"/>
      <c r="AB856" s="549"/>
      <c r="AC856" s="549"/>
      <c r="AD856" s="549"/>
      <c r="AE856" s="549"/>
      <c r="AF856" s="549"/>
      <c r="AG856" s="549"/>
      <c r="AH856" s="549"/>
      <c r="AI856" s="549"/>
      <c r="AJ856" s="549"/>
      <c r="AK856" s="549"/>
      <c r="AL856" s="549"/>
      <c r="AM856" s="549"/>
      <c r="AN856" s="549"/>
      <c r="AO856" s="549"/>
      <c r="AP856" s="549"/>
      <c r="AQ856" s="549"/>
      <c r="AR856" s="549"/>
      <c r="AS856" s="549"/>
      <c r="AT856" s="549"/>
      <c r="AU856" s="549"/>
      <c r="AV856" s="549"/>
      <c r="AW856" s="549"/>
      <c r="AX856" s="549"/>
      <c r="AY856" s="549"/>
      <c r="AZ856" s="549"/>
      <c r="BA856" s="549"/>
      <c r="BB856" s="549"/>
      <c r="BC856" s="549"/>
      <c r="BD856" s="549"/>
      <c r="BE856" s="549"/>
      <c r="BF856" s="549"/>
      <c r="BG856" s="549"/>
      <c r="BH856" s="549"/>
      <c r="BI856" s="549"/>
    </row>
    <row r="857" spans="16:61" s="254" customFormat="1" ht="9.9">
      <c r="P857" s="549"/>
      <c r="Q857" s="549"/>
      <c r="R857" s="549"/>
      <c r="S857" s="549"/>
      <c r="T857" s="549"/>
      <c r="U857" s="549"/>
      <c r="V857" s="549"/>
      <c r="W857" s="549"/>
      <c r="X857" s="549"/>
      <c r="Y857" s="549"/>
      <c r="Z857" s="549"/>
      <c r="AA857" s="549"/>
      <c r="AB857" s="549"/>
      <c r="AC857" s="549"/>
      <c r="AD857" s="549"/>
      <c r="AE857" s="549"/>
      <c r="AF857" s="549"/>
      <c r="AG857" s="549"/>
      <c r="AH857" s="549"/>
      <c r="AI857" s="549"/>
      <c r="AJ857" s="549"/>
      <c r="AK857" s="549"/>
      <c r="AL857" s="549"/>
      <c r="AM857" s="549"/>
      <c r="AN857" s="549"/>
      <c r="AO857" s="549"/>
      <c r="AP857" s="549"/>
      <c r="AQ857" s="549"/>
      <c r="AR857" s="549"/>
      <c r="AS857" s="549"/>
      <c r="AT857" s="549"/>
      <c r="AU857" s="549"/>
      <c r="AV857" s="549"/>
      <c r="AW857" s="549"/>
      <c r="AX857" s="549"/>
      <c r="AY857" s="549"/>
      <c r="AZ857" s="549"/>
      <c r="BA857" s="549"/>
      <c r="BB857" s="549"/>
      <c r="BC857" s="549"/>
      <c r="BD857" s="549"/>
      <c r="BE857" s="549"/>
      <c r="BF857" s="549"/>
      <c r="BG857" s="549"/>
      <c r="BH857" s="549"/>
      <c r="BI857" s="549"/>
    </row>
    <row r="858" spans="16:61" s="254" customFormat="1" ht="9.9">
      <c r="P858" s="549"/>
      <c r="Q858" s="549"/>
      <c r="R858" s="549"/>
      <c r="S858" s="549"/>
      <c r="T858" s="549"/>
      <c r="U858" s="549"/>
      <c r="V858" s="549"/>
      <c r="W858" s="549"/>
      <c r="X858" s="549"/>
      <c r="Y858" s="549"/>
      <c r="Z858" s="549"/>
      <c r="AA858" s="549"/>
      <c r="AB858" s="549"/>
      <c r="AC858" s="549"/>
      <c r="AD858" s="549"/>
      <c r="AE858" s="549"/>
      <c r="AF858" s="549"/>
      <c r="AG858" s="549"/>
      <c r="AH858" s="549"/>
      <c r="AI858" s="549"/>
      <c r="AJ858" s="549"/>
      <c r="AK858" s="549"/>
      <c r="AL858" s="549"/>
      <c r="AM858" s="549"/>
      <c r="AN858" s="549"/>
      <c r="AO858" s="549"/>
      <c r="AP858" s="549"/>
      <c r="AQ858" s="549"/>
      <c r="AR858" s="549"/>
      <c r="AS858" s="549"/>
      <c r="AT858" s="549"/>
      <c r="AU858" s="549"/>
      <c r="AV858" s="549"/>
      <c r="AW858" s="549"/>
      <c r="AX858" s="549"/>
      <c r="AY858" s="549"/>
      <c r="AZ858" s="549"/>
      <c r="BA858" s="549"/>
      <c r="BB858" s="549"/>
      <c r="BC858" s="549"/>
      <c r="BD858" s="549"/>
      <c r="BE858" s="549"/>
      <c r="BF858" s="549"/>
      <c r="BG858" s="549"/>
      <c r="BH858" s="549"/>
      <c r="BI858" s="549"/>
    </row>
    <row r="859" spans="16:61" s="254" customFormat="1" ht="9.9">
      <c r="P859" s="549"/>
      <c r="Q859" s="549"/>
      <c r="R859" s="549"/>
      <c r="S859" s="549"/>
      <c r="T859" s="549"/>
      <c r="U859" s="549"/>
      <c r="V859" s="549"/>
      <c r="W859" s="549"/>
      <c r="X859" s="549"/>
      <c r="Y859" s="549"/>
      <c r="Z859" s="549"/>
      <c r="AA859" s="549"/>
      <c r="AB859" s="549"/>
      <c r="AC859" s="549"/>
      <c r="AD859" s="549"/>
      <c r="AE859" s="549"/>
      <c r="AF859" s="549"/>
      <c r="AG859" s="549"/>
      <c r="AH859" s="549"/>
      <c r="AI859" s="549"/>
      <c r="AJ859" s="549"/>
      <c r="AK859" s="549"/>
      <c r="AL859" s="549"/>
      <c r="AM859" s="549"/>
      <c r="AN859" s="549"/>
      <c r="AO859" s="549"/>
      <c r="AP859" s="549"/>
      <c r="AQ859" s="549"/>
      <c r="AR859" s="549"/>
      <c r="AS859" s="549"/>
      <c r="AT859" s="549"/>
      <c r="AU859" s="549"/>
      <c r="AV859" s="549"/>
      <c r="AW859" s="549"/>
      <c r="AX859" s="549"/>
      <c r="AY859" s="549"/>
      <c r="AZ859" s="549"/>
      <c r="BA859" s="549"/>
      <c r="BB859" s="549"/>
      <c r="BC859" s="549"/>
      <c r="BD859" s="549"/>
      <c r="BE859" s="549"/>
      <c r="BF859" s="549"/>
      <c r="BG859" s="549"/>
      <c r="BH859" s="549"/>
      <c r="BI859" s="549"/>
    </row>
    <row r="860" spans="16:61" s="254" customFormat="1" ht="9.9">
      <c r="P860" s="549"/>
      <c r="Q860" s="549"/>
      <c r="R860" s="549"/>
      <c r="S860" s="549"/>
      <c r="T860" s="549"/>
      <c r="U860" s="549"/>
      <c r="V860" s="549"/>
      <c r="W860" s="549"/>
      <c r="X860" s="549"/>
      <c r="Y860" s="549"/>
      <c r="Z860" s="549"/>
      <c r="AA860" s="549"/>
      <c r="AB860" s="549"/>
      <c r="AC860" s="549"/>
      <c r="AD860" s="549"/>
      <c r="AE860" s="549"/>
      <c r="AF860" s="549"/>
      <c r="AG860" s="549"/>
      <c r="AH860" s="549"/>
      <c r="AI860" s="549"/>
      <c r="AJ860" s="549"/>
      <c r="AK860" s="549"/>
      <c r="AL860" s="549"/>
      <c r="AM860" s="549"/>
      <c r="AN860" s="549"/>
      <c r="AO860" s="549"/>
      <c r="AP860" s="549"/>
      <c r="AQ860" s="549"/>
      <c r="AR860" s="549"/>
      <c r="AS860" s="549"/>
      <c r="AT860" s="549"/>
      <c r="AU860" s="549"/>
      <c r="AV860" s="549"/>
      <c r="AW860" s="549"/>
      <c r="AX860" s="549"/>
      <c r="AY860" s="549"/>
      <c r="AZ860" s="549"/>
      <c r="BA860" s="549"/>
      <c r="BB860" s="549"/>
      <c r="BC860" s="549"/>
      <c r="BD860" s="549"/>
      <c r="BE860" s="549"/>
      <c r="BF860" s="549"/>
      <c r="BG860" s="549"/>
      <c r="BH860" s="549"/>
      <c r="BI860" s="549"/>
    </row>
    <row r="861" spans="16:61" s="254" customFormat="1" ht="9.9">
      <c r="P861" s="549"/>
      <c r="Q861" s="549"/>
      <c r="R861" s="549"/>
      <c r="S861" s="549"/>
      <c r="T861" s="549"/>
      <c r="U861" s="549"/>
      <c r="V861" s="549"/>
      <c r="W861" s="549"/>
      <c r="X861" s="549"/>
      <c r="Y861" s="549"/>
      <c r="Z861" s="549"/>
      <c r="AA861" s="549"/>
      <c r="AB861" s="549"/>
      <c r="AC861" s="549"/>
      <c r="AD861" s="549"/>
      <c r="AE861" s="549"/>
      <c r="AF861" s="549"/>
      <c r="AG861" s="549"/>
      <c r="AH861" s="549"/>
      <c r="AI861" s="549"/>
      <c r="AJ861" s="549"/>
      <c r="AK861" s="549"/>
      <c r="AL861" s="549"/>
      <c r="AM861" s="549"/>
      <c r="AN861" s="549"/>
      <c r="AO861" s="549"/>
      <c r="AP861" s="549"/>
      <c r="AQ861" s="549"/>
      <c r="AR861" s="549"/>
      <c r="AS861" s="549"/>
      <c r="AT861" s="549"/>
      <c r="AU861" s="549"/>
      <c r="AV861" s="549"/>
      <c r="AW861" s="549"/>
      <c r="AX861" s="549"/>
      <c r="AY861" s="549"/>
      <c r="AZ861" s="549"/>
      <c r="BA861" s="549"/>
      <c r="BB861" s="549"/>
      <c r="BC861" s="549"/>
      <c r="BD861" s="549"/>
      <c r="BE861" s="549"/>
      <c r="BF861" s="549"/>
      <c r="BG861" s="549"/>
      <c r="BH861" s="549"/>
      <c r="BI861" s="549"/>
    </row>
    <row r="862" spans="16:61" s="254" customFormat="1" ht="9.9">
      <c r="P862" s="549"/>
      <c r="Q862" s="549"/>
      <c r="R862" s="549"/>
      <c r="S862" s="549"/>
      <c r="T862" s="549"/>
      <c r="U862" s="549"/>
      <c r="V862" s="549"/>
      <c r="W862" s="549"/>
      <c r="X862" s="549"/>
      <c r="Y862" s="549"/>
      <c r="Z862" s="549"/>
      <c r="AA862" s="549"/>
      <c r="AB862" s="549"/>
      <c r="AC862" s="549"/>
      <c r="AD862" s="549"/>
      <c r="AE862" s="549"/>
      <c r="AF862" s="549"/>
      <c r="AG862" s="549"/>
      <c r="AH862" s="549"/>
      <c r="AI862" s="549"/>
      <c r="AJ862" s="549"/>
      <c r="AK862" s="549"/>
      <c r="AL862" s="549"/>
      <c r="AM862" s="549"/>
      <c r="AN862" s="549"/>
      <c r="AO862" s="549"/>
      <c r="AP862" s="549"/>
      <c r="AQ862" s="549"/>
      <c r="AR862" s="549"/>
      <c r="AS862" s="549"/>
      <c r="AT862" s="549"/>
      <c r="AU862" s="549"/>
      <c r="AV862" s="549"/>
      <c r="AW862" s="549"/>
      <c r="AX862" s="549"/>
      <c r="AY862" s="549"/>
      <c r="AZ862" s="549"/>
      <c r="BA862" s="549"/>
      <c r="BB862" s="549"/>
      <c r="BC862" s="549"/>
      <c r="BD862" s="549"/>
      <c r="BE862" s="549"/>
      <c r="BF862" s="549"/>
      <c r="BG862" s="549"/>
      <c r="BH862" s="549"/>
      <c r="BI862" s="549"/>
    </row>
    <row r="863" spans="16:61" s="254" customFormat="1" ht="9.9">
      <c r="P863" s="549"/>
      <c r="Q863" s="549"/>
      <c r="R863" s="549"/>
      <c r="S863" s="549"/>
      <c r="T863" s="549"/>
      <c r="U863" s="549"/>
      <c r="V863" s="549"/>
      <c r="W863" s="549"/>
      <c r="X863" s="549"/>
      <c r="Y863" s="549"/>
      <c r="Z863" s="549"/>
      <c r="AA863" s="549"/>
      <c r="AB863" s="549"/>
      <c r="AC863" s="549"/>
      <c r="AD863" s="549"/>
      <c r="AE863" s="549"/>
      <c r="AF863" s="549"/>
      <c r="AG863" s="549"/>
      <c r="AH863" s="549"/>
      <c r="AI863" s="549"/>
      <c r="AJ863" s="549"/>
      <c r="AK863" s="549"/>
      <c r="AL863" s="549"/>
      <c r="AM863" s="549"/>
      <c r="AN863" s="549"/>
      <c r="AO863" s="549"/>
      <c r="AP863" s="549"/>
      <c r="AQ863" s="549"/>
      <c r="AR863" s="549"/>
      <c r="AS863" s="549"/>
      <c r="AT863" s="549"/>
      <c r="AU863" s="549"/>
      <c r="AV863" s="549"/>
      <c r="AW863" s="549"/>
      <c r="AX863" s="549"/>
      <c r="AY863" s="549"/>
      <c r="AZ863" s="549"/>
      <c r="BA863" s="549"/>
      <c r="BB863" s="549"/>
      <c r="BC863" s="549"/>
      <c r="BD863" s="549"/>
      <c r="BE863" s="549"/>
      <c r="BF863" s="549"/>
      <c r="BG863" s="549"/>
      <c r="BH863" s="549"/>
      <c r="BI863" s="549"/>
    </row>
    <row r="864" spans="16:61" s="254" customFormat="1" ht="9.9">
      <c r="P864" s="549"/>
      <c r="Q864" s="549"/>
      <c r="R864" s="549"/>
      <c r="S864" s="549"/>
      <c r="T864" s="549"/>
      <c r="U864" s="549"/>
      <c r="V864" s="549"/>
      <c r="W864" s="549"/>
      <c r="X864" s="549"/>
      <c r="Y864" s="549"/>
      <c r="Z864" s="549"/>
      <c r="AA864" s="549"/>
      <c r="AB864" s="549"/>
      <c r="AC864" s="549"/>
      <c r="AD864" s="549"/>
      <c r="AE864" s="549"/>
      <c r="AF864" s="549"/>
      <c r="AG864" s="549"/>
      <c r="AH864" s="549"/>
      <c r="AI864" s="549"/>
      <c r="AJ864" s="549"/>
      <c r="AK864" s="549"/>
      <c r="AL864" s="549"/>
      <c r="AM864" s="549"/>
      <c r="AN864" s="549"/>
      <c r="AO864" s="549"/>
      <c r="AP864" s="549"/>
      <c r="AQ864" s="549"/>
      <c r="AR864" s="549"/>
      <c r="AS864" s="549"/>
      <c r="AT864" s="549"/>
      <c r="AU864" s="549"/>
      <c r="AV864" s="549"/>
      <c r="AW864" s="549"/>
      <c r="AX864" s="549"/>
      <c r="AY864" s="549"/>
      <c r="AZ864" s="549"/>
      <c r="BA864" s="549"/>
      <c r="BB864" s="549"/>
      <c r="BC864" s="549"/>
      <c r="BD864" s="549"/>
      <c r="BE864" s="549"/>
      <c r="BF864" s="549"/>
      <c r="BG864" s="549"/>
      <c r="BH864" s="549"/>
      <c r="BI864" s="549"/>
    </row>
    <row r="865" spans="16:61" s="254" customFormat="1" ht="9.9">
      <c r="P865" s="549"/>
      <c r="Q865" s="549"/>
      <c r="R865" s="549"/>
      <c r="S865" s="549"/>
      <c r="T865" s="549"/>
      <c r="U865" s="549"/>
      <c r="V865" s="549"/>
      <c r="W865" s="549"/>
      <c r="X865" s="549"/>
      <c r="Y865" s="549"/>
      <c r="Z865" s="549"/>
      <c r="AA865" s="549"/>
      <c r="AB865" s="549"/>
      <c r="AC865" s="549"/>
      <c r="AD865" s="549"/>
      <c r="AE865" s="549"/>
      <c r="AF865" s="549"/>
      <c r="AG865" s="549"/>
      <c r="AH865" s="549"/>
      <c r="AI865" s="549"/>
      <c r="AJ865" s="549"/>
      <c r="AK865" s="549"/>
      <c r="AL865" s="549"/>
      <c r="AM865" s="549"/>
      <c r="AN865" s="549"/>
      <c r="AO865" s="549"/>
      <c r="AP865" s="549"/>
      <c r="AQ865" s="549"/>
      <c r="AR865" s="549"/>
      <c r="AS865" s="549"/>
      <c r="AT865" s="549"/>
      <c r="AU865" s="549"/>
      <c r="AV865" s="549"/>
      <c r="AW865" s="549"/>
      <c r="AX865" s="549"/>
      <c r="AY865" s="549"/>
      <c r="AZ865" s="549"/>
      <c r="BA865" s="549"/>
      <c r="BB865" s="549"/>
      <c r="BC865" s="549"/>
      <c r="BD865" s="549"/>
      <c r="BE865" s="549"/>
      <c r="BF865" s="549"/>
      <c r="BG865" s="549"/>
      <c r="BH865" s="549"/>
      <c r="BI865" s="549"/>
    </row>
    <row r="866" spans="16:61" s="254" customFormat="1" ht="9.9">
      <c r="P866" s="549"/>
      <c r="Q866" s="549"/>
      <c r="R866" s="549"/>
      <c r="S866" s="549"/>
      <c r="T866" s="549"/>
      <c r="U866" s="549"/>
      <c r="V866" s="549"/>
      <c r="W866" s="549"/>
      <c r="X866" s="549"/>
      <c r="Y866" s="549"/>
      <c r="Z866" s="549"/>
      <c r="AA866" s="549"/>
      <c r="AB866" s="549"/>
      <c r="AC866" s="549"/>
      <c r="AD866" s="549"/>
      <c r="AE866" s="549"/>
      <c r="AF866" s="549"/>
      <c r="AG866" s="549"/>
      <c r="AH866" s="549"/>
      <c r="AI866" s="549"/>
      <c r="AJ866" s="549"/>
      <c r="AK866" s="549"/>
      <c r="AL866" s="549"/>
      <c r="AM866" s="549"/>
      <c r="AN866" s="549"/>
      <c r="AO866" s="549"/>
      <c r="AP866" s="549"/>
      <c r="AQ866" s="549"/>
      <c r="AR866" s="549"/>
      <c r="AS866" s="549"/>
      <c r="AT866" s="549"/>
      <c r="AU866" s="549"/>
      <c r="AV866" s="549"/>
      <c r="AW866" s="549"/>
      <c r="AX866" s="549"/>
      <c r="AY866" s="549"/>
      <c r="AZ866" s="549"/>
      <c r="BA866" s="549"/>
      <c r="BB866" s="549"/>
      <c r="BC866" s="549"/>
      <c r="BD866" s="549"/>
      <c r="BE866" s="549"/>
      <c r="BF866" s="549"/>
      <c r="BG866" s="549"/>
      <c r="BH866" s="549"/>
      <c r="BI866" s="549"/>
    </row>
    <row r="867" spans="16:61" s="254" customFormat="1" ht="9.9">
      <c r="P867" s="549"/>
      <c r="Q867" s="549"/>
      <c r="R867" s="549"/>
      <c r="S867" s="549"/>
      <c r="T867" s="549"/>
      <c r="U867" s="549"/>
      <c r="V867" s="549"/>
      <c r="W867" s="549"/>
      <c r="X867" s="549"/>
      <c r="Y867" s="549"/>
      <c r="Z867" s="549"/>
      <c r="AA867" s="549"/>
      <c r="AB867" s="549"/>
      <c r="AC867" s="549"/>
      <c r="AD867" s="549"/>
      <c r="AE867" s="549"/>
      <c r="AF867" s="549"/>
      <c r="AG867" s="549"/>
      <c r="AH867" s="549"/>
      <c r="AI867" s="549"/>
      <c r="AJ867" s="549"/>
      <c r="AK867" s="549"/>
      <c r="AL867" s="549"/>
      <c r="AM867" s="549"/>
      <c r="AN867" s="549"/>
      <c r="AO867" s="549"/>
      <c r="AP867" s="549"/>
      <c r="AQ867" s="549"/>
      <c r="AR867" s="549"/>
      <c r="AS867" s="549"/>
      <c r="AT867" s="549"/>
      <c r="AU867" s="549"/>
      <c r="AV867" s="549"/>
      <c r="AW867" s="549"/>
      <c r="AX867" s="549"/>
      <c r="AY867" s="549"/>
      <c r="AZ867" s="549"/>
      <c r="BA867" s="549"/>
      <c r="BB867" s="549"/>
      <c r="BC867" s="549"/>
      <c r="BD867" s="549"/>
      <c r="BE867" s="549"/>
      <c r="BF867" s="549"/>
      <c r="BG867" s="549"/>
      <c r="BH867" s="549"/>
      <c r="BI867" s="549"/>
    </row>
    <row r="868" spans="16:61" s="254" customFormat="1" ht="9.9">
      <c r="P868" s="549"/>
      <c r="Q868" s="549"/>
      <c r="R868" s="549"/>
      <c r="S868" s="549"/>
      <c r="T868" s="549"/>
      <c r="U868" s="549"/>
      <c r="V868" s="549"/>
      <c r="W868" s="549"/>
      <c r="X868" s="549"/>
      <c r="Y868" s="549"/>
      <c r="Z868" s="549"/>
      <c r="AA868" s="549"/>
      <c r="AB868" s="549"/>
      <c r="AC868" s="549"/>
      <c r="AD868" s="549"/>
      <c r="AE868" s="549"/>
      <c r="AF868" s="549"/>
      <c r="AG868" s="549"/>
      <c r="AH868" s="549"/>
      <c r="AI868" s="549"/>
      <c r="AJ868" s="549"/>
      <c r="AK868" s="549"/>
      <c r="AL868" s="549"/>
      <c r="AM868" s="549"/>
      <c r="AN868" s="549"/>
      <c r="AO868" s="549"/>
      <c r="AP868" s="549"/>
      <c r="AQ868" s="549"/>
      <c r="AR868" s="549"/>
      <c r="AS868" s="549"/>
      <c r="AT868" s="549"/>
      <c r="AU868" s="549"/>
      <c r="AV868" s="549"/>
      <c r="AW868" s="549"/>
      <c r="AX868" s="549"/>
      <c r="AY868" s="549"/>
      <c r="AZ868" s="549"/>
      <c r="BA868" s="549"/>
      <c r="BB868" s="549"/>
      <c r="BC868" s="549"/>
      <c r="BD868" s="549"/>
      <c r="BE868" s="549"/>
      <c r="BF868" s="549"/>
      <c r="BG868" s="549"/>
      <c r="BH868" s="549"/>
      <c r="BI868" s="549"/>
    </row>
    <row r="869" spans="16:61" s="254" customFormat="1" ht="9.9">
      <c r="P869" s="549"/>
      <c r="Q869" s="549"/>
      <c r="R869" s="549"/>
      <c r="S869" s="549"/>
      <c r="T869" s="549"/>
      <c r="U869" s="549"/>
      <c r="V869" s="549"/>
      <c r="W869" s="549"/>
      <c r="X869" s="549"/>
      <c r="Y869" s="549"/>
      <c r="Z869" s="549"/>
      <c r="AA869" s="549"/>
      <c r="AB869" s="549"/>
      <c r="AC869" s="549"/>
      <c r="AD869" s="549"/>
      <c r="AE869" s="549"/>
      <c r="AF869" s="549"/>
      <c r="AG869" s="549"/>
      <c r="AH869" s="549"/>
      <c r="AI869" s="549"/>
      <c r="AJ869" s="549"/>
      <c r="AK869" s="549"/>
      <c r="AL869" s="549"/>
      <c r="AM869" s="549"/>
      <c r="AN869" s="549"/>
      <c r="AO869" s="549"/>
      <c r="AP869" s="549"/>
      <c r="AQ869" s="549"/>
      <c r="AR869" s="549"/>
      <c r="AS869" s="549"/>
      <c r="AT869" s="549"/>
      <c r="AU869" s="549"/>
      <c r="AV869" s="549"/>
      <c r="AW869" s="549"/>
      <c r="AX869" s="549"/>
      <c r="AY869" s="549"/>
      <c r="AZ869" s="549"/>
      <c r="BA869" s="549"/>
      <c r="BB869" s="549"/>
      <c r="BC869" s="549"/>
      <c r="BD869" s="549"/>
      <c r="BE869" s="549"/>
      <c r="BF869" s="549"/>
      <c r="BG869" s="549"/>
      <c r="BH869" s="549"/>
      <c r="BI869" s="549"/>
    </row>
    <row r="870" spans="16:61" s="254" customFormat="1" ht="9.9">
      <c r="P870" s="549"/>
      <c r="Q870" s="549"/>
      <c r="R870" s="549"/>
      <c r="S870" s="549"/>
      <c r="T870" s="549"/>
      <c r="U870" s="549"/>
      <c r="V870" s="549"/>
      <c r="W870" s="549"/>
      <c r="X870" s="549"/>
      <c r="Y870" s="549"/>
      <c r="Z870" s="549"/>
      <c r="AA870" s="549"/>
      <c r="AB870" s="549"/>
      <c r="AC870" s="549"/>
      <c r="AD870" s="549"/>
      <c r="AE870" s="549"/>
      <c r="AF870" s="549"/>
      <c r="AG870" s="549"/>
      <c r="AH870" s="549"/>
      <c r="AI870" s="549"/>
      <c r="AJ870" s="549"/>
      <c r="AK870" s="549"/>
      <c r="AL870" s="549"/>
      <c r="AM870" s="549"/>
      <c r="AN870" s="549"/>
      <c r="AO870" s="549"/>
      <c r="AP870" s="549"/>
      <c r="AQ870" s="549"/>
      <c r="AR870" s="549"/>
      <c r="AS870" s="549"/>
      <c r="AT870" s="549"/>
      <c r="AU870" s="549"/>
      <c r="AV870" s="549"/>
      <c r="AW870" s="549"/>
      <c r="AX870" s="549"/>
      <c r="AY870" s="549"/>
      <c r="AZ870" s="549"/>
      <c r="BA870" s="549"/>
      <c r="BB870" s="549"/>
      <c r="BC870" s="549"/>
      <c r="BD870" s="549"/>
      <c r="BE870" s="549"/>
      <c r="BF870" s="549"/>
      <c r="BG870" s="549"/>
      <c r="BH870" s="549"/>
      <c r="BI870" s="549"/>
    </row>
    <row r="871" spans="16:61" s="254" customFormat="1" ht="9.9">
      <c r="P871" s="549"/>
      <c r="Q871" s="549"/>
      <c r="R871" s="549"/>
      <c r="S871" s="549"/>
      <c r="T871" s="549"/>
      <c r="U871" s="549"/>
      <c r="V871" s="549"/>
      <c r="W871" s="549"/>
      <c r="X871" s="549"/>
      <c r="Y871" s="549"/>
      <c r="Z871" s="549"/>
      <c r="AA871" s="549"/>
      <c r="AB871" s="549"/>
      <c r="AC871" s="549"/>
      <c r="AD871" s="549"/>
      <c r="AE871" s="549"/>
      <c r="AF871" s="549"/>
      <c r="AG871" s="549"/>
      <c r="AH871" s="549"/>
      <c r="AI871" s="549"/>
      <c r="AJ871" s="549"/>
      <c r="AK871" s="549"/>
      <c r="AL871" s="549"/>
      <c r="AM871" s="549"/>
      <c r="AN871" s="549"/>
      <c r="AO871" s="549"/>
      <c r="AP871" s="549"/>
      <c r="AQ871" s="549"/>
      <c r="AR871" s="549"/>
      <c r="AS871" s="549"/>
      <c r="AT871" s="549"/>
      <c r="AU871" s="549"/>
      <c r="AV871" s="549"/>
      <c r="AW871" s="549"/>
      <c r="AX871" s="549"/>
      <c r="AY871" s="549"/>
      <c r="AZ871" s="549"/>
      <c r="BA871" s="549"/>
      <c r="BB871" s="549"/>
      <c r="BC871" s="549"/>
      <c r="BD871" s="549"/>
      <c r="BE871" s="549"/>
      <c r="BF871" s="549"/>
      <c r="BG871" s="549"/>
      <c r="BH871" s="549"/>
      <c r="BI871" s="549"/>
    </row>
    <row r="872" spans="16:61" s="254" customFormat="1" ht="9.9">
      <c r="P872" s="549"/>
      <c r="Q872" s="549"/>
      <c r="R872" s="549"/>
      <c r="S872" s="549"/>
      <c r="T872" s="549"/>
      <c r="U872" s="549"/>
      <c r="V872" s="549"/>
      <c r="W872" s="549"/>
      <c r="X872" s="549"/>
      <c r="Y872" s="549"/>
      <c r="Z872" s="549"/>
      <c r="AA872" s="549"/>
      <c r="AB872" s="549"/>
      <c r="AC872" s="549"/>
      <c r="AD872" s="549"/>
      <c r="AE872" s="549"/>
      <c r="AF872" s="549"/>
      <c r="AG872" s="549"/>
      <c r="AH872" s="549"/>
      <c r="AI872" s="549"/>
      <c r="AJ872" s="549"/>
      <c r="AK872" s="549"/>
      <c r="AL872" s="549"/>
      <c r="AM872" s="549"/>
      <c r="AN872" s="549"/>
      <c r="AO872" s="549"/>
      <c r="AP872" s="549"/>
      <c r="AQ872" s="549"/>
      <c r="AR872" s="549"/>
      <c r="AS872" s="549"/>
      <c r="AT872" s="549"/>
      <c r="AU872" s="549"/>
      <c r="AV872" s="549"/>
      <c r="AW872" s="549"/>
      <c r="AX872" s="549"/>
      <c r="AY872" s="549"/>
      <c r="AZ872" s="549"/>
      <c r="BA872" s="549"/>
      <c r="BB872" s="549"/>
      <c r="BC872" s="549"/>
      <c r="BD872" s="549"/>
      <c r="BE872" s="549"/>
      <c r="BF872" s="549"/>
      <c r="BG872" s="549"/>
      <c r="BH872" s="549"/>
      <c r="BI872" s="549"/>
    </row>
    <row r="873" spans="16:61" s="254" customFormat="1" ht="9.9">
      <c r="P873" s="549"/>
      <c r="Q873" s="549"/>
      <c r="R873" s="549"/>
      <c r="S873" s="549"/>
      <c r="T873" s="549"/>
      <c r="U873" s="549"/>
      <c r="V873" s="549"/>
      <c r="W873" s="549"/>
      <c r="X873" s="549"/>
      <c r="Y873" s="549"/>
      <c r="Z873" s="549"/>
      <c r="AA873" s="549"/>
      <c r="AB873" s="549"/>
      <c r="AC873" s="549"/>
      <c r="AD873" s="549"/>
      <c r="AE873" s="549"/>
      <c r="AF873" s="549"/>
      <c r="AG873" s="549"/>
      <c r="AH873" s="549"/>
      <c r="AI873" s="549"/>
      <c r="AJ873" s="549"/>
      <c r="AK873" s="549"/>
      <c r="AL873" s="549"/>
      <c r="AM873" s="549"/>
      <c r="AN873" s="549"/>
      <c r="AO873" s="549"/>
      <c r="AP873" s="549"/>
      <c r="AQ873" s="549"/>
      <c r="AR873" s="549"/>
      <c r="AS873" s="549"/>
      <c r="AT873" s="549"/>
      <c r="AU873" s="549"/>
      <c r="AV873" s="549"/>
      <c r="AW873" s="549"/>
      <c r="AX873" s="549"/>
      <c r="AY873" s="549"/>
      <c r="AZ873" s="549"/>
      <c r="BA873" s="549"/>
      <c r="BB873" s="549"/>
      <c r="BC873" s="549"/>
      <c r="BD873" s="549"/>
      <c r="BE873" s="549"/>
      <c r="BF873" s="549"/>
      <c r="BG873" s="549"/>
      <c r="BH873" s="549"/>
      <c r="BI873" s="549"/>
    </row>
    <row r="874" spans="16:61" s="254" customFormat="1" ht="9.9">
      <c r="P874" s="549"/>
      <c r="Q874" s="549"/>
      <c r="R874" s="549"/>
      <c r="S874" s="549"/>
      <c r="T874" s="549"/>
      <c r="U874" s="549"/>
      <c r="V874" s="549"/>
      <c r="W874" s="549"/>
      <c r="X874" s="549"/>
      <c r="Y874" s="549"/>
      <c r="Z874" s="549"/>
      <c r="AA874" s="549"/>
      <c r="AB874" s="549"/>
      <c r="AC874" s="549"/>
      <c r="AD874" s="549"/>
      <c r="AE874" s="549"/>
      <c r="AF874" s="549"/>
      <c r="AG874" s="549"/>
      <c r="AH874" s="549"/>
      <c r="AI874" s="549"/>
      <c r="AJ874" s="549"/>
      <c r="AK874" s="549"/>
      <c r="AL874" s="549"/>
      <c r="AM874" s="549"/>
      <c r="AN874" s="549"/>
      <c r="AO874" s="549"/>
      <c r="AP874" s="549"/>
      <c r="AQ874" s="549"/>
      <c r="AR874" s="549"/>
      <c r="AS874" s="549"/>
      <c r="AT874" s="549"/>
      <c r="AU874" s="549"/>
      <c r="AV874" s="549"/>
      <c r="AW874" s="549"/>
      <c r="AX874" s="549"/>
      <c r="AY874" s="549"/>
      <c r="AZ874" s="549"/>
      <c r="BA874" s="549"/>
      <c r="BB874" s="549"/>
      <c r="BC874" s="549"/>
      <c r="BD874" s="549"/>
      <c r="BE874" s="549"/>
      <c r="BF874" s="549"/>
      <c r="BG874" s="549"/>
      <c r="BH874" s="549"/>
      <c r="BI874" s="549"/>
    </row>
    <row r="875" spans="16:61" s="254" customFormat="1" ht="9.9">
      <c r="P875" s="549"/>
      <c r="Q875" s="549"/>
      <c r="R875" s="549"/>
      <c r="S875" s="549"/>
      <c r="T875" s="549"/>
      <c r="U875" s="549"/>
      <c r="V875" s="549"/>
      <c r="W875" s="549"/>
      <c r="X875" s="549"/>
      <c r="Y875" s="549"/>
      <c r="Z875" s="549"/>
      <c r="AA875" s="549"/>
      <c r="AB875" s="549"/>
      <c r="AC875" s="549"/>
      <c r="AD875" s="549"/>
      <c r="AE875" s="549"/>
      <c r="AF875" s="549"/>
      <c r="AG875" s="549"/>
      <c r="AH875" s="549"/>
      <c r="AI875" s="549"/>
      <c r="AJ875" s="549"/>
      <c r="AK875" s="549"/>
      <c r="AL875" s="549"/>
      <c r="AM875" s="549"/>
      <c r="AN875" s="549"/>
      <c r="AO875" s="549"/>
      <c r="AP875" s="549"/>
      <c r="AQ875" s="549"/>
      <c r="AR875" s="549"/>
      <c r="AS875" s="549"/>
      <c r="AT875" s="549"/>
      <c r="AU875" s="549"/>
      <c r="AV875" s="549"/>
      <c r="AW875" s="549"/>
      <c r="AX875" s="549"/>
      <c r="AY875" s="549"/>
      <c r="AZ875" s="549"/>
      <c r="BA875" s="549"/>
      <c r="BB875" s="549"/>
      <c r="BC875" s="549"/>
      <c r="BD875" s="549"/>
      <c r="BE875" s="549"/>
      <c r="BF875" s="549"/>
      <c r="BG875" s="549"/>
      <c r="BH875" s="549"/>
      <c r="BI875" s="549"/>
    </row>
    <row r="876" spans="16:61" s="254" customFormat="1" ht="9.9">
      <c r="P876" s="549"/>
      <c r="Q876" s="549"/>
      <c r="R876" s="549"/>
      <c r="S876" s="549"/>
      <c r="T876" s="549"/>
      <c r="U876" s="549"/>
      <c r="V876" s="549"/>
      <c r="W876" s="549"/>
      <c r="X876" s="549"/>
      <c r="Y876" s="549"/>
      <c r="Z876" s="549"/>
      <c r="AA876" s="549"/>
      <c r="AB876" s="549"/>
      <c r="AC876" s="549"/>
      <c r="AD876" s="549"/>
      <c r="AE876" s="549"/>
      <c r="AF876" s="549"/>
      <c r="AG876" s="549"/>
      <c r="AH876" s="549"/>
      <c r="AI876" s="549"/>
      <c r="AJ876" s="549"/>
      <c r="AK876" s="549"/>
      <c r="AL876" s="549"/>
      <c r="AM876" s="549"/>
      <c r="AN876" s="549"/>
      <c r="AO876" s="549"/>
      <c r="AP876" s="549"/>
      <c r="AQ876" s="549"/>
      <c r="AR876" s="549"/>
      <c r="AS876" s="549"/>
      <c r="AT876" s="549"/>
      <c r="AU876" s="549"/>
      <c r="AV876" s="549"/>
      <c r="AW876" s="549"/>
      <c r="AX876" s="549"/>
      <c r="AY876" s="549"/>
      <c r="AZ876" s="549"/>
      <c r="BA876" s="549"/>
      <c r="BB876" s="549"/>
      <c r="BC876" s="549"/>
      <c r="BD876" s="549"/>
      <c r="BE876" s="549"/>
      <c r="BF876" s="549"/>
      <c r="BG876" s="549"/>
      <c r="BH876" s="549"/>
      <c r="BI876" s="549"/>
    </row>
    <row r="877" spans="16:61" s="254" customFormat="1" ht="9.9">
      <c r="P877" s="549"/>
      <c r="Q877" s="549"/>
      <c r="R877" s="549"/>
      <c r="S877" s="549"/>
      <c r="T877" s="549"/>
      <c r="U877" s="549"/>
      <c r="V877" s="549"/>
      <c r="W877" s="549"/>
      <c r="X877" s="549"/>
      <c r="Y877" s="549"/>
      <c r="Z877" s="549"/>
      <c r="AA877" s="549"/>
      <c r="AB877" s="549"/>
      <c r="AC877" s="549"/>
      <c r="AD877" s="549"/>
      <c r="AE877" s="549"/>
      <c r="AF877" s="549"/>
      <c r="AG877" s="549"/>
      <c r="AH877" s="549"/>
      <c r="AI877" s="549"/>
      <c r="AJ877" s="549"/>
      <c r="AK877" s="549"/>
      <c r="AL877" s="549"/>
      <c r="AM877" s="549"/>
      <c r="AN877" s="549"/>
      <c r="AO877" s="549"/>
      <c r="AP877" s="549"/>
      <c r="AQ877" s="549"/>
      <c r="AR877" s="549"/>
      <c r="AS877" s="549"/>
      <c r="AT877" s="549"/>
      <c r="AU877" s="549"/>
      <c r="AV877" s="549"/>
      <c r="AW877" s="549"/>
      <c r="AX877" s="549"/>
      <c r="AY877" s="549"/>
      <c r="AZ877" s="549"/>
      <c r="BA877" s="549"/>
      <c r="BB877" s="549"/>
      <c r="BC877" s="549"/>
      <c r="BD877" s="549"/>
      <c r="BE877" s="549"/>
      <c r="BF877" s="549"/>
      <c r="BG877" s="549"/>
      <c r="BH877" s="549"/>
      <c r="BI877" s="549"/>
    </row>
    <row r="878" spans="16:61" s="254" customFormat="1" ht="9.9">
      <c r="P878" s="549"/>
      <c r="Q878" s="549"/>
      <c r="R878" s="549"/>
      <c r="S878" s="549"/>
      <c r="T878" s="549"/>
      <c r="U878" s="549"/>
      <c r="V878" s="549"/>
      <c r="W878" s="549"/>
      <c r="X878" s="549"/>
      <c r="Y878" s="549"/>
      <c r="Z878" s="549"/>
      <c r="AA878" s="549"/>
      <c r="AB878" s="549"/>
      <c r="AC878" s="549"/>
      <c r="AD878" s="549"/>
      <c r="AE878" s="549"/>
      <c r="AF878" s="549"/>
      <c r="AG878" s="549"/>
      <c r="AH878" s="549"/>
      <c r="AI878" s="549"/>
      <c r="AJ878" s="549"/>
      <c r="AK878" s="549"/>
      <c r="AL878" s="549"/>
      <c r="AM878" s="549"/>
      <c r="AN878" s="549"/>
      <c r="AO878" s="549"/>
      <c r="AP878" s="549"/>
      <c r="AQ878" s="549"/>
      <c r="AR878" s="549"/>
      <c r="AS878" s="549"/>
      <c r="AT878" s="549"/>
      <c r="AU878" s="549"/>
      <c r="AV878" s="549"/>
      <c r="AW878" s="549"/>
      <c r="AX878" s="549"/>
      <c r="AY878" s="549"/>
      <c r="AZ878" s="549"/>
      <c r="BA878" s="549"/>
      <c r="BB878" s="549"/>
      <c r="BC878" s="549"/>
      <c r="BD878" s="549"/>
      <c r="BE878" s="549"/>
      <c r="BF878" s="549"/>
      <c r="BG878" s="549"/>
      <c r="BH878" s="549"/>
      <c r="BI878" s="549"/>
    </row>
    <row r="879" spans="16:61" s="254" customFormat="1" ht="9.9">
      <c r="P879" s="549"/>
      <c r="Q879" s="549"/>
      <c r="R879" s="549"/>
      <c r="S879" s="549"/>
      <c r="T879" s="549"/>
      <c r="U879" s="549"/>
      <c r="V879" s="549"/>
      <c r="W879" s="549"/>
      <c r="X879" s="549"/>
      <c r="Y879" s="549"/>
      <c r="Z879" s="549"/>
      <c r="AA879" s="549"/>
      <c r="AB879" s="549"/>
      <c r="AC879" s="549"/>
      <c r="AD879" s="549"/>
      <c r="AE879" s="549"/>
      <c r="AF879" s="549"/>
      <c r="AG879" s="549"/>
      <c r="AH879" s="549"/>
      <c r="AI879" s="549"/>
      <c r="AJ879" s="549"/>
      <c r="AK879" s="549"/>
      <c r="AL879" s="549"/>
      <c r="AM879" s="549"/>
      <c r="AN879" s="549"/>
      <c r="AO879" s="549"/>
      <c r="AP879" s="549"/>
      <c r="AQ879" s="549"/>
      <c r="AR879" s="549"/>
      <c r="AS879" s="549"/>
      <c r="AT879" s="549"/>
      <c r="AU879" s="549"/>
      <c r="AV879" s="549"/>
      <c r="AW879" s="549"/>
      <c r="AX879" s="549"/>
      <c r="AY879" s="549"/>
      <c r="AZ879" s="549"/>
      <c r="BA879" s="549"/>
      <c r="BB879" s="549"/>
      <c r="BC879" s="549"/>
      <c r="BD879" s="549"/>
      <c r="BE879" s="549"/>
      <c r="BF879" s="549"/>
      <c r="BG879" s="549"/>
      <c r="BH879" s="549"/>
      <c r="BI879" s="549"/>
    </row>
    <row r="880" spans="16:61" s="254" customFormat="1" ht="9.9">
      <c r="P880" s="549"/>
      <c r="Q880" s="549"/>
      <c r="R880" s="549"/>
      <c r="S880" s="549"/>
      <c r="T880" s="549"/>
      <c r="U880" s="549"/>
      <c r="V880" s="549"/>
      <c r="W880" s="549"/>
      <c r="X880" s="549"/>
      <c r="Y880" s="549"/>
      <c r="Z880" s="549"/>
      <c r="AA880" s="549"/>
      <c r="AB880" s="549"/>
      <c r="AC880" s="549"/>
      <c r="AD880" s="549"/>
      <c r="AE880" s="549"/>
      <c r="AF880" s="549"/>
      <c r="AG880" s="549"/>
      <c r="AH880" s="549"/>
      <c r="AI880" s="549"/>
      <c r="AJ880" s="549"/>
      <c r="AK880" s="549"/>
      <c r="AL880" s="549"/>
      <c r="AM880" s="549"/>
      <c r="AN880" s="549"/>
      <c r="AO880" s="549"/>
      <c r="AP880" s="549"/>
      <c r="AQ880" s="549"/>
      <c r="AR880" s="549"/>
      <c r="AS880" s="549"/>
      <c r="AT880" s="549"/>
      <c r="AU880" s="549"/>
      <c r="AV880" s="549"/>
      <c r="AW880" s="549"/>
      <c r="AX880" s="549"/>
      <c r="AY880" s="549"/>
      <c r="AZ880" s="549"/>
      <c r="BA880" s="549"/>
      <c r="BB880" s="549"/>
      <c r="BC880" s="549"/>
      <c r="BD880" s="549"/>
      <c r="BE880" s="549"/>
      <c r="BF880" s="549"/>
      <c r="BG880" s="549"/>
      <c r="BH880" s="549"/>
      <c r="BI880" s="549"/>
    </row>
    <row r="881" spans="16:61" s="254" customFormat="1" ht="9.9">
      <c r="P881" s="549"/>
      <c r="Q881" s="549"/>
      <c r="R881" s="549"/>
      <c r="S881" s="549"/>
      <c r="T881" s="549"/>
      <c r="U881" s="549"/>
      <c r="V881" s="549"/>
      <c r="W881" s="549"/>
      <c r="X881" s="549"/>
      <c r="Y881" s="549"/>
      <c r="Z881" s="549"/>
      <c r="AA881" s="549"/>
      <c r="AB881" s="549"/>
      <c r="AC881" s="549"/>
      <c r="AD881" s="549"/>
      <c r="AE881" s="549"/>
      <c r="AF881" s="549"/>
      <c r="AG881" s="549"/>
      <c r="AH881" s="549"/>
      <c r="AI881" s="549"/>
      <c r="AJ881" s="549"/>
      <c r="AK881" s="549"/>
      <c r="AL881" s="549"/>
      <c r="AM881" s="549"/>
      <c r="AN881" s="549"/>
      <c r="AO881" s="549"/>
      <c r="AP881" s="549"/>
      <c r="AQ881" s="549"/>
      <c r="AR881" s="549"/>
      <c r="AS881" s="549"/>
      <c r="AT881" s="549"/>
      <c r="AU881" s="549"/>
      <c r="AV881" s="549"/>
      <c r="AW881" s="549"/>
      <c r="AX881" s="549"/>
      <c r="AY881" s="549"/>
      <c r="AZ881" s="549"/>
      <c r="BA881" s="549"/>
      <c r="BB881" s="549"/>
      <c r="BC881" s="549"/>
      <c r="BD881" s="549"/>
      <c r="BE881" s="549"/>
      <c r="BF881" s="549"/>
      <c r="BG881" s="549"/>
      <c r="BH881" s="549"/>
      <c r="BI881" s="549"/>
    </row>
    <row r="882" spans="16:61" s="254" customFormat="1" ht="9.9">
      <c r="P882" s="549"/>
      <c r="Q882" s="549"/>
      <c r="R882" s="549"/>
      <c r="S882" s="549"/>
      <c r="T882" s="549"/>
      <c r="U882" s="549"/>
      <c r="V882" s="549"/>
      <c r="W882" s="549"/>
      <c r="X882" s="549"/>
      <c r="Y882" s="549"/>
      <c r="Z882" s="549"/>
      <c r="AA882" s="549"/>
      <c r="AB882" s="549"/>
      <c r="AC882" s="549"/>
      <c r="AD882" s="549"/>
      <c r="AE882" s="549"/>
      <c r="AF882" s="549"/>
      <c r="AG882" s="549"/>
      <c r="AH882" s="549"/>
      <c r="AI882" s="549"/>
      <c r="AJ882" s="549"/>
      <c r="AK882" s="549"/>
      <c r="AL882" s="549"/>
      <c r="AM882" s="549"/>
      <c r="AN882" s="549"/>
      <c r="AO882" s="549"/>
      <c r="AP882" s="549"/>
      <c r="AQ882" s="549"/>
      <c r="AR882" s="549"/>
      <c r="AS882" s="549"/>
      <c r="AT882" s="549"/>
      <c r="AU882" s="549"/>
      <c r="AV882" s="549"/>
      <c r="AW882" s="549"/>
      <c r="AX882" s="549"/>
      <c r="AY882" s="549"/>
      <c r="AZ882" s="549"/>
      <c r="BA882" s="549"/>
      <c r="BB882" s="549"/>
      <c r="BC882" s="549"/>
      <c r="BD882" s="549"/>
      <c r="BE882" s="549"/>
      <c r="BF882" s="549"/>
      <c r="BG882" s="549"/>
      <c r="BH882" s="549"/>
      <c r="BI882" s="549"/>
    </row>
    <row r="883" spans="16:61" s="254" customFormat="1" ht="9.9">
      <c r="P883" s="549"/>
      <c r="Q883" s="549"/>
      <c r="R883" s="549"/>
      <c r="S883" s="549"/>
      <c r="T883" s="549"/>
      <c r="U883" s="549"/>
      <c r="V883" s="549"/>
      <c r="W883" s="549"/>
      <c r="X883" s="549"/>
      <c r="Y883" s="549"/>
      <c r="Z883" s="549"/>
      <c r="AA883" s="549"/>
      <c r="AB883" s="549"/>
      <c r="AC883" s="549"/>
      <c r="AD883" s="549"/>
      <c r="AE883" s="549"/>
      <c r="AF883" s="549"/>
      <c r="AG883" s="549"/>
      <c r="AH883" s="549"/>
      <c r="AI883" s="549"/>
      <c r="AJ883" s="549"/>
      <c r="AK883" s="549"/>
      <c r="AL883" s="549"/>
      <c r="AM883" s="549"/>
      <c r="AN883" s="549"/>
      <c r="AO883" s="549"/>
      <c r="AP883" s="549"/>
      <c r="AQ883" s="549"/>
      <c r="AR883" s="549"/>
      <c r="AS883" s="549"/>
      <c r="AT883" s="549"/>
      <c r="AU883" s="549"/>
      <c r="AV883" s="549"/>
      <c r="AW883" s="549"/>
      <c r="AX883" s="549"/>
      <c r="AY883" s="549"/>
      <c r="AZ883" s="549"/>
      <c r="BA883" s="549"/>
      <c r="BB883" s="549"/>
      <c r="BC883" s="549"/>
      <c r="BD883" s="549"/>
      <c r="BE883" s="549"/>
      <c r="BF883" s="549"/>
      <c r="BG883" s="549"/>
      <c r="BH883" s="549"/>
      <c r="BI883" s="549"/>
    </row>
    <row r="884" spans="16:61" s="254" customFormat="1" ht="9.9">
      <c r="P884" s="549"/>
      <c r="Q884" s="549"/>
      <c r="R884" s="549"/>
      <c r="S884" s="549"/>
      <c r="T884" s="549"/>
      <c r="U884" s="549"/>
      <c r="V884" s="549"/>
      <c r="W884" s="549"/>
      <c r="X884" s="549"/>
      <c r="Y884" s="549"/>
      <c r="Z884" s="549"/>
      <c r="AA884" s="549"/>
      <c r="AB884" s="549"/>
      <c r="AC884" s="549"/>
      <c r="AD884" s="549"/>
      <c r="AE884" s="549"/>
      <c r="AF884" s="549"/>
      <c r="AG884" s="549"/>
      <c r="AH884" s="549"/>
      <c r="AI884" s="549"/>
      <c r="AJ884" s="549"/>
      <c r="AK884" s="549"/>
      <c r="AL884" s="549"/>
      <c r="AM884" s="549"/>
      <c r="AN884" s="549"/>
      <c r="AO884" s="549"/>
      <c r="AP884" s="549"/>
      <c r="AQ884" s="549"/>
      <c r="AR884" s="549"/>
      <c r="AS884" s="549"/>
      <c r="AT884" s="549"/>
      <c r="AU884" s="549"/>
      <c r="AV884" s="549"/>
      <c r="AW884" s="549"/>
      <c r="AX884" s="549"/>
      <c r="AY884" s="549"/>
      <c r="AZ884" s="549"/>
      <c r="BA884" s="549"/>
      <c r="BB884" s="549"/>
      <c r="BC884" s="549"/>
      <c r="BD884" s="549"/>
      <c r="BE884" s="549"/>
      <c r="BF884" s="549"/>
      <c r="BG884" s="549"/>
      <c r="BH884" s="549"/>
      <c r="BI884" s="549"/>
    </row>
    <row r="885" spans="16:61" s="254" customFormat="1" ht="9.9">
      <c r="P885" s="549"/>
      <c r="Q885" s="549"/>
      <c r="R885" s="549"/>
      <c r="S885" s="549"/>
      <c r="T885" s="549"/>
      <c r="U885" s="549"/>
      <c r="V885" s="549"/>
      <c r="W885" s="549"/>
      <c r="X885" s="549"/>
      <c r="Y885" s="549"/>
      <c r="Z885" s="549"/>
      <c r="AA885" s="549"/>
      <c r="AB885" s="549"/>
      <c r="AC885" s="549"/>
      <c r="AD885" s="549"/>
      <c r="AE885" s="549"/>
      <c r="AF885" s="549"/>
      <c r="AG885" s="549"/>
      <c r="AH885" s="549"/>
      <c r="AI885" s="549"/>
      <c r="AJ885" s="549"/>
      <c r="AK885" s="549"/>
      <c r="AL885" s="549"/>
      <c r="AM885" s="549"/>
      <c r="AN885" s="549"/>
      <c r="AO885" s="549"/>
      <c r="AP885" s="549"/>
      <c r="AQ885" s="549"/>
      <c r="AR885" s="549"/>
      <c r="AS885" s="549"/>
      <c r="AT885" s="549"/>
      <c r="AU885" s="549"/>
      <c r="AV885" s="549"/>
      <c r="AW885" s="549"/>
      <c r="AX885" s="549"/>
      <c r="AY885" s="549"/>
      <c r="AZ885" s="549"/>
      <c r="BA885" s="549"/>
      <c r="BB885" s="549"/>
      <c r="BC885" s="549"/>
      <c r="BD885" s="549"/>
      <c r="BE885" s="549"/>
      <c r="BF885" s="549"/>
      <c r="BG885" s="549"/>
      <c r="BH885" s="549"/>
      <c r="BI885" s="549"/>
    </row>
    <row r="886" spans="16:61" s="254" customFormat="1" ht="9.9">
      <c r="P886" s="549"/>
      <c r="Q886" s="549"/>
      <c r="R886" s="549"/>
      <c r="S886" s="549"/>
      <c r="T886" s="549"/>
      <c r="U886" s="549"/>
      <c r="V886" s="549"/>
      <c r="W886" s="549"/>
      <c r="X886" s="549"/>
      <c r="Y886" s="549"/>
      <c r="Z886" s="549"/>
      <c r="AA886" s="549"/>
      <c r="AB886" s="549"/>
      <c r="AC886" s="549"/>
      <c r="AD886" s="549"/>
      <c r="AE886" s="549"/>
      <c r="AF886" s="549"/>
      <c r="AG886" s="549"/>
      <c r="AH886" s="549"/>
      <c r="AI886" s="549"/>
      <c r="AJ886" s="549"/>
      <c r="AK886" s="549"/>
      <c r="AL886" s="549"/>
      <c r="AM886" s="549"/>
      <c r="AN886" s="549"/>
      <c r="AO886" s="549"/>
      <c r="AP886" s="549"/>
      <c r="AQ886" s="549"/>
      <c r="AR886" s="549"/>
      <c r="AS886" s="549"/>
      <c r="AT886" s="549"/>
      <c r="AU886" s="549"/>
      <c r="AV886" s="549"/>
      <c r="AW886" s="549"/>
      <c r="AX886" s="549"/>
      <c r="AY886" s="549"/>
      <c r="AZ886" s="549"/>
      <c r="BA886" s="549"/>
      <c r="BB886" s="549"/>
      <c r="BC886" s="549"/>
      <c r="BD886" s="549"/>
      <c r="BE886" s="549"/>
      <c r="BF886" s="549"/>
      <c r="BG886" s="549"/>
      <c r="BH886" s="549"/>
      <c r="BI886" s="549"/>
    </row>
    <row r="887" spans="16:61" s="254" customFormat="1" ht="9.9">
      <c r="P887" s="549"/>
      <c r="Q887" s="549"/>
      <c r="R887" s="549"/>
      <c r="S887" s="549"/>
      <c r="T887" s="549"/>
      <c r="U887" s="549"/>
      <c r="V887" s="549"/>
      <c r="W887" s="549"/>
      <c r="X887" s="549"/>
      <c r="Y887" s="549"/>
      <c r="Z887" s="549"/>
      <c r="AA887" s="549"/>
      <c r="AB887" s="549"/>
      <c r="AC887" s="549"/>
      <c r="AD887" s="549"/>
      <c r="AE887" s="549"/>
      <c r="AF887" s="549"/>
      <c r="AG887" s="549"/>
      <c r="AH887" s="549"/>
      <c r="AI887" s="549"/>
      <c r="AJ887" s="549"/>
      <c r="AK887" s="549"/>
      <c r="AL887" s="549"/>
      <c r="AM887" s="549"/>
      <c r="AN887" s="549"/>
      <c r="AO887" s="549"/>
      <c r="AP887" s="549"/>
      <c r="AQ887" s="549"/>
      <c r="AR887" s="549"/>
      <c r="AS887" s="549"/>
      <c r="AT887" s="549"/>
      <c r="AU887" s="549"/>
      <c r="AV887" s="549"/>
      <c r="AW887" s="549"/>
      <c r="AX887" s="549"/>
      <c r="AY887" s="549"/>
      <c r="AZ887" s="549"/>
      <c r="BA887" s="549"/>
      <c r="BB887" s="549"/>
      <c r="BC887" s="549"/>
      <c r="BD887" s="549"/>
      <c r="BE887" s="549"/>
      <c r="BF887" s="549"/>
      <c r="BG887" s="549"/>
      <c r="BH887" s="549"/>
      <c r="BI887" s="549"/>
    </row>
    <row r="888" spans="16:61" s="254" customFormat="1" ht="9.9">
      <c r="P888" s="549"/>
      <c r="Q888" s="549"/>
      <c r="R888" s="549"/>
      <c r="S888" s="549"/>
      <c r="T888" s="549"/>
      <c r="U888" s="549"/>
      <c r="V888" s="549"/>
      <c r="W888" s="549"/>
      <c r="X888" s="549"/>
      <c r="Y888" s="549"/>
      <c r="Z888" s="549"/>
      <c r="AA888" s="549"/>
      <c r="AB888" s="549"/>
      <c r="AC888" s="549"/>
      <c r="AD888" s="549"/>
      <c r="AE888" s="549"/>
      <c r="AF888" s="549"/>
      <c r="AG888" s="549"/>
      <c r="AH888" s="549"/>
      <c r="AI888" s="549"/>
      <c r="AJ888" s="549"/>
      <c r="AK888" s="549"/>
      <c r="AL888" s="549"/>
      <c r="AM888" s="549"/>
      <c r="AN888" s="549"/>
      <c r="AO888" s="549"/>
      <c r="AP888" s="549"/>
      <c r="AQ888" s="549"/>
      <c r="AR888" s="549"/>
      <c r="AS888" s="549"/>
      <c r="AT888" s="549"/>
      <c r="AU888" s="549"/>
      <c r="AV888" s="549"/>
      <c r="AW888" s="549"/>
      <c r="AX888" s="549"/>
      <c r="AY888" s="549"/>
      <c r="AZ888" s="549"/>
      <c r="BA888" s="549"/>
      <c r="BB888" s="549"/>
      <c r="BC888" s="549"/>
      <c r="BD888" s="549"/>
      <c r="BE888" s="549"/>
      <c r="BF888" s="549"/>
      <c r="BG888" s="549"/>
      <c r="BH888" s="549"/>
      <c r="BI888" s="549"/>
    </row>
    <row r="889" spans="16:61" s="254" customFormat="1" ht="9.9">
      <c r="P889" s="549"/>
      <c r="Q889" s="549"/>
      <c r="R889" s="549"/>
      <c r="S889" s="549"/>
      <c r="T889" s="549"/>
      <c r="U889" s="549"/>
      <c r="V889" s="549"/>
      <c r="W889" s="549"/>
      <c r="X889" s="549"/>
      <c r="Y889" s="549"/>
      <c r="Z889" s="549"/>
      <c r="AA889" s="549"/>
      <c r="AB889" s="549"/>
      <c r="AC889" s="549"/>
      <c r="AD889" s="549"/>
      <c r="AE889" s="549"/>
      <c r="AF889" s="549"/>
      <c r="AG889" s="549"/>
      <c r="AH889" s="549"/>
      <c r="AI889" s="549"/>
      <c r="AJ889" s="549"/>
      <c r="AK889" s="549"/>
      <c r="AL889" s="549"/>
      <c r="AM889" s="549"/>
      <c r="AN889" s="549"/>
      <c r="AO889" s="549"/>
      <c r="AP889" s="549"/>
      <c r="AQ889" s="549"/>
      <c r="AR889" s="549"/>
      <c r="AS889" s="549"/>
      <c r="AT889" s="549"/>
      <c r="AU889" s="549"/>
      <c r="AV889" s="549"/>
      <c r="AW889" s="549"/>
      <c r="AX889" s="549"/>
      <c r="AY889" s="549"/>
      <c r="AZ889" s="549"/>
      <c r="BA889" s="549"/>
      <c r="BB889" s="549"/>
      <c r="BC889" s="549"/>
      <c r="BD889" s="549"/>
      <c r="BE889" s="549"/>
      <c r="BF889" s="549"/>
      <c r="BG889" s="549"/>
      <c r="BH889" s="549"/>
      <c r="BI889" s="549"/>
    </row>
    <row r="890" spans="16:61" s="254" customFormat="1" ht="9.9">
      <c r="P890" s="549"/>
      <c r="Q890" s="549"/>
      <c r="R890" s="549"/>
      <c r="S890" s="549"/>
      <c r="T890" s="549"/>
      <c r="U890" s="549"/>
      <c r="V890" s="549"/>
      <c r="W890" s="549"/>
      <c r="X890" s="549"/>
      <c r="Y890" s="549"/>
      <c r="Z890" s="549"/>
      <c r="AA890" s="549"/>
      <c r="AB890" s="549"/>
      <c r="AC890" s="549"/>
      <c r="AD890" s="549"/>
      <c r="AE890" s="549"/>
      <c r="AF890" s="549"/>
      <c r="AG890" s="549"/>
      <c r="AH890" s="549"/>
      <c r="AI890" s="549"/>
      <c r="AJ890" s="549"/>
      <c r="AK890" s="549"/>
      <c r="AL890" s="549"/>
      <c r="AM890" s="549"/>
      <c r="AN890" s="549"/>
      <c r="AO890" s="549"/>
      <c r="AP890" s="549"/>
      <c r="AQ890" s="549"/>
      <c r="AR890" s="549"/>
      <c r="AS890" s="549"/>
      <c r="AT890" s="549"/>
      <c r="AU890" s="549"/>
      <c r="AV890" s="549"/>
      <c r="AW890" s="549"/>
      <c r="AX890" s="549"/>
      <c r="AY890" s="549"/>
      <c r="AZ890" s="549"/>
      <c r="BA890" s="549"/>
      <c r="BB890" s="549"/>
      <c r="BC890" s="549"/>
      <c r="BD890" s="549"/>
      <c r="BE890" s="549"/>
      <c r="BF890" s="549"/>
      <c r="BG890" s="549"/>
      <c r="BH890" s="549"/>
      <c r="BI890" s="549"/>
    </row>
    <row r="891" spans="16:61" s="254" customFormat="1" ht="9.9">
      <c r="P891" s="549"/>
      <c r="Q891" s="549"/>
      <c r="R891" s="549"/>
      <c r="S891" s="549"/>
      <c r="T891" s="549"/>
      <c r="U891" s="549"/>
      <c r="V891" s="549"/>
      <c r="W891" s="549"/>
      <c r="X891" s="549"/>
      <c r="Y891" s="549"/>
      <c r="Z891" s="549"/>
      <c r="AA891" s="549"/>
      <c r="AB891" s="549"/>
      <c r="AC891" s="549"/>
      <c r="AD891" s="549"/>
      <c r="AE891" s="549"/>
      <c r="AF891" s="549"/>
      <c r="AG891" s="549"/>
      <c r="AH891" s="549"/>
      <c r="AI891" s="549"/>
      <c r="AJ891" s="549"/>
      <c r="AK891" s="549"/>
      <c r="AL891" s="549"/>
      <c r="AM891" s="549"/>
      <c r="AN891" s="549"/>
      <c r="AO891" s="549"/>
      <c r="AP891" s="549"/>
      <c r="AQ891" s="549"/>
      <c r="AR891" s="549"/>
      <c r="AS891" s="549"/>
      <c r="AT891" s="549"/>
      <c r="AU891" s="549"/>
      <c r="AV891" s="549"/>
      <c r="AW891" s="549"/>
      <c r="AX891" s="549"/>
      <c r="AY891" s="549"/>
      <c r="AZ891" s="549"/>
      <c r="BA891" s="549"/>
      <c r="BB891" s="549"/>
      <c r="BC891" s="549"/>
      <c r="BD891" s="549"/>
      <c r="BE891" s="549"/>
      <c r="BF891" s="549"/>
      <c r="BG891" s="549"/>
      <c r="BH891" s="549"/>
      <c r="BI891" s="549"/>
    </row>
    <row r="892" spans="16:61" s="254" customFormat="1" ht="9.9">
      <c r="P892" s="549"/>
      <c r="Q892" s="549"/>
      <c r="R892" s="549"/>
      <c r="S892" s="549"/>
      <c r="T892" s="549"/>
      <c r="U892" s="549"/>
      <c r="V892" s="549"/>
      <c r="W892" s="549"/>
      <c r="X892" s="549"/>
      <c r="Y892" s="549"/>
      <c r="Z892" s="549"/>
      <c r="AA892" s="549"/>
      <c r="AB892" s="549"/>
      <c r="AC892" s="549"/>
      <c r="AD892" s="549"/>
      <c r="AE892" s="549"/>
      <c r="AF892" s="549"/>
      <c r="AG892" s="549"/>
      <c r="AH892" s="549"/>
      <c r="AI892" s="549"/>
      <c r="AJ892" s="549"/>
      <c r="AK892" s="549"/>
      <c r="AL892" s="549"/>
      <c r="AM892" s="549"/>
      <c r="AN892" s="549"/>
      <c r="AO892" s="549"/>
      <c r="AP892" s="549"/>
      <c r="AQ892" s="549"/>
      <c r="AR892" s="549"/>
      <c r="AS892" s="549"/>
      <c r="AT892" s="549"/>
      <c r="AU892" s="549"/>
      <c r="AV892" s="549"/>
      <c r="AW892" s="549"/>
      <c r="AX892" s="549"/>
      <c r="AY892" s="549"/>
      <c r="AZ892" s="549"/>
      <c r="BA892" s="549"/>
      <c r="BB892" s="549"/>
      <c r="BC892" s="549"/>
      <c r="BD892" s="549"/>
      <c r="BE892" s="549"/>
      <c r="BF892" s="549"/>
      <c r="BG892" s="549"/>
      <c r="BH892" s="549"/>
      <c r="BI892" s="549"/>
    </row>
    <row r="893" spans="16:61" s="254" customFormat="1" ht="9.9">
      <c r="P893" s="549"/>
      <c r="Q893" s="549"/>
      <c r="R893" s="549"/>
      <c r="S893" s="549"/>
      <c r="T893" s="549"/>
      <c r="U893" s="549"/>
      <c r="V893" s="549"/>
      <c r="W893" s="549"/>
      <c r="X893" s="549"/>
      <c r="Y893" s="549"/>
      <c r="Z893" s="549"/>
      <c r="AA893" s="549"/>
      <c r="AB893" s="549"/>
      <c r="AC893" s="549"/>
      <c r="AD893" s="549"/>
      <c r="AE893" s="549"/>
      <c r="AF893" s="549"/>
      <c r="AG893" s="549"/>
      <c r="AH893" s="549"/>
      <c r="AI893" s="549"/>
      <c r="AJ893" s="549"/>
      <c r="AK893" s="549"/>
      <c r="AL893" s="549"/>
      <c r="AM893" s="549"/>
      <c r="AN893" s="549"/>
      <c r="AO893" s="549"/>
      <c r="AP893" s="549"/>
      <c r="AQ893" s="549"/>
      <c r="AR893" s="549"/>
      <c r="AS893" s="549"/>
      <c r="AT893" s="549"/>
      <c r="AU893" s="549"/>
      <c r="AV893" s="549"/>
      <c r="AW893" s="549"/>
      <c r="AX893" s="549"/>
      <c r="AY893" s="549"/>
      <c r="AZ893" s="549"/>
      <c r="BA893" s="549"/>
      <c r="BB893" s="549"/>
      <c r="BC893" s="549"/>
      <c r="BD893" s="549"/>
      <c r="BE893" s="549"/>
      <c r="BF893" s="549"/>
      <c r="BG893" s="549"/>
      <c r="BH893" s="549"/>
      <c r="BI893" s="549"/>
    </row>
    <row r="894" spans="16:61" s="254" customFormat="1" ht="9.9">
      <c r="P894" s="549"/>
      <c r="Q894" s="549"/>
      <c r="R894" s="549"/>
      <c r="S894" s="549"/>
      <c r="T894" s="549"/>
      <c r="U894" s="549"/>
      <c r="V894" s="549"/>
      <c r="W894" s="549"/>
      <c r="X894" s="549"/>
      <c r="Y894" s="549"/>
      <c r="Z894" s="549"/>
      <c r="AA894" s="549"/>
      <c r="AB894" s="549"/>
      <c r="AC894" s="549"/>
      <c r="AD894" s="549"/>
      <c r="AE894" s="549"/>
      <c r="AF894" s="549"/>
      <c r="AG894" s="549"/>
      <c r="AH894" s="549"/>
      <c r="AI894" s="549"/>
      <c r="AJ894" s="549"/>
      <c r="AK894" s="549"/>
      <c r="AL894" s="549"/>
      <c r="AM894" s="549"/>
      <c r="AN894" s="549"/>
      <c r="AO894" s="549"/>
      <c r="AP894" s="549"/>
      <c r="AQ894" s="549"/>
      <c r="AR894" s="549"/>
      <c r="AS894" s="549"/>
      <c r="AT894" s="549"/>
      <c r="AU894" s="549"/>
      <c r="AV894" s="549"/>
      <c r="AW894" s="549"/>
      <c r="AX894" s="549"/>
      <c r="AY894" s="549"/>
      <c r="AZ894" s="549"/>
      <c r="BA894" s="549"/>
      <c r="BB894" s="549"/>
      <c r="BC894" s="549"/>
      <c r="BD894" s="549"/>
      <c r="BE894" s="549"/>
      <c r="BF894" s="549"/>
      <c r="BG894" s="549"/>
      <c r="BH894" s="549"/>
      <c r="BI894" s="549"/>
    </row>
    <row r="895" spans="16:61" s="254" customFormat="1" ht="9.9">
      <c r="P895" s="549"/>
      <c r="Q895" s="549"/>
      <c r="R895" s="549"/>
      <c r="S895" s="549"/>
      <c r="T895" s="549"/>
      <c r="U895" s="549"/>
      <c r="V895" s="549"/>
      <c r="W895" s="549"/>
      <c r="X895" s="549"/>
      <c r="Y895" s="549"/>
      <c r="Z895" s="549"/>
      <c r="AA895" s="549"/>
      <c r="AB895" s="549"/>
      <c r="AC895" s="549"/>
      <c r="AD895" s="549"/>
      <c r="AE895" s="549"/>
      <c r="AF895" s="549"/>
      <c r="AG895" s="549"/>
      <c r="AH895" s="549"/>
      <c r="AI895" s="549"/>
      <c r="AJ895" s="549"/>
      <c r="AK895" s="549"/>
      <c r="AL895" s="549"/>
      <c r="AM895" s="549"/>
      <c r="AN895" s="549"/>
      <c r="AO895" s="549"/>
      <c r="AP895" s="549"/>
      <c r="AQ895" s="549"/>
      <c r="AR895" s="549"/>
      <c r="AS895" s="549"/>
      <c r="AT895" s="549"/>
      <c r="AU895" s="549"/>
      <c r="AV895" s="549"/>
      <c r="AW895" s="549"/>
      <c r="AX895" s="549"/>
      <c r="AY895" s="549"/>
      <c r="AZ895" s="549"/>
      <c r="BA895" s="549"/>
      <c r="BB895" s="549"/>
      <c r="BC895" s="549"/>
      <c r="BD895" s="549"/>
      <c r="BE895" s="549"/>
      <c r="BF895" s="549"/>
      <c r="BG895" s="549"/>
      <c r="BH895" s="549"/>
      <c r="BI895" s="549"/>
    </row>
    <row r="896" spans="16:61" s="254" customFormat="1" ht="9.9">
      <c r="P896" s="549"/>
      <c r="Q896" s="549"/>
      <c r="R896" s="549"/>
      <c r="S896" s="549"/>
      <c r="T896" s="549"/>
      <c r="U896" s="549"/>
      <c r="V896" s="549"/>
      <c r="W896" s="549"/>
      <c r="X896" s="549"/>
      <c r="Y896" s="549"/>
      <c r="Z896" s="549"/>
      <c r="AA896" s="549"/>
      <c r="AB896" s="549"/>
      <c r="AC896" s="549"/>
      <c r="AD896" s="549"/>
      <c r="AE896" s="549"/>
      <c r="AF896" s="549"/>
      <c r="AG896" s="549"/>
      <c r="AH896" s="549"/>
      <c r="AI896" s="549"/>
      <c r="AJ896" s="549"/>
      <c r="AK896" s="549"/>
      <c r="AL896" s="549"/>
      <c r="AM896" s="549"/>
      <c r="AN896" s="549"/>
      <c r="AO896" s="549"/>
      <c r="AP896" s="549"/>
      <c r="AQ896" s="549"/>
      <c r="AR896" s="549"/>
      <c r="AS896" s="549"/>
      <c r="AT896" s="549"/>
      <c r="AU896" s="549"/>
      <c r="AV896" s="549"/>
      <c r="AW896" s="549"/>
      <c r="AX896" s="549"/>
      <c r="AY896" s="549"/>
      <c r="AZ896" s="549"/>
      <c r="BA896" s="549"/>
      <c r="BB896" s="549"/>
      <c r="BC896" s="549"/>
      <c r="BD896" s="549"/>
      <c r="BE896" s="549"/>
      <c r="BF896" s="549"/>
      <c r="BG896" s="549"/>
      <c r="BH896" s="549"/>
      <c r="BI896" s="549"/>
    </row>
    <row r="897" spans="16:61" s="254" customFormat="1" ht="9.9">
      <c r="P897" s="549"/>
      <c r="Q897" s="549"/>
      <c r="R897" s="549"/>
      <c r="S897" s="549"/>
      <c r="T897" s="549"/>
      <c r="U897" s="549"/>
      <c r="V897" s="549"/>
      <c r="W897" s="549"/>
      <c r="X897" s="549"/>
      <c r="Y897" s="549"/>
      <c r="Z897" s="549"/>
      <c r="AA897" s="549"/>
      <c r="AB897" s="549"/>
      <c r="AC897" s="549"/>
      <c r="AD897" s="549"/>
      <c r="AE897" s="549"/>
      <c r="AF897" s="549"/>
      <c r="AG897" s="549"/>
      <c r="AH897" s="549"/>
      <c r="AI897" s="549"/>
      <c r="AJ897" s="549"/>
      <c r="AK897" s="549"/>
      <c r="AL897" s="549"/>
      <c r="AM897" s="549"/>
      <c r="AN897" s="549"/>
      <c r="AO897" s="549"/>
      <c r="AP897" s="549"/>
      <c r="AQ897" s="549"/>
      <c r="AR897" s="549"/>
      <c r="AS897" s="549"/>
      <c r="AT897" s="549"/>
      <c r="AU897" s="549"/>
      <c r="AV897" s="549"/>
      <c r="AW897" s="549"/>
      <c r="AX897" s="549"/>
      <c r="AY897" s="549"/>
      <c r="AZ897" s="549"/>
      <c r="BA897" s="549"/>
      <c r="BB897" s="549"/>
      <c r="BC897" s="549"/>
      <c r="BD897" s="549"/>
      <c r="BE897" s="549"/>
      <c r="BF897" s="549"/>
      <c r="BG897" s="549"/>
      <c r="BH897" s="549"/>
      <c r="BI897" s="549"/>
    </row>
    <row r="898" spans="16:61" s="254" customFormat="1" ht="9.9">
      <c r="P898" s="549"/>
      <c r="Q898" s="549"/>
      <c r="R898" s="549"/>
      <c r="S898" s="549"/>
      <c r="T898" s="549"/>
      <c r="U898" s="549"/>
      <c r="V898" s="549"/>
      <c r="W898" s="549"/>
      <c r="X898" s="549"/>
      <c r="Y898" s="549"/>
      <c r="Z898" s="549"/>
      <c r="AA898" s="549"/>
      <c r="AB898" s="549"/>
      <c r="AC898" s="549"/>
      <c r="AD898" s="549"/>
      <c r="AE898" s="549"/>
      <c r="AF898" s="549"/>
      <c r="AG898" s="549"/>
      <c r="AH898" s="549"/>
      <c r="AI898" s="549"/>
      <c r="AJ898" s="549"/>
      <c r="AK898" s="549"/>
      <c r="AL898" s="549"/>
      <c r="AM898" s="549"/>
      <c r="AN898" s="549"/>
      <c r="AO898" s="549"/>
      <c r="AP898" s="549"/>
      <c r="AQ898" s="549"/>
      <c r="AR898" s="549"/>
      <c r="AS898" s="549"/>
      <c r="AT898" s="549"/>
      <c r="AU898" s="549"/>
      <c r="AV898" s="549"/>
      <c r="AW898" s="549"/>
      <c r="AX898" s="549"/>
      <c r="AY898" s="549"/>
      <c r="AZ898" s="549"/>
      <c r="BA898" s="549"/>
      <c r="BB898" s="549"/>
      <c r="BC898" s="549"/>
      <c r="BD898" s="549"/>
      <c r="BE898" s="549"/>
      <c r="BF898" s="549"/>
      <c r="BG898" s="549"/>
      <c r="BH898" s="549"/>
      <c r="BI898" s="549"/>
    </row>
    <row r="899" spans="16:61" s="254" customFormat="1" ht="9.9">
      <c r="P899" s="549"/>
      <c r="Q899" s="549"/>
      <c r="R899" s="549"/>
      <c r="S899" s="549"/>
      <c r="T899" s="549"/>
      <c r="U899" s="549"/>
      <c r="V899" s="549"/>
      <c r="W899" s="549"/>
      <c r="X899" s="549"/>
      <c r="Y899" s="549"/>
      <c r="Z899" s="549"/>
      <c r="AA899" s="549"/>
      <c r="AB899" s="549"/>
      <c r="AC899" s="549"/>
      <c r="AD899" s="549"/>
      <c r="AE899" s="549"/>
      <c r="AF899" s="549"/>
      <c r="AG899" s="549"/>
      <c r="AH899" s="549"/>
      <c r="AI899" s="549"/>
      <c r="AJ899" s="549"/>
      <c r="AK899" s="549"/>
      <c r="AL899" s="549"/>
      <c r="AM899" s="549"/>
      <c r="AN899" s="549"/>
      <c r="AO899" s="549"/>
      <c r="AP899" s="549"/>
      <c r="AQ899" s="549"/>
      <c r="AR899" s="549"/>
      <c r="AS899" s="549"/>
      <c r="AT899" s="549"/>
      <c r="AU899" s="549"/>
      <c r="AV899" s="549"/>
      <c r="AW899" s="549"/>
      <c r="AX899" s="549"/>
      <c r="AY899" s="549"/>
      <c r="AZ899" s="549"/>
      <c r="BA899" s="549"/>
      <c r="BB899" s="549"/>
      <c r="BC899" s="549"/>
      <c r="BD899" s="549"/>
      <c r="BE899" s="549"/>
      <c r="BF899" s="549"/>
      <c r="BG899" s="549"/>
      <c r="BH899" s="549"/>
      <c r="BI899" s="549"/>
    </row>
    <row r="900" spans="16:61" s="254" customFormat="1" ht="9.9">
      <c r="P900" s="549"/>
      <c r="Q900" s="549"/>
      <c r="R900" s="549"/>
      <c r="S900" s="549"/>
      <c r="T900" s="549"/>
      <c r="U900" s="549"/>
      <c r="V900" s="549"/>
      <c r="W900" s="549"/>
      <c r="X900" s="549"/>
      <c r="Y900" s="549"/>
      <c r="Z900" s="549"/>
      <c r="AA900" s="549"/>
      <c r="AB900" s="549"/>
      <c r="AC900" s="549"/>
      <c r="AD900" s="549"/>
      <c r="AE900" s="549"/>
      <c r="AF900" s="549"/>
      <c r="AG900" s="549"/>
      <c r="AH900" s="549"/>
      <c r="AI900" s="549"/>
      <c r="AJ900" s="549"/>
      <c r="AK900" s="549"/>
      <c r="AL900" s="549"/>
      <c r="AM900" s="549"/>
      <c r="AN900" s="549"/>
      <c r="AO900" s="549"/>
      <c r="AP900" s="549"/>
      <c r="AQ900" s="549"/>
      <c r="AR900" s="549"/>
      <c r="AS900" s="549"/>
      <c r="AT900" s="549"/>
      <c r="AU900" s="549"/>
      <c r="AV900" s="549"/>
      <c r="AW900" s="549"/>
      <c r="AX900" s="549"/>
      <c r="AY900" s="549"/>
      <c r="AZ900" s="549"/>
      <c r="BA900" s="549"/>
      <c r="BB900" s="549"/>
      <c r="BC900" s="549"/>
      <c r="BD900" s="549"/>
      <c r="BE900" s="549"/>
      <c r="BF900" s="549"/>
      <c r="BG900" s="549"/>
      <c r="BH900" s="549"/>
      <c r="BI900" s="549"/>
    </row>
    <row r="901" spans="16:61" s="254" customFormat="1" ht="9.9">
      <c r="P901" s="549"/>
      <c r="Q901" s="549"/>
      <c r="R901" s="549"/>
      <c r="S901" s="549"/>
      <c r="T901" s="549"/>
      <c r="U901" s="549"/>
      <c r="V901" s="549"/>
      <c r="W901" s="549"/>
      <c r="X901" s="549"/>
      <c r="Y901" s="549"/>
      <c r="Z901" s="549"/>
      <c r="AA901" s="549"/>
      <c r="AB901" s="549"/>
      <c r="AC901" s="549"/>
      <c r="AD901" s="549"/>
      <c r="AE901" s="549"/>
      <c r="AF901" s="549"/>
      <c r="AG901" s="549"/>
      <c r="AH901" s="549"/>
      <c r="AI901" s="549"/>
      <c r="AJ901" s="549"/>
      <c r="AK901" s="549"/>
      <c r="AL901" s="549"/>
      <c r="AM901" s="549"/>
      <c r="AN901" s="549"/>
      <c r="AO901" s="549"/>
      <c r="AP901" s="549"/>
      <c r="AQ901" s="549"/>
      <c r="AR901" s="549"/>
      <c r="AS901" s="549"/>
      <c r="AT901" s="549"/>
      <c r="AU901" s="549"/>
      <c r="AV901" s="549"/>
      <c r="AW901" s="549"/>
      <c r="AX901" s="549"/>
      <c r="AY901" s="549"/>
      <c r="AZ901" s="549"/>
      <c r="BA901" s="549"/>
      <c r="BB901" s="549"/>
      <c r="BC901" s="549"/>
      <c r="BD901" s="549"/>
      <c r="BE901" s="549"/>
      <c r="BF901" s="549"/>
      <c r="BG901" s="549"/>
      <c r="BH901" s="549"/>
      <c r="BI901" s="549"/>
    </row>
    <row r="902" spans="16:61" s="254" customFormat="1" ht="9.9">
      <c r="P902" s="549"/>
      <c r="Q902" s="549"/>
      <c r="R902" s="549"/>
      <c r="S902" s="549"/>
      <c r="T902" s="549"/>
      <c r="U902" s="549"/>
      <c r="V902" s="549"/>
      <c r="W902" s="549"/>
      <c r="X902" s="549"/>
      <c r="Y902" s="549"/>
      <c r="Z902" s="549"/>
      <c r="AA902" s="549"/>
      <c r="AB902" s="549"/>
      <c r="AC902" s="549"/>
      <c r="AD902" s="549"/>
      <c r="AE902" s="549"/>
      <c r="AF902" s="549"/>
      <c r="AG902" s="549"/>
      <c r="AH902" s="549"/>
      <c r="AI902" s="549"/>
      <c r="AJ902" s="549"/>
      <c r="AK902" s="549"/>
      <c r="AL902" s="549"/>
      <c r="AM902" s="549"/>
      <c r="AN902" s="549"/>
      <c r="AO902" s="549"/>
      <c r="AP902" s="549"/>
      <c r="AQ902" s="549"/>
      <c r="AR902" s="549"/>
      <c r="AS902" s="549"/>
      <c r="AT902" s="549"/>
      <c r="AU902" s="549"/>
      <c r="AV902" s="549"/>
      <c r="AW902" s="549"/>
      <c r="AX902" s="549"/>
      <c r="AY902" s="549"/>
      <c r="AZ902" s="549"/>
      <c r="BA902" s="549"/>
      <c r="BB902" s="549"/>
      <c r="BC902" s="549"/>
      <c r="BD902" s="549"/>
      <c r="BE902" s="549"/>
      <c r="BF902" s="549"/>
      <c r="BG902" s="549"/>
      <c r="BH902" s="549"/>
      <c r="BI902" s="549"/>
    </row>
    <row r="903" spans="16:61" s="254" customFormat="1" ht="9.9">
      <c r="P903" s="549"/>
      <c r="Q903" s="549"/>
      <c r="R903" s="549"/>
      <c r="S903" s="549"/>
      <c r="T903" s="549"/>
      <c r="U903" s="549"/>
      <c r="V903" s="549"/>
      <c r="W903" s="549"/>
      <c r="X903" s="549"/>
      <c r="Y903" s="549"/>
      <c r="Z903" s="549"/>
      <c r="AA903" s="549"/>
      <c r="AB903" s="549"/>
      <c r="AC903" s="549"/>
      <c r="AD903" s="549"/>
      <c r="AE903" s="549"/>
      <c r="AF903" s="549"/>
      <c r="AG903" s="549"/>
      <c r="AH903" s="549"/>
      <c r="AI903" s="549"/>
      <c r="AJ903" s="549"/>
      <c r="AK903" s="549"/>
      <c r="AL903" s="549"/>
      <c r="AM903" s="549"/>
      <c r="AN903" s="549"/>
      <c r="AO903" s="549"/>
      <c r="AP903" s="549"/>
      <c r="AQ903" s="549"/>
      <c r="AR903" s="549"/>
      <c r="AS903" s="549"/>
      <c r="AT903" s="549"/>
      <c r="AU903" s="549"/>
      <c r="AV903" s="549"/>
      <c r="AW903" s="549"/>
      <c r="AX903" s="549"/>
      <c r="AY903" s="549"/>
      <c r="AZ903" s="549"/>
      <c r="BA903" s="549"/>
      <c r="BB903" s="549"/>
      <c r="BC903" s="549"/>
      <c r="BD903" s="549"/>
      <c r="BE903" s="549"/>
      <c r="BF903" s="549"/>
      <c r="BG903" s="549"/>
      <c r="BH903" s="549"/>
      <c r="BI903" s="549"/>
    </row>
    <row r="904" spans="16:61" s="254" customFormat="1" ht="9.9">
      <c r="P904" s="549"/>
      <c r="Q904" s="549"/>
      <c r="R904" s="549"/>
      <c r="S904" s="549"/>
      <c r="T904" s="549"/>
      <c r="U904" s="549"/>
      <c r="V904" s="549"/>
      <c r="W904" s="549"/>
      <c r="X904" s="549"/>
      <c r="Y904" s="549"/>
      <c r="Z904" s="549"/>
      <c r="AA904" s="549"/>
      <c r="AB904" s="549"/>
      <c r="AC904" s="549"/>
      <c r="AD904" s="549"/>
      <c r="AE904" s="549"/>
      <c r="AF904" s="549"/>
      <c r="AG904" s="549"/>
      <c r="AH904" s="549"/>
      <c r="AI904" s="549"/>
      <c r="AJ904" s="549"/>
      <c r="AK904" s="549"/>
      <c r="AL904" s="549"/>
      <c r="AM904" s="549"/>
      <c r="AN904" s="549"/>
      <c r="AO904" s="549"/>
      <c r="AP904" s="549"/>
      <c r="AQ904" s="549"/>
      <c r="AR904" s="549"/>
      <c r="AS904" s="549"/>
      <c r="AT904" s="549"/>
      <c r="AU904" s="549"/>
      <c r="AV904" s="549"/>
      <c r="AW904" s="549"/>
      <c r="AX904" s="549"/>
      <c r="AY904" s="549"/>
      <c r="AZ904" s="549"/>
      <c r="BA904" s="549"/>
      <c r="BB904" s="549"/>
      <c r="BC904" s="549"/>
      <c r="BD904" s="549"/>
      <c r="BE904" s="549"/>
      <c r="BF904" s="549"/>
      <c r="BG904" s="549"/>
      <c r="BH904" s="549"/>
      <c r="BI904" s="549"/>
    </row>
    <row r="905" spans="16:61" s="254" customFormat="1" ht="9.9">
      <c r="P905" s="549"/>
      <c r="Q905" s="549"/>
      <c r="R905" s="549"/>
      <c r="S905" s="549"/>
      <c r="T905" s="549"/>
      <c r="U905" s="549"/>
      <c r="V905" s="549"/>
      <c r="W905" s="549"/>
      <c r="X905" s="549"/>
      <c r="Y905" s="549"/>
      <c r="Z905" s="549"/>
      <c r="AA905" s="549"/>
      <c r="AB905" s="549"/>
      <c r="AC905" s="549"/>
      <c r="AD905" s="549"/>
      <c r="AE905" s="549"/>
      <c r="AF905" s="549"/>
      <c r="AG905" s="549"/>
      <c r="AH905" s="549"/>
      <c r="AI905" s="549"/>
      <c r="AJ905" s="549"/>
      <c r="AK905" s="549"/>
      <c r="AL905" s="549"/>
      <c r="AM905" s="549"/>
      <c r="AN905" s="549"/>
      <c r="AO905" s="549"/>
      <c r="AP905" s="549"/>
      <c r="AQ905" s="549"/>
      <c r="AR905" s="549"/>
      <c r="AS905" s="549"/>
      <c r="AT905" s="549"/>
      <c r="AU905" s="549"/>
      <c r="AV905" s="549"/>
      <c r="AW905" s="549"/>
      <c r="AX905" s="549"/>
      <c r="AY905" s="549"/>
      <c r="AZ905" s="549"/>
      <c r="BA905" s="549"/>
      <c r="BB905" s="549"/>
      <c r="BC905" s="549"/>
      <c r="BD905" s="549"/>
      <c r="BE905" s="549"/>
      <c r="BF905" s="549"/>
      <c r="BG905" s="549"/>
      <c r="BH905" s="549"/>
      <c r="BI905" s="549"/>
    </row>
    <row r="906" spans="16:61" s="254" customFormat="1" ht="9.9">
      <c r="P906" s="549"/>
      <c r="Q906" s="549"/>
      <c r="R906" s="549"/>
      <c r="S906" s="549"/>
      <c r="T906" s="549"/>
      <c r="U906" s="549"/>
      <c r="V906" s="549"/>
      <c r="W906" s="549"/>
      <c r="X906" s="549"/>
      <c r="Y906" s="549"/>
      <c r="Z906" s="549"/>
      <c r="AA906" s="549"/>
      <c r="AB906" s="549"/>
      <c r="AC906" s="549"/>
      <c r="AD906" s="549"/>
      <c r="AE906" s="549"/>
      <c r="AF906" s="549"/>
      <c r="AG906" s="549"/>
      <c r="AH906" s="549"/>
      <c r="AI906" s="549"/>
      <c r="AJ906" s="549"/>
      <c r="AK906" s="549"/>
      <c r="AL906" s="549"/>
      <c r="AM906" s="549"/>
      <c r="AN906" s="549"/>
      <c r="AO906" s="549"/>
      <c r="AP906" s="549"/>
      <c r="AQ906" s="549"/>
      <c r="AR906" s="549"/>
      <c r="AS906" s="549"/>
      <c r="AT906" s="549"/>
      <c r="AU906" s="549"/>
      <c r="AV906" s="549"/>
      <c r="AW906" s="549"/>
      <c r="AX906" s="549"/>
      <c r="AY906" s="549"/>
      <c r="AZ906" s="549"/>
      <c r="BA906" s="549"/>
      <c r="BB906" s="549"/>
      <c r="BC906" s="549"/>
      <c r="BD906" s="549"/>
      <c r="BE906" s="549"/>
      <c r="BF906" s="549"/>
      <c r="BG906" s="549"/>
      <c r="BH906" s="549"/>
      <c r="BI906" s="549"/>
    </row>
    <row r="907" spans="16:61" s="254" customFormat="1" ht="9.9">
      <c r="P907" s="549"/>
      <c r="Q907" s="549"/>
      <c r="R907" s="549"/>
      <c r="S907" s="549"/>
      <c r="T907" s="549"/>
      <c r="U907" s="549"/>
      <c r="V907" s="549"/>
      <c r="W907" s="549"/>
      <c r="X907" s="549"/>
      <c r="Y907" s="549"/>
      <c r="Z907" s="549"/>
      <c r="AA907" s="549"/>
      <c r="AB907" s="549"/>
      <c r="AC907" s="549"/>
      <c r="AD907" s="549"/>
      <c r="AE907" s="549"/>
      <c r="AF907" s="549"/>
      <c r="AG907" s="549"/>
      <c r="AH907" s="549"/>
      <c r="AI907" s="549"/>
      <c r="AJ907" s="549"/>
      <c r="AK907" s="549"/>
      <c r="AL907" s="549"/>
      <c r="AM907" s="549"/>
      <c r="AN907" s="549"/>
      <c r="AO907" s="549"/>
      <c r="AP907" s="549"/>
      <c r="AQ907" s="549"/>
      <c r="AR907" s="549"/>
      <c r="AS907" s="549"/>
      <c r="AT907" s="549"/>
      <c r="AU907" s="549"/>
      <c r="AV907" s="549"/>
      <c r="AW907" s="549"/>
      <c r="AX907" s="549"/>
      <c r="AY907" s="549"/>
      <c r="AZ907" s="549"/>
      <c r="BA907" s="549"/>
      <c r="BB907" s="549"/>
      <c r="BC907" s="549"/>
      <c r="BD907" s="549"/>
      <c r="BE907" s="549"/>
      <c r="BF907" s="549"/>
      <c r="BG907" s="549"/>
      <c r="BH907" s="549"/>
      <c r="BI907" s="549"/>
    </row>
    <row r="908" spans="16:61" s="254" customFormat="1" ht="9.9">
      <c r="P908" s="549"/>
      <c r="Q908" s="549"/>
      <c r="R908" s="549"/>
      <c r="S908" s="549"/>
      <c r="T908" s="549"/>
      <c r="U908" s="549"/>
      <c r="V908" s="549"/>
      <c r="W908" s="549"/>
      <c r="X908" s="549"/>
      <c r="Y908" s="549"/>
      <c r="Z908" s="549"/>
      <c r="AA908" s="549"/>
      <c r="AB908" s="549"/>
      <c r="AC908" s="549"/>
      <c r="AD908" s="549"/>
      <c r="AE908" s="549"/>
      <c r="AF908" s="549"/>
      <c r="AG908" s="549"/>
      <c r="AH908" s="549"/>
      <c r="AI908" s="549"/>
      <c r="AJ908" s="549"/>
      <c r="AK908" s="549"/>
      <c r="AL908" s="549"/>
      <c r="AM908" s="549"/>
      <c r="AN908" s="549"/>
      <c r="AO908" s="549"/>
      <c r="AP908" s="549"/>
      <c r="AQ908" s="549"/>
      <c r="AR908" s="549"/>
      <c r="AS908" s="549"/>
      <c r="AT908" s="549"/>
      <c r="AU908" s="549"/>
      <c r="AV908" s="549"/>
      <c r="AW908" s="549"/>
      <c r="AX908" s="549"/>
      <c r="AY908" s="549"/>
      <c r="AZ908" s="549"/>
      <c r="BA908" s="549"/>
      <c r="BB908" s="549"/>
      <c r="BC908" s="549"/>
      <c r="BD908" s="549"/>
      <c r="BE908" s="549"/>
      <c r="BF908" s="549"/>
      <c r="BG908" s="549"/>
      <c r="BH908" s="549"/>
      <c r="BI908" s="549"/>
    </row>
    <row r="909" spans="16:61" s="254" customFormat="1" ht="9.9">
      <c r="P909" s="549"/>
      <c r="Q909" s="549"/>
      <c r="R909" s="549"/>
      <c r="S909" s="549"/>
      <c r="T909" s="549"/>
      <c r="U909" s="549"/>
      <c r="V909" s="549"/>
      <c r="W909" s="549"/>
      <c r="X909" s="549"/>
      <c r="Y909" s="549"/>
      <c r="Z909" s="549"/>
      <c r="AA909" s="549"/>
      <c r="AB909" s="549"/>
      <c r="AC909" s="549"/>
      <c r="AD909" s="549"/>
      <c r="AE909" s="549"/>
      <c r="AF909" s="549"/>
      <c r="AG909" s="549"/>
      <c r="AH909" s="549"/>
      <c r="AI909" s="549"/>
      <c r="AJ909" s="549"/>
      <c r="AK909" s="549"/>
      <c r="AL909" s="549"/>
      <c r="AM909" s="549"/>
      <c r="AN909" s="549"/>
      <c r="AO909" s="549"/>
      <c r="AP909" s="549"/>
      <c r="AQ909" s="549"/>
      <c r="AR909" s="549"/>
      <c r="AS909" s="549"/>
      <c r="AT909" s="549"/>
      <c r="AU909" s="549"/>
      <c r="AV909" s="549"/>
      <c r="AW909" s="549"/>
      <c r="AX909" s="549"/>
      <c r="AY909" s="549"/>
      <c r="AZ909" s="549"/>
      <c r="BA909" s="549"/>
      <c r="BB909" s="549"/>
      <c r="BC909" s="549"/>
      <c r="BD909" s="549"/>
      <c r="BE909" s="549"/>
      <c r="BF909" s="549"/>
      <c r="BG909" s="549"/>
      <c r="BH909" s="549"/>
      <c r="BI909" s="549"/>
    </row>
    <row r="910" spans="16:61" s="254" customFormat="1" ht="9.9">
      <c r="P910" s="549"/>
      <c r="Q910" s="549"/>
      <c r="R910" s="549"/>
      <c r="S910" s="549"/>
      <c r="T910" s="549"/>
      <c r="U910" s="549"/>
      <c r="V910" s="549"/>
      <c r="W910" s="549"/>
      <c r="X910" s="549"/>
      <c r="Y910" s="549"/>
      <c r="Z910" s="549"/>
      <c r="AA910" s="549"/>
      <c r="AB910" s="549"/>
      <c r="AC910" s="549"/>
      <c r="AD910" s="549"/>
      <c r="AE910" s="549"/>
      <c r="AF910" s="549"/>
      <c r="AG910" s="549"/>
      <c r="AH910" s="549"/>
      <c r="AI910" s="549"/>
      <c r="AJ910" s="549"/>
      <c r="AK910" s="549"/>
      <c r="AL910" s="549"/>
      <c r="AM910" s="549"/>
      <c r="AN910" s="549"/>
      <c r="AO910" s="549"/>
      <c r="AP910" s="549"/>
      <c r="AQ910" s="549"/>
      <c r="AR910" s="549"/>
      <c r="AS910" s="549"/>
      <c r="AT910" s="549"/>
      <c r="AU910" s="549"/>
      <c r="AV910" s="549"/>
      <c r="AW910" s="549"/>
      <c r="AX910" s="549"/>
      <c r="AY910" s="549"/>
      <c r="AZ910" s="549"/>
      <c r="BA910" s="549"/>
      <c r="BB910" s="549"/>
      <c r="BC910" s="549"/>
      <c r="BD910" s="549"/>
      <c r="BE910" s="549"/>
      <c r="BF910" s="549"/>
      <c r="BG910" s="549"/>
      <c r="BH910" s="549"/>
      <c r="BI910" s="549"/>
    </row>
    <row r="911" spans="16:61" s="254" customFormat="1" ht="9.9">
      <c r="P911" s="549"/>
      <c r="Q911" s="549"/>
      <c r="R911" s="549"/>
      <c r="S911" s="549"/>
      <c r="T911" s="549"/>
      <c r="U911" s="549"/>
      <c r="V911" s="549"/>
      <c r="W911" s="549"/>
      <c r="X911" s="549"/>
      <c r="Y911" s="549"/>
      <c r="Z911" s="549"/>
      <c r="AA911" s="549"/>
      <c r="AB911" s="549"/>
      <c r="AC911" s="549"/>
      <c r="AD911" s="549"/>
      <c r="AE911" s="549"/>
      <c r="AF911" s="549"/>
      <c r="AG911" s="549"/>
      <c r="AH911" s="549"/>
      <c r="AI911" s="549"/>
      <c r="AJ911" s="549"/>
      <c r="AK911" s="549"/>
      <c r="AL911" s="549"/>
      <c r="AM911" s="549"/>
      <c r="AN911" s="549"/>
      <c r="AO911" s="549"/>
      <c r="AP911" s="549"/>
      <c r="AQ911" s="549"/>
      <c r="AR911" s="549"/>
      <c r="AS911" s="549"/>
      <c r="AT911" s="549"/>
      <c r="AU911" s="549"/>
      <c r="AV911" s="549"/>
      <c r="AW911" s="549"/>
      <c r="AX911" s="549"/>
      <c r="AY911" s="549"/>
      <c r="AZ911" s="549"/>
      <c r="BA911" s="549"/>
      <c r="BB911" s="549"/>
      <c r="BC911" s="549"/>
      <c r="BD911" s="549"/>
      <c r="BE911" s="549"/>
      <c r="BF911" s="549"/>
      <c r="BG911" s="549"/>
      <c r="BH911" s="549"/>
      <c r="BI911" s="549"/>
    </row>
    <row r="912" spans="16:61" s="254" customFormat="1" ht="9.9">
      <c r="P912" s="549"/>
      <c r="Q912" s="549"/>
      <c r="R912" s="549"/>
      <c r="S912" s="549"/>
      <c r="T912" s="549"/>
      <c r="U912" s="549"/>
      <c r="V912" s="549"/>
      <c r="W912" s="549"/>
      <c r="X912" s="549"/>
      <c r="Y912" s="549"/>
      <c r="Z912" s="549"/>
      <c r="AA912" s="549"/>
      <c r="AB912" s="549"/>
      <c r="AC912" s="549"/>
      <c r="AD912" s="549"/>
      <c r="AE912" s="549"/>
      <c r="AF912" s="549"/>
      <c r="AG912" s="549"/>
      <c r="AH912" s="549"/>
      <c r="AI912" s="549"/>
      <c r="AJ912" s="549"/>
      <c r="AK912" s="549"/>
      <c r="AL912" s="549"/>
      <c r="AM912" s="549"/>
      <c r="AN912" s="549"/>
      <c r="AO912" s="549"/>
      <c r="AP912" s="549"/>
      <c r="AQ912" s="549"/>
      <c r="AR912" s="549"/>
      <c r="AS912" s="549"/>
      <c r="AT912" s="549"/>
      <c r="AU912" s="549"/>
      <c r="AV912" s="549"/>
      <c r="AW912" s="549"/>
      <c r="AX912" s="549"/>
      <c r="AY912" s="549"/>
      <c r="AZ912" s="549"/>
      <c r="BA912" s="549"/>
      <c r="BB912" s="549"/>
      <c r="BC912" s="549"/>
      <c r="BD912" s="549"/>
      <c r="BE912" s="549"/>
      <c r="BF912" s="549"/>
      <c r="BG912" s="549"/>
      <c r="BH912" s="549"/>
      <c r="BI912" s="549"/>
    </row>
    <row r="913" spans="16:61" s="254" customFormat="1" ht="9.9">
      <c r="P913" s="549"/>
      <c r="Q913" s="549"/>
      <c r="R913" s="549"/>
      <c r="S913" s="549"/>
      <c r="T913" s="549"/>
      <c r="U913" s="549"/>
      <c r="V913" s="549"/>
      <c r="W913" s="549"/>
      <c r="X913" s="549"/>
      <c r="Y913" s="549"/>
      <c r="Z913" s="549"/>
      <c r="AA913" s="549"/>
      <c r="AB913" s="549"/>
      <c r="AC913" s="549"/>
      <c r="AD913" s="549"/>
      <c r="AE913" s="549"/>
      <c r="AF913" s="549"/>
      <c r="AG913" s="549"/>
      <c r="AH913" s="549"/>
      <c r="AI913" s="549"/>
      <c r="AJ913" s="549"/>
      <c r="AK913" s="549"/>
      <c r="AL913" s="549"/>
      <c r="AM913" s="549"/>
      <c r="AN913" s="549"/>
      <c r="AO913" s="549"/>
      <c r="AP913" s="549"/>
      <c r="AQ913" s="549"/>
      <c r="AR913" s="549"/>
      <c r="AS913" s="549"/>
      <c r="AT913" s="549"/>
      <c r="AU913" s="549"/>
      <c r="AV913" s="549"/>
      <c r="AW913" s="549"/>
      <c r="AX913" s="549"/>
      <c r="AY913" s="549"/>
      <c r="AZ913" s="549"/>
      <c r="BA913" s="549"/>
      <c r="BB913" s="549"/>
      <c r="BC913" s="549"/>
      <c r="BD913" s="549"/>
      <c r="BE913" s="549"/>
      <c r="BF913" s="549"/>
      <c r="BG913" s="549"/>
      <c r="BH913" s="549"/>
      <c r="BI913" s="549"/>
    </row>
    <row r="914" spans="16:61" s="254" customFormat="1" ht="9.9">
      <c r="P914" s="549"/>
      <c r="Q914" s="549"/>
      <c r="R914" s="549"/>
      <c r="S914" s="549"/>
      <c r="T914" s="549"/>
      <c r="U914" s="549"/>
      <c r="V914" s="549"/>
      <c r="W914" s="549"/>
      <c r="X914" s="549"/>
      <c r="Y914" s="549"/>
      <c r="Z914" s="549"/>
      <c r="AA914" s="549"/>
      <c r="AB914" s="549"/>
      <c r="AC914" s="549"/>
      <c r="AD914" s="549"/>
      <c r="AE914" s="549"/>
      <c r="AF914" s="549"/>
      <c r="AG914" s="549"/>
      <c r="AH914" s="549"/>
      <c r="AI914" s="549"/>
      <c r="AJ914" s="549"/>
      <c r="AK914" s="549"/>
      <c r="AL914" s="549"/>
      <c r="AM914" s="549"/>
      <c r="AN914" s="549"/>
      <c r="AO914" s="549"/>
      <c r="AP914" s="549"/>
      <c r="AQ914" s="549"/>
      <c r="AR914" s="549"/>
      <c r="AS914" s="549"/>
      <c r="AT914" s="549"/>
      <c r="AU914" s="549"/>
      <c r="AV914" s="549"/>
      <c r="AW914" s="549"/>
      <c r="AX914" s="549"/>
      <c r="AY914" s="549"/>
      <c r="AZ914" s="549"/>
      <c r="BA914" s="549"/>
      <c r="BB914" s="549"/>
      <c r="BC914" s="549"/>
      <c r="BD914" s="549"/>
      <c r="BE914" s="549"/>
      <c r="BF914" s="549"/>
      <c r="BG914" s="549"/>
      <c r="BH914" s="549"/>
      <c r="BI914" s="549"/>
    </row>
    <row r="915" spans="16:61" s="254" customFormat="1" ht="9.9">
      <c r="P915" s="549"/>
      <c r="Q915" s="549"/>
      <c r="R915" s="549"/>
      <c r="S915" s="549"/>
      <c r="T915" s="549"/>
      <c r="U915" s="549"/>
      <c r="V915" s="549"/>
      <c r="W915" s="549"/>
      <c r="X915" s="549"/>
      <c r="Y915" s="549"/>
      <c r="Z915" s="549"/>
      <c r="AA915" s="549"/>
      <c r="AB915" s="549"/>
      <c r="AC915" s="549"/>
      <c r="AD915" s="549"/>
      <c r="AE915" s="549"/>
      <c r="AF915" s="549"/>
      <c r="AG915" s="549"/>
      <c r="AH915" s="549"/>
      <c r="AI915" s="549"/>
      <c r="AJ915" s="549"/>
      <c r="AK915" s="549"/>
      <c r="AL915" s="549"/>
      <c r="AM915" s="549"/>
      <c r="AN915" s="549"/>
      <c r="AO915" s="549"/>
      <c r="AP915" s="549"/>
      <c r="AQ915" s="549"/>
      <c r="AR915" s="549"/>
      <c r="AS915" s="549"/>
      <c r="AT915" s="549"/>
      <c r="AU915" s="549"/>
      <c r="AV915" s="549"/>
      <c r="AW915" s="549"/>
      <c r="AX915" s="549"/>
      <c r="AY915" s="549"/>
      <c r="AZ915" s="549"/>
      <c r="BA915" s="549"/>
      <c r="BB915" s="549"/>
      <c r="BC915" s="549"/>
      <c r="BD915" s="549"/>
      <c r="BE915" s="549"/>
      <c r="BF915" s="549"/>
      <c r="BG915" s="549"/>
      <c r="BH915" s="549"/>
      <c r="BI915" s="549"/>
    </row>
    <row r="916" spans="16:61" s="254" customFormat="1" ht="9.9">
      <c r="P916" s="549"/>
      <c r="Q916" s="549"/>
      <c r="R916" s="549"/>
      <c r="S916" s="549"/>
      <c r="T916" s="549"/>
      <c r="U916" s="549"/>
      <c r="V916" s="549"/>
      <c r="W916" s="549"/>
      <c r="X916" s="549"/>
      <c r="Y916" s="549"/>
      <c r="Z916" s="549"/>
      <c r="AA916" s="549"/>
      <c r="AB916" s="549"/>
      <c r="AC916" s="549"/>
      <c r="AD916" s="549"/>
      <c r="AE916" s="549"/>
      <c r="AF916" s="549"/>
      <c r="AG916" s="549"/>
      <c r="AH916" s="549"/>
      <c r="AI916" s="549"/>
      <c r="AJ916" s="549"/>
      <c r="AK916" s="549"/>
      <c r="AL916" s="549"/>
      <c r="AM916" s="549"/>
      <c r="AN916" s="549"/>
      <c r="AO916" s="549"/>
      <c r="AP916" s="549"/>
      <c r="AQ916" s="549"/>
      <c r="AR916" s="549"/>
      <c r="AS916" s="549"/>
      <c r="AT916" s="549"/>
      <c r="AU916" s="549"/>
      <c r="AV916" s="549"/>
      <c r="AW916" s="549"/>
      <c r="AX916" s="549"/>
      <c r="AY916" s="549"/>
      <c r="AZ916" s="549"/>
      <c r="BA916" s="549"/>
      <c r="BB916" s="549"/>
      <c r="BC916" s="549"/>
      <c r="BD916" s="549"/>
      <c r="BE916" s="549"/>
      <c r="BF916" s="549"/>
      <c r="BG916" s="549"/>
      <c r="BH916" s="549"/>
      <c r="BI916" s="549"/>
    </row>
    <row r="917" spans="16:61" s="254" customFormat="1" ht="9.9">
      <c r="P917" s="549"/>
      <c r="Q917" s="549"/>
      <c r="R917" s="549"/>
      <c r="S917" s="549"/>
      <c r="T917" s="549"/>
      <c r="U917" s="549"/>
      <c r="V917" s="549"/>
      <c r="W917" s="549"/>
      <c r="X917" s="549"/>
      <c r="Y917" s="549"/>
      <c r="Z917" s="549"/>
      <c r="AA917" s="549"/>
      <c r="AB917" s="549"/>
      <c r="AC917" s="549"/>
      <c r="AD917" s="549"/>
      <c r="AE917" s="549"/>
      <c r="AF917" s="549"/>
      <c r="AG917" s="549"/>
      <c r="AH917" s="549"/>
      <c r="AI917" s="549"/>
      <c r="AJ917" s="549"/>
      <c r="AK917" s="549"/>
      <c r="AL917" s="549"/>
      <c r="AM917" s="549"/>
      <c r="AN917" s="549"/>
      <c r="AO917" s="549"/>
      <c r="AP917" s="549"/>
      <c r="AQ917" s="549"/>
      <c r="AR917" s="549"/>
      <c r="AS917" s="549"/>
      <c r="AT917" s="549"/>
      <c r="AU917" s="549"/>
      <c r="AV917" s="549"/>
      <c r="AW917" s="549"/>
      <c r="AX917" s="549"/>
      <c r="AY917" s="549"/>
      <c r="AZ917" s="549"/>
      <c r="BA917" s="549"/>
      <c r="BB917" s="549"/>
      <c r="BC917" s="549"/>
      <c r="BD917" s="549"/>
      <c r="BE917" s="549"/>
      <c r="BF917" s="549"/>
      <c r="BG917" s="549"/>
      <c r="BH917" s="549"/>
      <c r="BI917" s="549"/>
    </row>
    <row r="918" spans="16:61" s="254" customFormat="1" ht="9.9">
      <c r="P918" s="549"/>
      <c r="Q918" s="549"/>
      <c r="R918" s="549"/>
      <c r="S918" s="549"/>
      <c r="T918" s="549"/>
      <c r="U918" s="549"/>
      <c r="V918" s="549"/>
      <c r="W918" s="549"/>
      <c r="X918" s="549"/>
      <c r="Y918" s="549"/>
      <c r="Z918" s="549"/>
      <c r="AA918" s="549"/>
      <c r="AB918" s="549"/>
      <c r="AC918" s="549"/>
      <c r="AD918" s="549"/>
      <c r="AE918" s="549"/>
      <c r="AF918" s="549"/>
      <c r="AG918" s="549"/>
      <c r="AH918" s="549"/>
      <c r="AI918" s="549"/>
      <c r="AJ918" s="549"/>
      <c r="AK918" s="549"/>
      <c r="AL918" s="549"/>
      <c r="AM918" s="549"/>
      <c r="AN918" s="549"/>
      <c r="AO918" s="549"/>
      <c r="AP918" s="549"/>
      <c r="AQ918" s="549"/>
      <c r="AR918" s="549"/>
      <c r="AS918" s="549"/>
      <c r="AT918" s="549"/>
      <c r="AU918" s="549"/>
      <c r="AV918" s="549"/>
      <c r="AW918" s="549"/>
      <c r="AX918" s="549"/>
      <c r="AY918" s="549"/>
      <c r="AZ918" s="549"/>
      <c r="BA918" s="549"/>
      <c r="BB918" s="549"/>
      <c r="BC918" s="549"/>
      <c r="BD918" s="549"/>
      <c r="BE918" s="549"/>
      <c r="BF918" s="549"/>
      <c r="BG918" s="549"/>
      <c r="BH918" s="549"/>
      <c r="BI918" s="549"/>
    </row>
    <row r="919" spans="16:61" s="254" customFormat="1" ht="9.9">
      <c r="P919" s="549"/>
      <c r="Q919" s="549"/>
      <c r="R919" s="549"/>
      <c r="S919" s="549"/>
      <c r="T919" s="549"/>
      <c r="U919" s="549"/>
      <c r="V919" s="549"/>
      <c r="W919" s="549"/>
      <c r="X919" s="549"/>
      <c r="Y919" s="549"/>
      <c r="Z919" s="549"/>
      <c r="AA919" s="549"/>
      <c r="AB919" s="549"/>
      <c r="AC919" s="549"/>
      <c r="AD919" s="549"/>
      <c r="AE919" s="549"/>
      <c r="AF919" s="549"/>
      <c r="AG919" s="549"/>
      <c r="AH919" s="549"/>
      <c r="AI919" s="549"/>
      <c r="AJ919" s="549"/>
      <c r="AK919" s="549"/>
      <c r="AL919" s="549"/>
      <c r="AM919" s="549"/>
      <c r="AN919" s="549"/>
      <c r="AO919" s="549"/>
      <c r="AP919" s="549"/>
      <c r="AQ919" s="549"/>
      <c r="AR919" s="549"/>
      <c r="AS919" s="549"/>
      <c r="AT919" s="549"/>
      <c r="AU919" s="549"/>
      <c r="AV919" s="549"/>
      <c r="AW919" s="549"/>
      <c r="AX919" s="549"/>
      <c r="AY919" s="549"/>
      <c r="AZ919" s="549"/>
      <c r="BA919" s="549"/>
      <c r="BB919" s="549"/>
      <c r="BC919" s="549"/>
      <c r="BD919" s="549"/>
      <c r="BE919" s="549"/>
      <c r="BF919" s="549"/>
      <c r="BG919" s="549"/>
      <c r="BH919" s="549"/>
      <c r="BI919" s="549"/>
    </row>
    <row r="920" spans="16:61" s="254" customFormat="1" ht="9.9">
      <c r="P920" s="549"/>
      <c r="Q920" s="549"/>
      <c r="R920" s="549"/>
      <c r="S920" s="549"/>
      <c r="T920" s="549"/>
      <c r="U920" s="549"/>
      <c r="V920" s="549"/>
      <c r="W920" s="549"/>
      <c r="X920" s="549"/>
      <c r="Y920" s="549"/>
      <c r="Z920" s="549"/>
      <c r="AA920" s="549"/>
      <c r="AB920" s="549"/>
      <c r="AC920" s="549"/>
      <c r="AD920" s="549"/>
      <c r="AE920" s="549"/>
      <c r="AF920" s="549"/>
      <c r="AG920" s="549"/>
      <c r="AH920" s="549"/>
      <c r="AI920" s="549"/>
      <c r="AJ920" s="549"/>
      <c r="AK920" s="549"/>
      <c r="AL920" s="549"/>
      <c r="AM920" s="549"/>
      <c r="AN920" s="549"/>
      <c r="AO920" s="549"/>
      <c r="AP920" s="549"/>
      <c r="AQ920" s="549"/>
      <c r="AR920" s="549"/>
      <c r="AS920" s="549"/>
      <c r="AT920" s="549"/>
      <c r="AU920" s="549"/>
      <c r="AV920" s="549"/>
      <c r="AW920" s="549"/>
      <c r="AX920" s="549"/>
      <c r="AY920" s="549"/>
      <c r="AZ920" s="549"/>
      <c r="BA920" s="549"/>
      <c r="BB920" s="549"/>
      <c r="BC920" s="549"/>
      <c r="BD920" s="549"/>
      <c r="BE920" s="549"/>
      <c r="BF920" s="549"/>
      <c r="BG920" s="549"/>
      <c r="BH920" s="549"/>
      <c r="BI920" s="549"/>
    </row>
    <row r="921" spans="16:61" s="254" customFormat="1" ht="9.9">
      <c r="P921" s="549"/>
      <c r="Q921" s="549"/>
      <c r="R921" s="549"/>
      <c r="S921" s="549"/>
      <c r="T921" s="549"/>
      <c r="U921" s="549"/>
      <c r="V921" s="549"/>
      <c r="W921" s="549"/>
      <c r="X921" s="549"/>
      <c r="Y921" s="549"/>
      <c r="Z921" s="549"/>
      <c r="AA921" s="549"/>
      <c r="AB921" s="549"/>
      <c r="AC921" s="549"/>
      <c r="AD921" s="549"/>
      <c r="AE921" s="549"/>
      <c r="AF921" s="549"/>
      <c r="AG921" s="549"/>
      <c r="AH921" s="549"/>
      <c r="AI921" s="549"/>
      <c r="AJ921" s="549"/>
      <c r="AK921" s="549"/>
      <c r="AL921" s="549"/>
      <c r="AM921" s="549"/>
      <c r="AN921" s="549"/>
      <c r="AO921" s="549"/>
      <c r="AP921" s="549"/>
      <c r="AQ921" s="549"/>
      <c r="AR921" s="549"/>
      <c r="AS921" s="549"/>
      <c r="AT921" s="549"/>
      <c r="AU921" s="549"/>
      <c r="AV921" s="549"/>
      <c r="AW921" s="549"/>
      <c r="AX921" s="549"/>
      <c r="AY921" s="549"/>
      <c r="AZ921" s="549"/>
      <c r="BA921" s="549"/>
      <c r="BB921" s="549"/>
      <c r="BC921" s="549"/>
      <c r="BD921" s="549"/>
      <c r="BE921" s="549"/>
      <c r="BF921" s="549"/>
      <c r="BG921" s="549"/>
      <c r="BH921" s="549"/>
      <c r="BI921" s="549"/>
    </row>
    <row r="922" spans="16:61" s="254" customFormat="1" ht="9.9">
      <c r="P922" s="549"/>
      <c r="Q922" s="549"/>
      <c r="R922" s="549"/>
      <c r="S922" s="549"/>
      <c r="T922" s="549"/>
      <c r="U922" s="549"/>
      <c r="V922" s="549"/>
      <c r="W922" s="549"/>
      <c r="X922" s="549"/>
      <c r="Y922" s="549"/>
      <c r="Z922" s="549"/>
      <c r="AA922" s="549"/>
      <c r="AB922" s="549"/>
      <c r="AC922" s="549"/>
      <c r="AD922" s="549"/>
      <c r="AE922" s="549"/>
      <c r="AF922" s="549"/>
      <c r="AG922" s="549"/>
      <c r="AH922" s="549"/>
      <c r="AI922" s="549"/>
      <c r="AJ922" s="549"/>
      <c r="AK922" s="549"/>
      <c r="AL922" s="549"/>
      <c r="AM922" s="549"/>
      <c r="AN922" s="549"/>
      <c r="AO922" s="549"/>
      <c r="AP922" s="549"/>
      <c r="AQ922" s="549"/>
      <c r="AR922" s="549"/>
      <c r="AS922" s="549"/>
      <c r="AT922" s="549"/>
      <c r="AU922" s="549"/>
      <c r="AV922" s="549"/>
      <c r="AW922" s="549"/>
      <c r="AX922" s="549"/>
      <c r="AY922" s="549"/>
      <c r="AZ922" s="549"/>
      <c r="BA922" s="549"/>
      <c r="BB922" s="549"/>
      <c r="BC922" s="549"/>
      <c r="BD922" s="549"/>
      <c r="BE922" s="549"/>
      <c r="BF922" s="549"/>
      <c r="BG922" s="549"/>
      <c r="BH922" s="549"/>
      <c r="BI922" s="549"/>
    </row>
    <row r="923" spans="16:61" s="254" customFormat="1" ht="9.9">
      <c r="P923" s="549"/>
      <c r="Q923" s="549"/>
      <c r="R923" s="549"/>
      <c r="S923" s="549"/>
      <c r="T923" s="549"/>
      <c r="U923" s="549"/>
      <c r="V923" s="549"/>
      <c r="W923" s="549"/>
      <c r="X923" s="549"/>
      <c r="Y923" s="549"/>
      <c r="Z923" s="549"/>
      <c r="AA923" s="549"/>
      <c r="AB923" s="549"/>
      <c r="AC923" s="549"/>
      <c r="AD923" s="549"/>
      <c r="AE923" s="549"/>
      <c r="AF923" s="549"/>
      <c r="AG923" s="549"/>
      <c r="AH923" s="549"/>
      <c r="AI923" s="549"/>
      <c r="AJ923" s="549"/>
      <c r="AK923" s="549"/>
      <c r="AL923" s="549"/>
      <c r="AM923" s="549"/>
      <c r="AN923" s="549"/>
      <c r="AO923" s="549"/>
      <c r="AP923" s="549"/>
      <c r="AQ923" s="549"/>
      <c r="AR923" s="549"/>
      <c r="AS923" s="549"/>
      <c r="AT923" s="549"/>
      <c r="AU923" s="549"/>
      <c r="AV923" s="549"/>
      <c r="AW923" s="549"/>
      <c r="AX923" s="549"/>
      <c r="AY923" s="549"/>
      <c r="AZ923" s="549"/>
      <c r="BA923" s="549"/>
      <c r="BB923" s="549"/>
      <c r="BC923" s="549"/>
      <c r="BD923" s="549"/>
      <c r="BE923" s="549"/>
      <c r="BF923" s="549"/>
      <c r="BG923" s="549"/>
      <c r="BH923" s="549"/>
      <c r="BI923" s="549"/>
    </row>
    <row r="924" spans="16:61" s="254" customFormat="1" ht="9.9">
      <c r="P924" s="549"/>
      <c r="Q924" s="549"/>
      <c r="R924" s="549"/>
      <c r="S924" s="549"/>
      <c r="T924" s="549"/>
      <c r="U924" s="549"/>
      <c r="V924" s="549"/>
      <c r="W924" s="549"/>
      <c r="X924" s="549"/>
      <c r="Y924" s="549"/>
      <c r="Z924" s="549"/>
      <c r="AA924" s="549"/>
      <c r="AB924" s="549"/>
      <c r="AC924" s="549"/>
      <c r="AD924" s="549"/>
      <c r="AE924" s="549"/>
      <c r="AF924" s="549"/>
      <c r="AG924" s="549"/>
      <c r="AH924" s="549"/>
      <c r="AI924" s="549"/>
      <c r="AJ924" s="549"/>
      <c r="AK924" s="549"/>
      <c r="AL924" s="549"/>
      <c r="AM924" s="549"/>
      <c r="AN924" s="549"/>
      <c r="AO924" s="549"/>
      <c r="AP924" s="549"/>
      <c r="AQ924" s="549"/>
      <c r="AR924" s="549"/>
      <c r="AS924" s="549"/>
      <c r="AT924" s="549"/>
      <c r="AU924" s="549"/>
      <c r="AV924" s="549"/>
      <c r="AW924" s="549"/>
      <c r="AX924" s="549"/>
      <c r="AY924" s="549"/>
      <c r="AZ924" s="549"/>
      <c r="BA924" s="549"/>
      <c r="BB924" s="549"/>
      <c r="BC924" s="549"/>
      <c r="BD924" s="549"/>
      <c r="BE924" s="549"/>
      <c r="BF924" s="549"/>
      <c r="BG924" s="549"/>
      <c r="BH924" s="549"/>
      <c r="BI924" s="549"/>
    </row>
    <row r="925" spans="16:61" s="254" customFormat="1" ht="9.9">
      <c r="P925" s="549"/>
      <c r="Q925" s="549"/>
      <c r="R925" s="549"/>
      <c r="S925" s="549"/>
      <c r="T925" s="549"/>
      <c r="U925" s="549"/>
      <c r="V925" s="549"/>
      <c r="W925" s="549"/>
      <c r="X925" s="549"/>
      <c r="Y925" s="549"/>
      <c r="Z925" s="549"/>
      <c r="AA925" s="549"/>
      <c r="AB925" s="549"/>
      <c r="AC925" s="549"/>
      <c r="AD925" s="549"/>
      <c r="AE925" s="549"/>
      <c r="AF925" s="549"/>
      <c r="AG925" s="549"/>
      <c r="AH925" s="549"/>
      <c r="AI925" s="549"/>
      <c r="AJ925" s="549"/>
      <c r="AK925" s="549"/>
      <c r="AL925" s="549"/>
      <c r="AM925" s="549"/>
      <c r="AN925" s="549"/>
      <c r="AO925" s="549"/>
      <c r="AP925" s="549"/>
      <c r="AQ925" s="549"/>
      <c r="AR925" s="549"/>
      <c r="AS925" s="549"/>
      <c r="AT925" s="549"/>
      <c r="AU925" s="549"/>
      <c r="AV925" s="549"/>
      <c r="AW925" s="549"/>
      <c r="AX925" s="549"/>
      <c r="AY925" s="549"/>
      <c r="AZ925" s="549"/>
      <c r="BA925" s="549"/>
      <c r="BB925" s="549"/>
      <c r="BC925" s="549"/>
      <c r="BD925" s="549"/>
      <c r="BE925" s="549"/>
      <c r="BF925" s="549"/>
      <c r="BG925" s="549"/>
      <c r="BH925" s="549"/>
      <c r="BI925" s="549"/>
    </row>
    <row r="926" spans="16:61" s="254" customFormat="1" ht="9.9">
      <c r="P926" s="549"/>
      <c r="Q926" s="549"/>
      <c r="R926" s="549"/>
      <c r="S926" s="549"/>
      <c r="T926" s="549"/>
      <c r="U926" s="549"/>
      <c r="V926" s="549"/>
      <c r="W926" s="549"/>
      <c r="X926" s="549"/>
      <c r="Y926" s="549"/>
      <c r="Z926" s="549"/>
      <c r="AA926" s="549"/>
      <c r="AB926" s="549"/>
      <c r="AC926" s="549"/>
      <c r="AD926" s="549"/>
      <c r="AE926" s="549"/>
      <c r="AF926" s="549"/>
      <c r="AG926" s="549"/>
      <c r="AH926" s="549"/>
      <c r="AI926" s="549"/>
      <c r="AJ926" s="549"/>
      <c r="AK926" s="549"/>
      <c r="AL926" s="549"/>
      <c r="AM926" s="549"/>
      <c r="AN926" s="549"/>
      <c r="AO926" s="549"/>
      <c r="AP926" s="549"/>
      <c r="AQ926" s="549"/>
      <c r="AR926" s="549"/>
      <c r="AS926" s="549"/>
      <c r="AT926" s="549"/>
      <c r="AU926" s="549"/>
      <c r="AV926" s="549"/>
      <c r="AW926" s="549"/>
      <c r="AX926" s="549"/>
      <c r="AY926" s="549"/>
      <c r="AZ926" s="549"/>
      <c r="BA926" s="549"/>
      <c r="BB926" s="549"/>
      <c r="BC926" s="549"/>
      <c r="BD926" s="549"/>
      <c r="BE926" s="549"/>
      <c r="BF926" s="549"/>
      <c r="BG926" s="549"/>
      <c r="BH926" s="549"/>
      <c r="BI926" s="549"/>
    </row>
    <row r="927" spans="16:61" s="254" customFormat="1" ht="9.9">
      <c r="P927" s="549"/>
      <c r="Q927" s="549"/>
      <c r="R927" s="549"/>
      <c r="S927" s="549"/>
      <c r="T927" s="549"/>
      <c r="U927" s="549"/>
      <c r="V927" s="549"/>
      <c r="W927" s="549"/>
      <c r="X927" s="549"/>
      <c r="Y927" s="549"/>
      <c r="Z927" s="549"/>
      <c r="AA927" s="549"/>
      <c r="AB927" s="549"/>
      <c r="AC927" s="549"/>
      <c r="AD927" s="549"/>
      <c r="AE927" s="549"/>
      <c r="AF927" s="549"/>
      <c r="AG927" s="549"/>
      <c r="AH927" s="549"/>
      <c r="AI927" s="549"/>
      <c r="AJ927" s="549"/>
      <c r="AK927" s="549"/>
      <c r="AL927" s="549"/>
      <c r="AM927" s="549"/>
      <c r="AN927" s="549"/>
      <c r="AO927" s="549"/>
      <c r="AP927" s="549"/>
      <c r="AQ927" s="549"/>
      <c r="AR927" s="549"/>
      <c r="AS927" s="549"/>
      <c r="AT927" s="549"/>
      <c r="AU927" s="549"/>
      <c r="AV927" s="549"/>
      <c r="AW927" s="549"/>
      <c r="AX927" s="549"/>
      <c r="AY927" s="549"/>
      <c r="AZ927" s="549"/>
      <c r="BA927" s="549"/>
      <c r="BB927" s="549"/>
      <c r="BC927" s="549"/>
      <c r="BD927" s="549"/>
      <c r="BE927" s="549"/>
      <c r="BF927" s="549"/>
      <c r="BG927" s="549"/>
      <c r="BH927" s="549"/>
      <c r="BI927" s="549"/>
    </row>
    <row r="928" spans="16:61" s="254" customFormat="1" ht="9.9">
      <c r="P928" s="549"/>
      <c r="Q928" s="549"/>
      <c r="R928" s="549"/>
      <c r="S928" s="549"/>
      <c r="T928" s="549"/>
      <c r="U928" s="549"/>
      <c r="V928" s="549"/>
      <c r="W928" s="549"/>
      <c r="X928" s="549"/>
      <c r="Y928" s="549"/>
      <c r="Z928" s="549"/>
      <c r="AA928" s="549"/>
      <c r="AB928" s="549"/>
      <c r="AC928" s="549"/>
      <c r="AD928" s="549"/>
      <c r="AE928" s="549"/>
      <c r="AF928" s="549"/>
      <c r="AG928" s="549"/>
      <c r="AH928" s="549"/>
      <c r="AI928" s="549"/>
      <c r="AJ928" s="549"/>
      <c r="AK928" s="549"/>
      <c r="AL928" s="549"/>
      <c r="AM928" s="549"/>
      <c r="AN928" s="549"/>
      <c r="AO928" s="549"/>
      <c r="AP928" s="549"/>
      <c r="AQ928" s="549"/>
      <c r="AR928" s="549"/>
      <c r="AS928" s="549"/>
      <c r="AT928" s="549"/>
      <c r="AU928" s="549"/>
      <c r="AV928" s="549"/>
      <c r="AW928" s="549"/>
      <c r="AX928" s="549"/>
      <c r="AY928" s="549"/>
      <c r="AZ928" s="549"/>
      <c r="BA928" s="549"/>
      <c r="BB928" s="549"/>
      <c r="BC928" s="549"/>
      <c r="BD928" s="549"/>
      <c r="BE928" s="549"/>
      <c r="BF928" s="549"/>
      <c r="BG928" s="549"/>
      <c r="BH928" s="549"/>
      <c r="BI928" s="549"/>
    </row>
    <row r="929" spans="16:61" s="254" customFormat="1" ht="9.9">
      <c r="P929" s="549"/>
      <c r="Q929" s="549"/>
      <c r="R929" s="549"/>
      <c r="S929" s="549"/>
      <c r="T929" s="549"/>
      <c r="U929" s="549"/>
      <c r="V929" s="549"/>
      <c r="W929" s="549"/>
      <c r="X929" s="549"/>
      <c r="Y929" s="549"/>
      <c r="Z929" s="549"/>
      <c r="AA929" s="549"/>
      <c r="AB929" s="549"/>
      <c r="AC929" s="549"/>
      <c r="AD929" s="549"/>
      <c r="AE929" s="549"/>
      <c r="AF929" s="549"/>
      <c r="AG929" s="549"/>
      <c r="AH929" s="549"/>
      <c r="AI929" s="549"/>
      <c r="AJ929" s="549"/>
      <c r="AK929" s="549"/>
      <c r="AL929" s="549"/>
      <c r="AM929" s="549"/>
      <c r="AN929" s="549"/>
      <c r="AO929" s="549"/>
      <c r="AP929" s="549"/>
      <c r="AQ929" s="549"/>
      <c r="AR929" s="549"/>
      <c r="AS929" s="549"/>
      <c r="AT929" s="549"/>
      <c r="AU929" s="549"/>
      <c r="AV929" s="549"/>
      <c r="AW929" s="549"/>
      <c r="AX929" s="549"/>
      <c r="AY929" s="549"/>
      <c r="AZ929" s="549"/>
      <c r="BA929" s="549"/>
      <c r="BB929" s="549"/>
      <c r="BC929" s="549"/>
      <c r="BD929" s="549"/>
      <c r="BE929" s="549"/>
      <c r="BF929" s="549"/>
      <c r="BG929" s="549"/>
      <c r="BH929" s="549"/>
      <c r="BI929" s="549"/>
    </row>
    <row r="930" spans="16:61" s="254" customFormat="1" ht="9.9">
      <c r="P930" s="549"/>
      <c r="Q930" s="549"/>
      <c r="R930" s="549"/>
      <c r="S930" s="549"/>
      <c r="T930" s="549"/>
      <c r="U930" s="549"/>
      <c r="V930" s="549"/>
      <c r="W930" s="549"/>
      <c r="X930" s="549"/>
      <c r="Y930" s="549"/>
      <c r="Z930" s="549"/>
      <c r="AA930" s="549"/>
      <c r="AB930" s="549"/>
      <c r="AC930" s="549"/>
      <c r="AD930" s="549"/>
      <c r="AE930" s="549"/>
      <c r="AF930" s="549"/>
      <c r="AG930" s="549"/>
      <c r="AH930" s="549"/>
      <c r="AI930" s="549"/>
      <c r="AJ930" s="549"/>
      <c r="AK930" s="549"/>
      <c r="AL930" s="549"/>
      <c r="AM930" s="549"/>
      <c r="AN930" s="549"/>
      <c r="AO930" s="549"/>
      <c r="AP930" s="549"/>
      <c r="AQ930" s="549"/>
      <c r="AR930" s="549"/>
      <c r="AS930" s="549"/>
      <c r="AT930" s="549"/>
      <c r="AU930" s="549"/>
      <c r="AV930" s="549"/>
      <c r="AW930" s="549"/>
      <c r="AX930" s="549"/>
      <c r="AY930" s="549"/>
      <c r="AZ930" s="549"/>
      <c r="BA930" s="549"/>
      <c r="BB930" s="549"/>
      <c r="BC930" s="549"/>
      <c r="BD930" s="549"/>
      <c r="BE930" s="549"/>
      <c r="BF930" s="549"/>
      <c r="BG930" s="549"/>
      <c r="BH930" s="549"/>
      <c r="BI930" s="549"/>
    </row>
    <row r="931" spans="16:61" s="254" customFormat="1" ht="9.9">
      <c r="P931" s="549"/>
      <c r="Q931" s="549"/>
      <c r="R931" s="549"/>
      <c r="S931" s="549"/>
      <c r="T931" s="549"/>
      <c r="U931" s="549"/>
      <c r="V931" s="549"/>
      <c r="W931" s="549"/>
      <c r="X931" s="549"/>
      <c r="Y931" s="549"/>
      <c r="Z931" s="549"/>
      <c r="AA931" s="549"/>
      <c r="AB931" s="549"/>
      <c r="AC931" s="549"/>
      <c r="AD931" s="549"/>
      <c r="AE931" s="549"/>
      <c r="AF931" s="549"/>
      <c r="AG931" s="549"/>
      <c r="AH931" s="549"/>
      <c r="AI931" s="549"/>
      <c r="AJ931" s="549"/>
      <c r="AK931" s="549"/>
      <c r="AL931" s="549"/>
      <c r="AM931" s="549"/>
      <c r="AN931" s="549"/>
      <c r="AO931" s="549"/>
      <c r="AP931" s="549"/>
      <c r="AQ931" s="549"/>
      <c r="AR931" s="549"/>
      <c r="AS931" s="549"/>
      <c r="AT931" s="549"/>
      <c r="AU931" s="549"/>
      <c r="AV931" s="549"/>
      <c r="AW931" s="549"/>
      <c r="AX931" s="549"/>
      <c r="AY931" s="549"/>
      <c r="AZ931" s="549"/>
      <c r="BA931" s="549"/>
      <c r="BB931" s="549"/>
      <c r="BC931" s="549"/>
      <c r="BD931" s="549"/>
      <c r="BE931" s="549"/>
      <c r="BF931" s="549"/>
      <c r="BG931" s="549"/>
      <c r="BH931" s="549"/>
      <c r="BI931" s="549"/>
    </row>
    <row r="932" spans="16:61" s="254" customFormat="1" ht="9.9">
      <c r="P932" s="549"/>
      <c r="Q932" s="549"/>
      <c r="R932" s="549"/>
      <c r="S932" s="549"/>
      <c r="T932" s="549"/>
      <c r="U932" s="549"/>
      <c r="V932" s="549"/>
      <c r="W932" s="549"/>
      <c r="X932" s="549"/>
      <c r="Y932" s="549"/>
      <c r="Z932" s="549"/>
      <c r="AA932" s="549"/>
      <c r="AB932" s="549"/>
      <c r="AC932" s="549"/>
      <c r="AD932" s="549"/>
      <c r="AE932" s="549"/>
      <c r="AF932" s="549"/>
      <c r="AG932" s="549"/>
      <c r="AH932" s="549"/>
      <c r="AI932" s="549"/>
      <c r="AJ932" s="549"/>
      <c r="AK932" s="549"/>
      <c r="AL932" s="549"/>
      <c r="AM932" s="549"/>
      <c r="AN932" s="549"/>
      <c r="AO932" s="549"/>
      <c r="AP932" s="549"/>
      <c r="AQ932" s="549"/>
      <c r="AR932" s="549"/>
      <c r="AS932" s="549"/>
      <c r="AT932" s="549"/>
      <c r="AU932" s="549"/>
      <c r="AV932" s="549"/>
      <c r="AW932" s="549"/>
      <c r="AX932" s="549"/>
      <c r="AY932" s="549"/>
      <c r="AZ932" s="549"/>
      <c r="BA932" s="549"/>
      <c r="BB932" s="549"/>
      <c r="BC932" s="549"/>
      <c r="BD932" s="549"/>
      <c r="BE932" s="549"/>
      <c r="BF932" s="549"/>
      <c r="BG932" s="549"/>
      <c r="BH932" s="549"/>
      <c r="BI932" s="549"/>
    </row>
    <row r="933" spans="16:61" s="254" customFormat="1" ht="9.9">
      <c r="P933" s="549"/>
      <c r="Q933" s="549"/>
      <c r="R933" s="549"/>
      <c r="S933" s="549"/>
      <c r="T933" s="549"/>
      <c r="U933" s="549"/>
      <c r="V933" s="549"/>
      <c r="W933" s="549"/>
      <c r="X933" s="549"/>
      <c r="Y933" s="549"/>
      <c r="Z933" s="549"/>
      <c r="AA933" s="549"/>
      <c r="AB933" s="549"/>
      <c r="AC933" s="549"/>
      <c r="AD933" s="549"/>
      <c r="AE933" s="549"/>
      <c r="AF933" s="549"/>
      <c r="AG933" s="549"/>
      <c r="AH933" s="549"/>
      <c r="AI933" s="549"/>
      <c r="AJ933" s="549"/>
      <c r="AK933" s="549"/>
      <c r="AL933" s="549"/>
      <c r="AM933" s="549"/>
      <c r="AN933" s="549"/>
      <c r="AO933" s="549"/>
      <c r="AP933" s="549"/>
      <c r="AQ933" s="549"/>
      <c r="AR933" s="549"/>
      <c r="AS933" s="549"/>
      <c r="AT933" s="549"/>
      <c r="AU933" s="549"/>
      <c r="AV933" s="549"/>
      <c r="AW933" s="549"/>
      <c r="AX933" s="549"/>
      <c r="AY933" s="549"/>
      <c r="AZ933" s="549"/>
      <c r="BA933" s="549"/>
      <c r="BB933" s="549"/>
      <c r="BC933" s="549"/>
      <c r="BD933" s="549"/>
      <c r="BE933" s="549"/>
      <c r="BF933" s="549"/>
      <c r="BG933" s="549"/>
      <c r="BH933" s="549"/>
      <c r="BI933" s="549"/>
    </row>
    <row r="934" spans="16:61" s="254" customFormat="1" ht="9.9">
      <c r="P934" s="549"/>
      <c r="Q934" s="549"/>
      <c r="R934" s="549"/>
      <c r="S934" s="549"/>
      <c r="T934" s="549"/>
      <c r="U934" s="549"/>
      <c r="V934" s="549"/>
      <c r="W934" s="549"/>
      <c r="X934" s="549"/>
      <c r="Y934" s="549"/>
      <c r="Z934" s="549"/>
      <c r="AA934" s="549"/>
      <c r="AB934" s="549"/>
      <c r="AC934" s="549"/>
      <c r="AD934" s="549"/>
      <c r="AE934" s="549"/>
      <c r="AF934" s="549"/>
      <c r="AG934" s="549"/>
      <c r="AH934" s="549"/>
      <c r="AI934" s="549"/>
      <c r="AJ934" s="549"/>
      <c r="AK934" s="549"/>
      <c r="AL934" s="549"/>
      <c r="AM934" s="549"/>
      <c r="AN934" s="549"/>
      <c r="AO934" s="549"/>
      <c r="AP934" s="549"/>
      <c r="AQ934" s="549"/>
      <c r="AR934" s="549"/>
      <c r="AS934" s="549"/>
      <c r="AT934" s="549"/>
      <c r="AU934" s="549"/>
      <c r="AV934" s="549"/>
      <c r="AW934" s="549"/>
      <c r="AX934" s="549"/>
      <c r="AY934" s="549"/>
      <c r="AZ934" s="549"/>
      <c r="BA934" s="549"/>
      <c r="BB934" s="549"/>
      <c r="BC934" s="549"/>
      <c r="BD934" s="549"/>
      <c r="BE934" s="549"/>
      <c r="BF934" s="549"/>
      <c r="BG934" s="549"/>
      <c r="BH934" s="549"/>
      <c r="BI934" s="549"/>
    </row>
    <row r="935" spans="16:61" s="254" customFormat="1" ht="9.9">
      <c r="P935" s="549"/>
      <c r="Q935" s="549"/>
      <c r="R935" s="549"/>
      <c r="S935" s="549"/>
      <c r="T935" s="549"/>
      <c r="U935" s="549"/>
      <c r="V935" s="549"/>
      <c r="W935" s="549"/>
      <c r="X935" s="549"/>
      <c r="Y935" s="549"/>
      <c r="Z935" s="549"/>
      <c r="AA935" s="549"/>
      <c r="AB935" s="549"/>
      <c r="AC935" s="549"/>
      <c r="AD935" s="549"/>
      <c r="AE935" s="549"/>
      <c r="AF935" s="549"/>
      <c r="AG935" s="549"/>
      <c r="AH935" s="549"/>
      <c r="AI935" s="549"/>
      <c r="AJ935" s="549"/>
      <c r="AK935" s="549"/>
      <c r="AL935" s="549"/>
      <c r="AM935" s="549"/>
      <c r="AN935" s="549"/>
      <c r="AO935" s="549"/>
      <c r="AP935" s="549"/>
      <c r="AQ935" s="549"/>
      <c r="AR935" s="549"/>
      <c r="AS935" s="549"/>
      <c r="AT935" s="549"/>
      <c r="AU935" s="549"/>
      <c r="AV935" s="549"/>
      <c r="AW935" s="549"/>
      <c r="AX935" s="549"/>
      <c r="AY935" s="549"/>
      <c r="AZ935" s="549"/>
      <c r="BA935" s="549"/>
      <c r="BB935" s="549"/>
      <c r="BC935" s="549"/>
      <c r="BD935" s="549"/>
      <c r="BE935" s="549"/>
      <c r="BF935" s="549"/>
      <c r="BG935" s="549"/>
      <c r="BH935" s="549"/>
      <c r="BI935" s="549"/>
    </row>
    <row r="936" spans="16:61" s="254" customFormat="1" ht="9.9">
      <c r="P936" s="549"/>
      <c r="Q936" s="549"/>
      <c r="R936" s="549"/>
      <c r="S936" s="549"/>
      <c r="T936" s="549"/>
      <c r="U936" s="549"/>
      <c r="V936" s="549"/>
      <c r="W936" s="549"/>
      <c r="X936" s="549"/>
      <c r="Y936" s="549"/>
      <c r="Z936" s="549"/>
      <c r="AA936" s="549"/>
      <c r="AB936" s="549"/>
      <c r="AC936" s="549"/>
      <c r="AD936" s="549"/>
      <c r="AE936" s="549"/>
      <c r="AF936" s="549"/>
      <c r="AG936" s="549"/>
      <c r="AH936" s="549"/>
      <c r="AI936" s="549"/>
      <c r="AJ936" s="549"/>
      <c r="AK936" s="549"/>
      <c r="AL936" s="549"/>
      <c r="AM936" s="549"/>
      <c r="AN936" s="549"/>
      <c r="AO936" s="549"/>
      <c r="AP936" s="549"/>
      <c r="AQ936" s="549"/>
      <c r="AR936" s="549"/>
      <c r="AS936" s="549"/>
      <c r="AT936" s="549"/>
      <c r="AU936" s="549"/>
      <c r="AV936" s="549"/>
      <c r="AW936" s="549"/>
      <c r="AX936" s="549"/>
      <c r="AY936" s="549"/>
      <c r="AZ936" s="549"/>
      <c r="BA936" s="549"/>
      <c r="BB936" s="549"/>
      <c r="BC936" s="549"/>
      <c r="BD936" s="549"/>
      <c r="BE936" s="549"/>
      <c r="BF936" s="549"/>
      <c r="BG936" s="549"/>
      <c r="BH936" s="549"/>
      <c r="BI936" s="549"/>
    </row>
    <row r="937" spans="16:61" s="254" customFormat="1" ht="9.9">
      <c r="P937" s="549"/>
      <c r="Q937" s="549"/>
      <c r="R937" s="549"/>
      <c r="S937" s="549"/>
      <c r="T937" s="549"/>
      <c r="U937" s="549"/>
      <c r="V937" s="549"/>
      <c r="W937" s="549"/>
      <c r="X937" s="549"/>
      <c r="Y937" s="549"/>
      <c r="Z937" s="549"/>
      <c r="AA937" s="549"/>
      <c r="AB937" s="549"/>
      <c r="AC937" s="549"/>
      <c r="AD937" s="549"/>
      <c r="AE937" s="549"/>
      <c r="AF937" s="549"/>
      <c r="AG937" s="549"/>
      <c r="AH937" s="549"/>
      <c r="AI937" s="549"/>
      <c r="AJ937" s="549"/>
      <c r="AK937" s="549"/>
      <c r="AL937" s="549"/>
      <c r="AM937" s="549"/>
      <c r="AN937" s="549"/>
      <c r="AO937" s="549"/>
      <c r="AP937" s="549"/>
      <c r="AQ937" s="549"/>
      <c r="AR937" s="549"/>
      <c r="AS937" s="549"/>
      <c r="AT937" s="549"/>
      <c r="AU937" s="549"/>
      <c r="AV937" s="549"/>
      <c r="AW937" s="549"/>
      <c r="AX937" s="549"/>
      <c r="AY937" s="549"/>
      <c r="AZ937" s="549"/>
      <c r="BA937" s="549"/>
      <c r="BB937" s="549"/>
      <c r="BC937" s="549"/>
      <c r="BD937" s="549"/>
      <c r="BE937" s="549"/>
      <c r="BF937" s="549"/>
      <c r="BG937" s="549"/>
      <c r="BH937" s="549"/>
      <c r="BI937" s="549"/>
    </row>
    <row r="938" spans="16:61" s="254" customFormat="1" ht="9.9">
      <c r="P938" s="549"/>
      <c r="Q938" s="549"/>
      <c r="R938" s="549"/>
      <c r="S938" s="549"/>
      <c r="T938" s="549"/>
      <c r="U938" s="549"/>
      <c r="V938" s="549"/>
      <c r="W938" s="549"/>
      <c r="X938" s="549"/>
      <c r="Y938" s="549"/>
      <c r="Z938" s="549"/>
      <c r="AA938" s="549"/>
      <c r="AB938" s="549"/>
      <c r="AC938" s="549"/>
      <c r="AD938" s="549"/>
      <c r="AE938" s="549"/>
      <c r="AF938" s="549"/>
      <c r="AG938" s="549"/>
      <c r="AH938" s="549"/>
      <c r="AI938" s="549"/>
      <c r="AJ938" s="549"/>
      <c r="AK938" s="549"/>
      <c r="AL938" s="549"/>
      <c r="AM938" s="549"/>
      <c r="AN938" s="549"/>
      <c r="AO938" s="549"/>
      <c r="AP938" s="549"/>
      <c r="AQ938" s="549"/>
      <c r="AR938" s="549"/>
      <c r="AS938" s="549"/>
      <c r="AT938" s="549"/>
      <c r="AU938" s="549"/>
      <c r="AV938" s="549"/>
      <c r="AW938" s="549"/>
      <c r="AX938" s="549"/>
      <c r="AY938" s="549"/>
      <c r="AZ938" s="549"/>
      <c r="BA938" s="549"/>
      <c r="BB938" s="549"/>
      <c r="BC938" s="549"/>
      <c r="BD938" s="549"/>
      <c r="BE938" s="549"/>
      <c r="BF938" s="549"/>
      <c r="BG938" s="549"/>
      <c r="BH938" s="549"/>
      <c r="BI938" s="549"/>
    </row>
    <row r="939" spans="16:61" s="254" customFormat="1" ht="9.9">
      <c r="P939" s="549"/>
      <c r="Q939" s="549"/>
      <c r="R939" s="549"/>
      <c r="S939" s="549"/>
      <c r="T939" s="549"/>
      <c r="U939" s="549"/>
      <c r="V939" s="549"/>
      <c r="W939" s="549"/>
      <c r="X939" s="549"/>
      <c r="Y939" s="549"/>
      <c r="Z939" s="549"/>
      <c r="AA939" s="549"/>
      <c r="AB939" s="549"/>
      <c r="AC939" s="549"/>
      <c r="AD939" s="549"/>
      <c r="AE939" s="549"/>
      <c r="AF939" s="549"/>
      <c r="AG939" s="549"/>
      <c r="AH939" s="549"/>
      <c r="AI939" s="549"/>
      <c r="AJ939" s="549"/>
      <c r="AK939" s="549"/>
      <c r="AL939" s="549"/>
      <c r="AM939" s="549"/>
      <c r="AN939" s="549"/>
      <c r="AO939" s="549"/>
      <c r="AP939" s="549"/>
      <c r="AQ939" s="549"/>
      <c r="AR939" s="549"/>
      <c r="AS939" s="549"/>
      <c r="AT939" s="549"/>
      <c r="AU939" s="549"/>
      <c r="AV939" s="549"/>
      <c r="AW939" s="549"/>
      <c r="AX939" s="549"/>
      <c r="AY939" s="549"/>
      <c r="AZ939" s="549"/>
      <c r="BA939" s="549"/>
      <c r="BB939" s="549"/>
      <c r="BC939" s="549"/>
      <c r="BD939" s="549"/>
      <c r="BE939" s="549"/>
      <c r="BF939" s="549"/>
      <c r="BG939" s="549"/>
      <c r="BH939" s="549"/>
      <c r="BI939" s="549"/>
    </row>
    <row r="940" spans="16:61" s="254" customFormat="1" ht="9.9">
      <c r="P940" s="549"/>
      <c r="Q940" s="549"/>
      <c r="R940" s="549"/>
      <c r="S940" s="549"/>
      <c r="T940" s="549"/>
      <c r="U940" s="549"/>
      <c r="V940" s="549"/>
      <c r="W940" s="549"/>
      <c r="X940" s="549"/>
      <c r="Y940" s="549"/>
      <c r="Z940" s="549"/>
      <c r="AA940" s="549"/>
      <c r="AB940" s="549"/>
      <c r="AC940" s="549"/>
      <c r="AD940" s="549"/>
      <c r="AE940" s="549"/>
      <c r="AF940" s="549"/>
      <c r="AG940" s="549"/>
      <c r="AH940" s="549"/>
      <c r="AI940" s="549"/>
      <c r="AJ940" s="549"/>
      <c r="AK940" s="549"/>
      <c r="AL940" s="549"/>
      <c r="AM940" s="549"/>
      <c r="AN940" s="549"/>
      <c r="AO940" s="549"/>
      <c r="AP940" s="549"/>
      <c r="AQ940" s="549"/>
      <c r="AR940" s="549"/>
      <c r="AS940" s="549"/>
      <c r="AT940" s="549"/>
      <c r="AU940" s="549"/>
      <c r="AV940" s="549"/>
      <c r="AW940" s="549"/>
      <c r="AX940" s="549"/>
      <c r="AY940" s="549"/>
      <c r="AZ940" s="549"/>
      <c r="BA940" s="549"/>
      <c r="BB940" s="549"/>
      <c r="BC940" s="549"/>
      <c r="BD940" s="549"/>
      <c r="BE940" s="549"/>
      <c r="BF940" s="549"/>
      <c r="BG940" s="549"/>
      <c r="BH940" s="549"/>
      <c r="BI940" s="549"/>
    </row>
    <row r="941" spans="16:61" s="254" customFormat="1" ht="9.9">
      <c r="P941" s="549"/>
      <c r="Q941" s="549"/>
      <c r="R941" s="549"/>
      <c r="S941" s="549"/>
      <c r="T941" s="549"/>
      <c r="U941" s="549"/>
      <c r="V941" s="549"/>
      <c r="W941" s="549"/>
      <c r="X941" s="549"/>
      <c r="Y941" s="549"/>
      <c r="Z941" s="549"/>
      <c r="AA941" s="549"/>
      <c r="AB941" s="549"/>
      <c r="AC941" s="549"/>
      <c r="AD941" s="549"/>
      <c r="AE941" s="549"/>
      <c r="AF941" s="549"/>
      <c r="AG941" s="549"/>
      <c r="AH941" s="549"/>
      <c r="AI941" s="549"/>
      <c r="AJ941" s="549"/>
      <c r="AK941" s="549"/>
      <c r="AL941" s="549"/>
      <c r="AM941" s="549"/>
      <c r="AN941" s="549"/>
      <c r="AO941" s="549"/>
      <c r="AP941" s="549"/>
      <c r="AQ941" s="549"/>
      <c r="AR941" s="549"/>
      <c r="AS941" s="549"/>
      <c r="AT941" s="549"/>
      <c r="AU941" s="549"/>
      <c r="AV941" s="549"/>
      <c r="AW941" s="549"/>
      <c r="AX941" s="549"/>
      <c r="AY941" s="549"/>
      <c r="AZ941" s="549"/>
      <c r="BA941" s="549"/>
      <c r="BB941" s="549"/>
      <c r="BC941" s="549"/>
      <c r="BD941" s="549"/>
      <c r="BE941" s="549"/>
      <c r="BF941" s="549"/>
      <c r="BG941" s="549"/>
      <c r="BH941" s="549"/>
      <c r="BI941" s="549"/>
    </row>
    <row r="942" spans="16:61" s="254" customFormat="1" ht="9.9">
      <c r="P942" s="549"/>
      <c r="Q942" s="549"/>
      <c r="R942" s="549"/>
      <c r="S942" s="549"/>
      <c r="T942" s="549"/>
      <c r="U942" s="549"/>
      <c r="V942" s="549"/>
      <c r="W942" s="549"/>
      <c r="X942" s="549"/>
      <c r="Y942" s="549"/>
      <c r="Z942" s="549"/>
      <c r="AA942" s="549"/>
      <c r="AB942" s="549"/>
      <c r="AC942" s="549"/>
      <c r="AD942" s="549"/>
      <c r="AE942" s="549"/>
      <c r="AF942" s="549"/>
      <c r="AG942" s="549"/>
      <c r="AH942" s="549"/>
      <c r="AI942" s="549"/>
      <c r="AJ942" s="549"/>
      <c r="AK942" s="549"/>
      <c r="AL942" s="549"/>
      <c r="AM942" s="549"/>
      <c r="AN942" s="549"/>
      <c r="AO942" s="549"/>
      <c r="AP942" s="549"/>
      <c r="AQ942" s="549"/>
      <c r="AR942" s="549"/>
      <c r="AS942" s="549"/>
      <c r="AT942" s="549"/>
      <c r="AU942" s="549"/>
      <c r="AV942" s="549"/>
      <c r="AW942" s="549"/>
      <c r="AX942" s="549"/>
      <c r="AY942" s="549"/>
      <c r="AZ942" s="549"/>
      <c r="BA942" s="549"/>
      <c r="BB942" s="549"/>
      <c r="BC942" s="549"/>
      <c r="BD942" s="549"/>
      <c r="BE942" s="549"/>
      <c r="BF942" s="549"/>
      <c r="BG942" s="549"/>
      <c r="BH942" s="549"/>
      <c r="BI942" s="549"/>
    </row>
    <row r="943" spans="16:61" s="254" customFormat="1" ht="9.9">
      <c r="P943" s="549"/>
      <c r="Q943" s="549"/>
      <c r="R943" s="549"/>
      <c r="S943" s="549"/>
      <c r="T943" s="549"/>
      <c r="U943" s="549"/>
      <c r="V943" s="549"/>
      <c r="W943" s="549"/>
      <c r="X943" s="549"/>
      <c r="Y943" s="549"/>
      <c r="Z943" s="549"/>
      <c r="AA943" s="549"/>
      <c r="AB943" s="549"/>
      <c r="AC943" s="549"/>
      <c r="AD943" s="549"/>
      <c r="AE943" s="549"/>
      <c r="AF943" s="549"/>
      <c r="AG943" s="549"/>
      <c r="AH943" s="549"/>
      <c r="AI943" s="549"/>
      <c r="AJ943" s="549"/>
      <c r="AK943" s="549"/>
      <c r="AL943" s="549"/>
      <c r="AM943" s="549"/>
      <c r="AN943" s="549"/>
      <c r="AO943" s="549"/>
      <c r="AP943" s="549"/>
      <c r="AQ943" s="549"/>
      <c r="AR943" s="549"/>
      <c r="AS943" s="549"/>
      <c r="AT943" s="549"/>
      <c r="AU943" s="549"/>
      <c r="AV943" s="549"/>
      <c r="AW943" s="549"/>
      <c r="AX943" s="549"/>
      <c r="AY943" s="549"/>
      <c r="AZ943" s="549"/>
      <c r="BA943" s="549"/>
      <c r="BB943" s="549"/>
      <c r="BC943" s="549"/>
      <c r="BD943" s="549"/>
      <c r="BE943" s="549"/>
      <c r="BF943" s="549"/>
      <c r="BG943" s="549"/>
      <c r="BH943" s="549"/>
      <c r="BI943" s="549"/>
    </row>
    <row r="944" spans="16:61" s="254" customFormat="1" ht="9.9">
      <c r="P944" s="549"/>
      <c r="Q944" s="549"/>
      <c r="R944" s="549"/>
      <c r="S944" s="549"/>
      <c r="T944" s="549"/>
      <c r="U944" s="549"/>
      <c r="V944" s="549"/>
      <c r="W944" s="549"/>
      <c r="X944" s="549"/>
      <c r="Y944" s="549"/>
      <c r="Z944" s="549"/>
      <c r="AA944" s="549"/>
      <c r="AB944" s="549"/>
      <c r="AC944" s="549"/>
      <c r="AD944" s="549"/>
      <c r="AE944" s="549"/>
      <c r="AF944" s="549"/>
      <c r="AG944" s="549"/>
      <c r="AH944" s="549"/>
      <c r="AI944" s="549"/>
      <c r="AJ944" s="549"/>
      <c r="AK944" s="549"/>
      <c r="AL944" s="549"/>
      <c r="AM944" s="549"/>
      <c r="AN944" s="549"/>
      <c r="AO944" s="549"/>
      <c r="AP944" s="549"/>
      <c r="AQ944" s="549"/>
      <c r="AR944" s="549"/>
      <c r="AS944" s="549"/>
      <c r="AT944" s="549"/>
      <c r="AU944" s="549"/>
      <c r="AV944" s="549"/>
      <c r="AW944" s="549"/>
      <c r="AX944" s="549"/>
      <c r="AY944" s="549"/>
      <c r="AZ944" s="549"/>
      <c r="BA944" s="549"/>
      <c r="BB944" s="549"/>
      <c r="BC944" s="549"/>
      <c r="BD944" s="549"/>
      <c r="BE944" s="549"/>
      <c r="BF944" s="549"/>
      <c r="BG944" s="549"/>
      <c r="BH944" s="549"/>
      <c r="BI944" s="549"/>
    </row>
    <row r="945" spans="16:61" s="254" customFormat="1" ht="9.9">
      <c r="P945" s="549"/>
      <c r="Q945" s="549"/>
      <c r="R945" s="549"/>
      <c r="S945" s="549"/>
      <c r="T945" s="549"/>
      <c r="U945" s="549"/>
      <c r="V945" s="549"/>
      <c r="W945" s="549"/>
      <c r="X945" s="549"/>
      <c r="Y945" s="549"/>
      <c r="Z945" s="549"/>
      <c r="AA945" s="549"/>
      <c r="AB945" s="549"/>
      <c r="AC945" s="549"/>
      <c r="AD945" s="549"/>
      <c r="AE945" s="549"/>
      <c r="AF945" s="549"/>
      <c r="AG945" s="549"/>
      <c r="AH945" s="549"/>
      <c r="AI945" s="549"/>
      <c r="AJ945" s="549"/>
      <c r="AK945" s="549"/>
      <c r="AL945" s="549"/>
      <c r="AM945" s="549"/>
      <c r="AN945" s="549"/>
      <c r="AO945" s="549"/>
      <c r="AP945" s="549"/>
      <c r="AQ945" s="549"/>
      <c r="AR945" s="549"/>
      <c r="AS945" s="549"/>
      <c r="AT945" s="549"/>
      <c r="AU945" s="549"/>
      <c r="AV945" s="549"/>
      <c r="AW945" s="549"/>
      <c r="AX945" s="549"/>
      <c r="AY945" s="549"/>
      <c r="AZ945" s="549"/>
      <c r="BA945" s="549"/>
      <c r="BB945" s="549"/>
      <c r="BC945" s="549"/>
      <c r="BD945" s="549"/>
      <c r="BE945" s="549"/>
      <c r="BF945" s="549"/>
      <c r="BG945" s="549"/>
      <c r="BH945" s="549"/>
      <c r="BI945" s="549"/>
    </row>
    <row r="946" spans="16:61" s="254" customFormat="1" ht="9.9">
      <c r="P946" s="549"/>
      <c r="Q946" s="549"/>
      <c r="R946" s="549"/>
      <c r="S946" s="549"/>
      <c r="T946" s="549"/>
      <c r="U946" s="549"/>
      <c r="V946" s="549"/>
      <c r="W946" s="549"/>
      <c r="X946" s="549"/>
      <c r="Y946" s="549"/>
      <c r="Z946" s="549"/>
      <c r="AA946" s="549"/>
      <c r="AB946" s="549"/>
      <c r="AC946" s="549"/>
      <c r="AD946" s="549"/>
      <c r="AE946" s="549"/>
      <c r="AF946" s="549"/>
      <c r="AG946" s="549"/>
      <c r="AH946" s="549"/>
      <c r="AI946" s="549"/>
      <c r="AJ946" s="549"/>
      <c r="AK946" s="549"/>
      <c r="AL946" s="549"/>
      <c r="AM946" s="549"/>
      <c r="AN946" s="549"/>
      <c r="AO946" s="549"/>
      <c r="AP946" s="549"/>
      <c r="AQ946" s="549"/>
      <c r="AR946" s="549"/>
      <c r="AS946" s="549"/>
      <c r="AT946" s="549"/>
      <c r="AU946" s="549"/>
      <c r="AV946" s="549"/>
      <c r="AW946" s="549"/>
      <c r="AX946" s="549"/>
      <c r="AY946" s="549"/>
      <c r="AZ946" s="549"/>
      <c r="BA946" s="549"/>
      <c r="BB946" s="549"/>
      <c r="BC946" s="549"/>
      <c r="BD946" s="549"/>
      <c r="BE946" s="549"/>
      <c r="BF946" s="549"/>
      <c r="BG946" s="549"/>
      <c r="BH946" s="549"/>
      <c r="BI946" s="549"/>
    </row>
    <row r="947" spans="16:61" s="254" customFormat="1" ht="9.9">
      <c r="P947" s="549"/>
      <c r="Q947" s="549"/>
      <c r="R947" s="549"/>
      <c r="S947" s="549"/>
      <c r="T947" s="549"/>
      <c r="U947" s="549"/>
      <c r="V947" s="549"/>
      <c r="W947" s="549"/>
      <c r="X947" s="549"/>
      <c r="Y947" s="549"/>
      <c r="Z947" s="549"/>
      <c r="AA947" s="549"/>
      <c r="AB947" s="549"/>
      <c r="AC947" s="549"/>
      <c r="AD947" s="549"/>
      <c r="AE947" s="549"/>
      <c r="AF947" s="549"/>
      <c r="AG947" s="549"/>
      <c r="AH947" s="549"/>
      <c r="AI947" s="549"/>
      <c r="AJ947" s="549"/>
      <c r="AK947" s="549"/>
      <c r="AL947" s="549"/>
      <c r="AM947" s="549"/>
      <c r="AN947" s="549"/>
      <c r="AO947" s="549"/>
      <c r="AP947" s="549"/>
      <c r="AQ947" s="549"/>
      <c r="AR947" s="549"/>
      <c r="AS947" s="549"/>
      <c r="AT947" s="549"/>
      <c r="AU947" s="549"/>
      <c r="AV947" s="549"/>
      <c r="AW947" s="549"/>
      <c r="AX947" s="549"/>
      <c r="AY947" s="549"/>
      <c r="AZ947" s="549"/>
      <c r="BA947" s="549"/>
      <c r="BB947" s="549"/>
      <c r="BC947" s="549"/>
      <c r="BD947" s="549"/>
      <c r="BE947" s="549"/>
      <c r="BF947" s="549"/>
      <c r="BG947" s="549"/>
      <c r="BH947" s="549"/>
      <c r="BI947" s="549"/>
    </row>
    <row r="948" spans="16:61" s="254" customFormat="1" ht="9.9">
      <c r="P948" s="549"/>
      <c r="Q948" s="549"/>
      <c r="R948" s="549"/>
      <c r="S948" s="549"/>
      <c r="T948" s="549"/>
      <c r="U948" s="549"/>
      <c r="V948" s="549"/>
      <c r="W948" s="549"/>
      <c r="X948" s="549"/>
      <c r="Y948" s="549"/>
      <c r="Z948" s="549"/>
      <c r="AA948" s="549"/>
      <c r="AB948" s="549"/>
      <c r="AC948" s="549"/>
      <c r="AD948" s="549"/>
      <c r="AE948" s="549"/>
      <c r="AF948" s="549"/>
      <c r="AG948" s="549"/>
      <c r="AH948" s="549"/>
      <c r="AI948" s="549"/>
      <c r="AJ948" s="549"/>
      <c r="AK948" s="549"/>
      <c r="AL948" s="549"/>
      <c r="AM948" s="549"/>
      <c r="AN948" s="549"/>
      <c r="AO948" s="549"/>
      <c r="AP948" s="549"/>
      <c r="AQ948" s="549"/>
      <c r="AR948" s="549"/>
      <c r="AS948" s="549"/>
      <c r="AT948" s="549"/>
      <c r="AU948" s="549"/>
      <c r="AV948" s="549"/>
      <c r="AW948" s="549"/>
      <c r="AX948" s="549"/>
      <c r="AY948" s="549"/>
      <c r="AZ948" s="549"/>
      <c r="BA948" s="549"/>
      <c r="BB948" s="549"/>
      <c r="BC948" s="549"/>
      <c r="BD948" s="549"/>
      <c r="BE948" s="549"/>
      <c r="BF948" s="549"/>
      <c r="BG948" s="549"/>
      <c r="BH948" s="549"/>
      <c r="BI948" s="549"/>
    </row>
    <row r="949" spans="16:61" s="254" customFormat="1" ht="9.9">
      <c r="P949" s="549"/>
      <c r="Q949" s="549"/>
      <c r="R949" s="549"/>
      <c r="S949" s="549"/>
      <c r="T949" s="549"/>
      <c r="U949" s="549"/>
      <c r="V949" s="549"/>
      <c r="W949" s="549"/>
      <c r="X949" s="549"/>
      <c r="Y949" s="549"/>
      <c r="Z949" s="549"/>
      <c r="AA949" s="549"/>
      <c r="AB949" s="549"/>
      <c r="AC949" s="549"/>
      <c r="AD949" s="549"/>
      <c r="AE949" s="549"/>
      <c r="AF949" s="549"/>
      <c r="AG949" s="549"/>
      <c r="AH949" s="549"/>
      <c r="AI949" s="549"/>
      <c r="AJ949" s="549"/>
      <c r="AK949" s="549"/>
      <c r="AL949" s="549"/>
      <c r="AM949" s="549"/>
      <c r="AN949" s="549"/>
      <c r="AO949" s="549"/>
      <c r="AP949" s="549"/>
      <c r="AQ949" s="549"/>
      <c r="AR949" s="549"/>
      <c r="AS949" s="549"/>
      <c r="AT949" s="549"/>
      <c r="AU949" s="549"/>
      <c r="AV949" s="549"/>
      <c r="AW949" s="549"/>
      <c r="AX949" s="549"/>
      <c r="AY949" s="549"/>
      <c r="AZ949" s="549"/>
      <c r="BA949" s="549"/>
      <c r="BB949" s="549"/>
      <c r="BC949" s="549"/>
      <c r="BD949" s="549"/>
      <c r="BE949" s="549"/>
      <c r="BF949" s="549"/>
      <c r="BG949" s="549"/>
      <c r="BH949" s="549"/>
      <c r="BI949" s="549"/>
    </row>
    <row r="950" spans="16:61" s="254" customFormat="1" ht="9.9">
      <c r="P950" s="549"/>
      <c r="Q950" s="549"/>
      <c r="R950" s="549"/>
      <c r="S950" s="549"/>
      <c r="T950" s="549"/>
      <c r="U950" s="549"/>
      <c r="V950" s="549"/>
      <c r="W950" s="549"/>
      <c r="X950" s="549"/>
      <c r="Y950" s="549"/>
      <c r="Z950" s="549"/>
      <c r="AA950" s="549"/>
      <c r="AB950" s="549"/>
      <c r="AC950" s="549"/>
      <c r="AD950" s="549"/>
      <c r="AE950" s="549"/>
      <c r="AF950" s="549"/>
      <c r="AG950" s="549"/>
      <c r="AH950" s="549"/>
      <c r="AI950" s="549"/>
      <c r="AJ950" s="549"/>
      <c r="AK950" s="549"/>
      <c r="AL950" s="549"/>
      <c r="AM950" s="549"/>
      <c r="AN950" s="549"/>
      <c r="AO950" s="549"/>
      <c r="AP950" s="549"/>
      <c r="AQ950" s="549"/>
      <c r="AR950" s="549"/>
      <c r="AS950" s="549"/>
      <c r="AT950" s="549"/>
      <c r="AU950" s="549"/>
      <c r="AV950" s="549"/>
      <c r="AW950" s="549"/>
      <c r="AX950" s="549"/>
      <c r="AY950" s="549"/>
      <c r="AZ950" s="549"/>
      <c r="BA950" s="549"/>
      <c r="BB950" s="549"/>
      <c r="BC950" s="549"/>
      <c r="BD950" s="549"/>
      <c r="BE950" s="549"/>
      <c r="BF950" s="549"/>
      <c r="BG950" s="549"/>
      <c r="BH950" s="549"/>
      <c r="BI950" s="549"/>
    </row>
    <row r="951" spans="16:61" s="254" customFormat="1" ht="9.9">
      <c r="P951" s="549"/>
      <c r="Q951" s="549"/>
      <c r="R951" s="549"/>
      <c r="S951" s="549"/>
      <c r="T951" s="549"/>
      <c r="U951" s="549"/>
      <c r="V951" s="549"/>
      <c r="W951" s="549"/>
      <c r="X951" s="549"/>
      <c r="Y951" s="549"/>
      <c r="Z951" s="549"/>
      <c r="AA951" s="549"/>
      <c r="AB951" s="549"/>
      <c r="AC951" s="549"/>
      <c r="AD951" s="549"/>
      <c r="AE951" s="549"/>
      <c r="AF951" s="549"/>
      <c r="AG951" s="549"/>
      <c r="AH951" s="549"/>
      <c r="AI951" s="549"/>
      <c r="AJ951" s="549"/>
      <c r="AK951" s="549"/>
      <c r="AL951" s="549"/>
      <c r="AM951" s="549"/>
      <c r="AN951" s="549"/>
      <c r="AO951" s="549"/>
      <c r="AP951" s="549"/>
      <c r="AQ951" s="549"/>
      <c r="AR951" s="549"/>
      <c r="AS951" s="549"/>
      <c r="AT951" s="549"/>
      <c r="AU951" s="549"/>
      <c r="AV951" s="549"/>
      <c r="AW951" s="549"/>
      <c r="AX951" s="549"/>
      <c r="AY951" s="549"/>
      <c r="AZ951" s="549"/>
      <c r="BA951" s="549"/>
      <c r="BB951" s="549"/>
      <c r="BC951" s="549"/>
      <c r="BD951" s="549"/>
      <c r="BE951" s="549"/>
      <c r="BF951" s="549"/>
      <c r="BG951" s="549"/>
      <c r="BH951" s="549"/>
      <c r="BI951" s="549"/>
    </row>
    <row r="952" spans="16:61" s="254" customFormat="1" ht="9.9">
      <c r="P952" s="549"/>
      <c r="Q952" s="549"/>
      <c r="R952" s="549"/>
      <c r="S952" s="549"/>
      <c r="T952" s="549"/>
      <c r="U952" s="549"/>
      <c r="V952" s="549"/>
      <c r="W952" s="549"/>
      <c r="X952" s="549"/>
      <c r="Y952" s="549"/>
      <c r="Z952" s="549"/>
      <c r="AA952" s="549"/>
      <c r="AB952" s="549"/>
      <c r="AC952" s="549"/>
      <c r="AD952" s="549"/>
      <c r="AE952" s="549"/>
      <c r="AF952" s="549"/>
      <c r="AG952" s="549"/>
      <c r="AH952" s="549"/>
      <c r="AI952" s="549"/>
      <c r="AJ952" s="549"/>
      <c r="AK952" s="549"/>
      <c r="AL952" s="549"/>
      <c r="AM952" s="549"/>
      <c r="AN952" s="549"/>
      <c r="AO952" s="549"/>
      <c r="AP952" s="549"/>
      <c r="AQ952" s="549"/>
      <c r="AR952" s="549"/>
      <c r="AS952" s="549"/>
      <c r="AT952" s="549"/>
      <c r="AU952" s="549"/>
      <c r="AV952" s="549"/>
      <c r="AW952" s="549"/>
      <c r="AX952" s="549"/>
      <c r="AY952" s="549"/>
      <c r="AZ952" s="549"/>
      <c r="BA952" s="549"/>
      <c r="BB952" s="549"/>
      <c r="BC952" s="549"/>
      <c r="BD952" s="549"/>
      <c r="BE952" s="549"/>
      <c r="BF952" s="549"/>
      <c r="BG952" s="549"/>
      <c r="BH952" s="549"/>
      <c r="BI952" s="549"/>
    </row>
    <row r="953" spans="16:61" s="254" customFormat="1" ht="9.9">
      <c r="P953" s="549"/>
      <c r="Q953" s="549"/>
      <c r="R953" s="549"/>
      <c r="S953" s="549"/>
      <c r="T953" s="549"/>
      <c r="U953" s="549"/>
      <c r="V953" s="549"/>
      <c r="W953" s="549"/>
      <c r="X953" s="549"/>
      <c r="Y953" s="549"/>
      <c r="Z953" s="549"/>
      <c r="AA953" s="549"/>
      <c r="AB953" s="549"/>
      <c r="AC953" s="549"/>
      <c r="AD953" s="549"/>
      <c r="AE953" s="549"/>
      <c r="AF953" s="549"/>
      <c r="AG953" s="549"/>
      <c r="AH953" s="549"/>
      <c r="AI953" s="549"/>
      <c r="AJ953" s="549"/>
      <c r="AK953" s="549"/>
      <c r="AL953" s="549"/>
      <c r="AM953" s="549"/>
      <c r="AN953" s="549"/>
      <c r="AO953" s="549"/>
      <c r="AP953" s="549"/>
      <c r="AQ953" s="549"/>
      <c r="AR953" s="549"/>
      <c r="AS953" s="549"/>
      <c r="AT953" s="549"/>
      <c r="AU953" s="549"/>
      <c r="AV953" s="549"/>
      <c r="AW953" s="549"/>
      <c r="AX953" s="549"/>
      <c r="AY953" s="549"/>
      <c r="AZ953" s="549"/>
      <c r="BA953" s="549"/>
      <c r="BB953" s="549"/>
      <c r="BC953" s="549"/>
      <c r="BD953" s="549"/>
      <c r="BE953" s="549"/>
      <c r="BF953" s="549"/>
      <c r="BG953" s="549"/>
      <c r="BH953" s="549"/>
      <c r="BI953" s="549"/>
    </row>
    <row r="954" spans="16:61" s="254" customFormat="1" ht="9.9">
      <c r="P954" s="549"/>
      <c r="Q954" s="549"/>
      <c r="R954" s="549"/>
      <c r="S954" s="549"/>
      <c r="T954" s="549"/>
      <c r="U954" s="549"/>
      <c r="V954" s="549"/>
      <c r="W954" s="549"/>
      <c r="X954" s="549"/>
      <c r="Y954" s="549"/>
      <c r="Z954" s="549"/>
      <c r="AA954" s="549"/>
      <c r="AB954" s="549"/>
      <c r="AC954" s="549"/>
      <c r="AD954" s="549"/>
      <c r="AE954" s="549"/>
      <c r="AF954" s="549"/>
      <c r="AG954" s="549"/>
      <c r="AH954" s="549"/>
      <c r="AI954" s="549"/>
      <c r="AJ954" s="549"/>
      <c r="AK954" s="549"/>
      <c r="AL954" s="549"/>
      <c r="AM954" s="549"/>
      <c r="AN954" s="549"/>
      <c r="AO954" s="549"/>
      <c r="AP954" s="549"/>
      <c r="AQ954" s="549"/>
      <c r="AR954" s="549"/>
      <c r="AS954" s="549"/>
      <c r="AT954" s="549"/>
      <c r="AU954" s="549"/>
      <c r="AV954" s="549"/>
      <c r="AW954" s="549"/>
      <c r="AX954" s="549"/>
      <c r="AY954" s="549"/>
      <c r="AZ954" s="549"/>
      <c r="BA954" s="549"/>
      <c r="BB954" s="549"/>
      <c r="BC954" s="549"/>
      <c r="BD954" s="549"/>
      <c r="BE954" s="549"/>
      <c r="BF954" s="549"/>
      <c r="BG954" s="549"/>
      <c r="BH954" s="549"/>
      <c r="BI954" s="549"/>
    </row>
    <row r="955" spans="16:61" s="254" customFormat="1" ht="9.9">
      <c r="P955" s="549"/>
      <c r="Q955" s="549"/>
      <c r="R955" s="549"/>
      <c r="S955" s="549"/>
      <c r="T955" s="549"/>
      <c r="U955" s="549"/>
      <c r="V955" s="549"/>
      <c r="W955" s="549"/>
      <c r="X955" s="549"/>
      <c r="Y955" s="549"/>
      <c r="Z955" s="549"/>
      <c r="AA955" s="549"/>
      <c r="AB955" s="549"/>
      <c r="AC955" s="549"/>
      <c r="AD955" s="549"/>
      <c r="AE955" s="549"/>
      <c r="AF955" s="549"/>
      <c r="AG955" s="549"/>
      <c r="AH955" s="549"/>
      <c r="AI955" s="549"/>
      <c r="AJ955" s="549"/>
      <c r="AK955" s="549"/>
      <c r="AL955" s="549"/>
      <c r="AM955" s="549"/>
      <c r="AN955" s="549"/>
      <c r="AO955" s="549"/>
      <c r="AP955" s="549"/>
      <c r="AQ955" s="549"/>
      <c r="AR955" s="549"/>
      <c r="AS955" s="549"/>
      <c r="AT955" s="549"/>
      <c r="AU955" s="549"/>
      <c r="AV955" s="549"/>
      <c r="AW955" s="549"/>
      <c r="AX955" s="549"/>
      <c r="AY955" s="549"/>
      <c r="AZ955" s="549"/>
      <c r="BA955" s="549"/>
      <c r="BB955" s="549"/>
      <c r="BC955" s="549"/>
      <c r="BD955" s="549"/>
      <c r="BE955" s="549"/>
      <c r="BF955" s="549"/>
      <c r="BG955" s="549"/>
      <c r="BH955" s="549"/>
      <c r="BI955" s="549"/>
    </row>
    <row r="956" spans="16:61" s="254" customFormat="1" ht="9.9">
      <c r="P956" s="549"/>
      <c r="Q956" s="549"/>
      <c r="R956" s="549"/>
      <c r="S956" s="549"/>
      <c r="T956" s="549"/>
      <c r="U956" s="549"/>
      <c r="V956" s="549"/>
      <c r="W956" s="549"/>
      <c r="X956" s="549"/>
      <c r="Y956" s="549"/>
      <c r="Z956" s="549"/>
      <c r="AA956" s="549"/>
      <c r="AB956" s="549"/>
      <c r="AC956" s="549"/>
      <c r="AD956" s="549"/>
      <c r="AE956" s="549"/>
      <c r="AF956" s="549"/>
      <c r="AG956" s="549"/>
      <c r="AH956" s="549"/>
      <c r="AI956" s="549"/>
      <c r="AJ956" s="549"/>
      <c r="AK956" s="549"/>
      <c r="AL956" s="549"/>
      <c r="AM956" s="549"/>
      <c r="AN956" s="549"/>
      <c r="AO956" s="549"/>
      <c r="AP956" s="549"/>
      <c r="AQ956" s="549"/>
      <c r="AR956" s="549"/>
      <c r="AS956" s="549"/>
      <c r="AT956" s="549"/>
      <c r="AU956" s="549"/>
      <c r="AV956" s="549"/>
      <c r="AW956" s="549"/>
      <c r="AX956" s="549"/>
      <c r="AY956" s="549"/>
      <c r="AZ956" s="549"/>
      <c r="BA956" s="549"/>
      <c r="BB956" s="549"/>
      <c r="BC956" s="549"/>
      <c r="BD956" s="549"/>
      <c r="BE956" s="549"/>
      <c r="BF956" s="549"/>
      <c r="BG956" s="549"/>
      <c r="BH956" s="549"/>
      <c r="BI956" s="549"/>
    </row>
    <row r="957" spans="16:61" s="254" customFormat="1" ht="9.9">
      <c r="P957" s="549"/>
      <c r="Q957" s="549"/>
      <c r="R957" s="549"/>
      <c r="S957" s="549"/>
      <c r="T957" s="549"/>
      <c r="U957" s="549"/>
      <c r="V957" s="549"/>
      <c r="W957" s="549"/>
      <c r="X957" s="549"/>
      <c r="Y957" s="549"/>
      <c r="Z957" s="549"/>
      <c r="AA957" s="549"/>
      <c r="AB957" s="549"/>
      <c r="AC957" s="549"/>
      <c r="AD957" s="549"/>
      <c r="AE957" s="549"/>
      <c r="AF957" s="549"/>
      <c r="AG957" s="549"/>
      <c r="AH957" s="549"/>
      <c r="AI957" s="549"/>
      <c r="AJ957" s="549"/>
      <c r="AK957" s="549"/>
      <c r="AL957" s="549"/>
      <c r="AM957" s="549"/>
      <c r="AN957" s="549"/>
      <c r="AO957" s="549"/>
      <c r="AP957" s="549"/>
      <c r="AQ957" s="549"/>
      <c r="AR957" s="549"/>
      <c r="AS957" s="549"/>
      <c r="AT957" s="549"/>
      <c r="AU957" s="549"/>
      <c r="AV957" s="549"/>
      <c r="AW957" s="549"/>
      <c r="AX957" s="549"/>
      <c r="AY957" s="549"/>
      <c r="AZ957" s="549"/>
      <c r="BA957" s="549"/>
      <c r="BB957" s="549"/>
      <c r="BC957" s="549"/>
      <c r="BD957" s="549"/>
      <c r="BE957" s="549"/>
      <c r="BF957" s="549"/>
      <c r="BG957" s="549"/>
      <c r="BH957" s="549"/>
      <c r="BI957" s="549"/>
    </row>
    <row r="958" spans="16:61" s="254" customFormat="1" ht="9.9">
      <c r="P958" s="549"/>
      <c r="Q958" s="549"/>
      <c r="R958" s="549"/>
      <c r="S958" s="549"/>
      <c r="T958" s="549"/>
      <c r="U958" s="549"/>
      <c r="V958" s="549"/>
      <c r="W958" s="549"/>
      <c r="X958" s="549"/>
      <c r="Y958" s="549"/>
      <c r="Z958" s="549"/>
      <c r="AA958" s="549"/>
      <c r="AB958" s="549"/>
      <c r="AC958" s="549"/>
      <c r="AD958" s="549"/>
      <c r="AE958" s="549"/>
      <c r="AF958" s="549"/>
      <c r="AG958" s="549"/>
      <c r="AH958" s="549"/>
      <c r="AI958" s="549"/>
      <c r="AJ958" s="549"/>
      <c r="AK958" s="549"/>
      <c r="AL958" s="549"/>
      <c r="AM958" s="549"/>
      <c r="AN958" s="549"/>
      <c r="AO958" s="549"/>
      <c r="AP958" s="549"/>
      <c r="AQ958" s="549"/>
      <c r="AR958" s="549"/>
      <c r="AS958" s="549"/>
      <c r="AT958" s="549"/>
      <c r="AU958" s="549"/>
      <c r="AV958" s="549"/>
      <c r="AW958" s="549"/>
      <c r="AX958" s="549"/>
      <c r="AY958" s="549"/>
      <c r="AZ958" s="549"/>
      <c r="BA958" s="549"/>
      <c r="BB958" s="549"/>
      <c r="BC958" s="549"/>
      <c r="BD958" s="549"/>
      <c r="BE958" s="549"/>
      <c r="BF958" s="549"/>
      <c r="BG958" s="549"/>
      <c r="BH958" s="549"/>
      <c r="BI958" s="549"/>
    </row>
    <row r="959" spans="16:61" s="254" customFormat="1" ht="9.9">
      <c r="P959" s="549"/>
      <c r="Q959" s="549"/>
      <c r="R959" s="549"/>
      <c r="S959" s="549"/>
      <c r="T959" s="549"/>
      <c r="U959" s="549"/>
      <c r="V959" s="549"/>
      <c r="W959" s="549"/>
      <c r="X959" s="549"/>
      <c r="Y959" s="549"/>
      <c r="Z959" s="549"/>
      <c r="AA959" s="549"/>
      <c r="AB959" s="549"/>
      <c r="AC959" s="549"/>
      <c r="AD959" s="549"/>
      <c r="AE959" s="549"/>
      <c r="AF959" s="549"/>
      <c r="AG959" s="549"/>
      <c r="AH959" s="549"/>
      <c r="AI959" s="549"/>
      <c r="AJ959" s="549"/>
      <c r="AK959" s="549"/>
      <c r="AL959" s="549"/>
      <c r="AM959" s="549"/>
      <c r="AN959" s="549"/>
      <c r="AO959" s="549"/>
      <c r="AP959" s="549"/>
      <c r="AQ959" s="549"/>
      <c r="AR959" s="549"/>
      <c r="AS959" s="549"/>
      <c r="AT959" s="549"/>
      <c r="AU959" s="549"/>
      <c r="AV959" s="549"/>
      <c r="AW959" s="549"/>
      <c r="AX959" s="549"/>
      <c r="AY959" s="549"/>
      <c r="AZ959" s="549"/>
      <c r="BA959" s="549"/>
      <c r="BB959" s="549"/>
      <c r="BC959" s="549"/>
      <c r="BD959" s="549"/>
      <c r="BE959" s="549"/>
      <c r="BF959" s="549"/>
      <c r="BG959" s="549"/>
      <c r="BH959" s="549"/>
      <c r="BI959" s="549"/>
    </row>
    <row r="960" spans="16:61" s="254" customFormat="1" ht="9.9">
      <c r="P960" s="549"/>
      <c r="Q960" s="549"/>
      <c r="R960" s="549"/>
      <c r="S960" s="549"/>
      <c r="T960" s="549"/>
      <c r="U960" s="549"/>
      <c r="V960" s="549"/>
      <c r="W960" s="549"/>
      <c r="X960" s="549"/>
      <c r="Y960" s="549"/>
      <c r="Z960" s="549"/>
      <c r="AA960" s="549"/>
      <c r="AB960" s="549"/>
      <c r="AC960" s="549"/>
      <c r="AD960" s="549"/>
      <c r="AE960" s="549"/>
      <c r="AF960" s="549"/>
      <c r="AG960" s="549"/>
      <c r="AH960" s="549"/>
      <c r="AI960" s="549"/>
      <c r="AJ960" s="549"/>
      <c r="AK960" s="549"/>
      <c r="AL960" s="549"/>
      <c r="AM960" s="549"/>
      <c r="AN960" s="549"/>
      <c r="AO960" s="549"/>
      <c r="AP960" s="549"/>
      <c r="AQ960" s="549"/>
      <c r="AR960" s="549"/>
      <c r="AS960" s="549"/>
      <c r="AT960" s="549"/>
      <c r="AU960" s="549"/>
      <c r="AV960" s="549"/>
      <c r="AW960" s="549"/>
      <c r="AX960" s="549"/>
      <c r="AY960" s="549"/>
      <c r="AZ960" s="549"/>
      <c r="BA960" s="549"/>
      <c r="BB960" s="549"/>
      <c r="BC960" s="549"/>
      <c r="BD960" s="549"/>
      <c r="BE960" s="549"/>
      <c r="BF960" s="549"/>
      <c r="BG960" s="549"/>
      <c r="BH960" s="549"/>
      <c r="BI960" s="549"/>
    </row>
    <row r="961" spans="16:61" s="254" customFormat="1" ht="9.9">
      <c r="P961" s="549"/>
      <c r="Q961" s="549"/>
      <c r="R961" s="549"/>
      <c r="S961" s="549"/>
      <c r="T961" s="549"/>
      <c r="U961" s="549"/>
      <c r="V961" s="549"/>
      <c r="W961" s="549"/>
      <c r="X961" s="549"/>
      <c r="Y961" s="549"/>
      <c r="Z961" s="549"/>
      <c r="AA961" s="549"/>
      <c r="AB961" s="549"/>
      <c r="AC961" s="549"/>
      <c r="AD961" s="549"/>
      <c r="AE961" s="549"/>
      <c r="AF961" s="549"/>
      <c r="AG961" s="549"/>
      <c r="AH961" s="549"/>
      <c r="AI961" s="549"/>
      <c r="AJ961" s="549"/>
      <c r="AK961" s="549"/>
      <c r="AL961" s="549"/>
      <c r="AM961" s="549"/>
      <c r="AN961" s="549"/>
      <c r="AO961" s="549"/>
      <c r="AP961" s="549"/>
      <c r="AQ961" s="549"/>
      <c r="AR961" s="549"/>
      <c r="AS961" s="549"/>
      <c r="AT961" s="549"/>
      <c r="AU961" s="549"/>
      <c r="AV961" s="549"/>
      <c r="AW961" s="549"/>
      <c r="AX961" s="549"/>
      <c r="AY961" s="549"/>
      <c r="AZ961" s="549"/>
      <c r="BA961" s="549"/>
      <c r="BB961" s="549"/>
      <c r="BC961" s="549"/>
      <c r="BD961" s="549"/>
      <c r="BE961" s="549"/>
      <c r="BF961" s="549"/>
      <c r="BG961" s="549"/>
      <c r="BH961" s="549"/>
      <c r="BI961" s="549"/>
    </row>
    <row r="962" spans="16:61" s="254" customFormat="1" ht="9.9">
      <c r="P962" s="549"/>
      <c r="Q962" s="549"/>
      <c r="R962" s="549"/>
      <c r="S962" s="549"/>
      <c r="T962" s="549"/>
      <c r="U962" s="549"/>
      <c r="V962" s="549"/>
      <c r="W962" s="549"/>
      <c r="X962" s="549"/>
      <c r="Y962" s="549"/>
      <c r="Z962" s="549"/>
      <c r="AA962" s="549"/>
      <c r="AB962" s="549"/>
      <c r="AC962" s="549"/>
      <c r="AD962" s="549"/>
      <c r="AE962" s="549"/>
      <c r="AF962" s="549"/>
      <c r="AG962" s="549"/>
      <c r="AH962" s="549"/>
      <c r="AI962" s="549"/>
      <c r="AJ962" s="549"/>
      <c r="AK962" s="549"/>
      <c r="AL962" s="549"/>
      <c r="AM962" s="549"/>
      <c r="AN962" s="549"/>
      <c r="AO962" s="549"/>
      <c r="AP962" s="549"/>
      <c r="AQ962" s="549"/>
      <c r="AR962" s="549"/>
      <c r="AS962" s="549"/>
      <c r="AT962" s="549"/>
      <c r="AU962" s="549"/>
      <c r="AV962" s="549"/>
      <c r="AW962" s="549"/>
      <c r="AX962" s="549"/>
      <c r="AY962" s="549"/>
      <c r="AZ962" s="549"/>
      <c r="BA962" s="549"/>
      <c r="BB962" s="549"/>
      <c r="BC962" s="549"/>
      <c r="BD962" s="549"/>
      <c r="BE962" s="549"/>
      <c r="BF962" s="549"/>
      <c r="BG962" s="549"/>
      <c r="BH962" s="549"/>
      <c r="BI962" s="549"/>
    </row>
    <row r="963" spans="16:61" s="254" customFormat="1" ht="9.9">
      <c r="P963" s="549"/>
      <c r="Q963" s="549"/>
      <c r="R963" s="549"/>
      <c r="S963" s="549"/>
      <c r="T963" s="549"/>
      <c r="U963" s="549"/>
      <c r="V963" s="549"/>
      <c r="W963" s="549"/>
      <c r="X963" s="549"/>
      <c r="Y963" s="549"/>
      <c r="Z963" s="549"/>
      <c r="AA963" s="549"/>
      <c r="AB963" s="549"/>
      <c r="AC963" s="549"/>
      <c r="AD963" s="549"/>
      <c r="AE963" s="549"/>
      <c r="AF963" s="549"/>
      <c r="AG963" s="549"/>
      <c r="AH963" s="549"/>
      <c r="AI963" s="549"/>
      <c r="AJ963" s="549"/>
      <c r="AK963" s="549"/>
      <c r="AL963" s="549"/>
      <c r="AM963" s="549"/>
      <c r="AN963" s="549"/>
      <c r="AO963" s="549"/>
      <c r="AP963" s="549"/>
      <c r="AQ963" s="549"/>
      <c r="AR963" s="549"/>
      <c r="AS963" s="549"/>
      <c r="AT963" s="549"/>
      <c r="AU963" s="549"/>
      <c r="AV963" s="549"/>
      <c r="AW963" s="549"/>
      <c r="AX963" s="549"/>
      <c r="AY963" s="549"/>
      <c r="AZ963" s="549"/>
      <c r="BA963" s="549"/>
      <c r="BB963" s="549"/>
      <c r="BC963" s="549"/>
      <c r="BD963" s="549"/>
      <c r="BE963" s="549"/>
      <c r="BF963" s="549"/>
      <c r="BG963" s="549"/>
      <c r="BH963" s="549"/>
      <c r="BI963" s="549"/>
    </row>
    <row r="964" spans="16:61" s="254" customFormat="1" ht="9.9">
      <c r="P964" s="549"/>
      <c r="Q964" s="549"/>
      <c r="R964" s="549"/>
      <c r="S964" s="549"/>
      <c r="T964" s="549"/>
      <c r="U964" s="549"/>
      <c r="V964" s="549"/>
      <c r="W964" s="549"/>
      <c r="X964" s="549"/>
      <c r="Y964" s="549"/>
      <c r="Z964" s="549"/>
      <c r="AA964" s="549"/>
      <c r="AB964" s="549"/>
      <c r="AC964" s="549"/>
      <c r="AD964" s="549"/>
      <c r="AE964" s="549"/>
      <c r="AF964" s="549"/>
      <c r="AG964" s="549"/>
      <c r="AH964" s="549"/>
      <c r="AI964" s="549"/>
      <c r="AJ964" s="549"/>
      <c r="AK964" s="549"/>
      <c r="AL964" s="549"/>
      <c r="AM964" s="549"/>
      <c r="AN964" s="549"/>
      <c r="AO964" s="549"/>
      <c r="AP964" s="549"/>
      <c r="AQ964" s="549"/>
      <c r="AR964" s="549"/>
      <c r="AS964" s="549"/>
      <c r="AT964" s="549"/>
      <c r="AU964" s="549"/>
      <c r="AV964" s="549"/>
      <c r="AW964" s="549"/>
      <c r="AX964" s="549"/>
      <c r="AY964" s="549"/>
      <c r="AZ964" s="549"/>
      <c r="BA964" s="549"/>
      <c r="BB964" s="549"/>
      <c r="BC964" s="549"/>
      <c r="BD964" s="549"/>
      <c r="BE964" s="549"/>
      <c r="BF964" s="549"/>
      <c r="BG964" s="549"/>
      <c r="BH964" s="549"/>
      <c r="BI964" s="549"/>
    </row>
    <row r="965" spans="16:61" s="254" customFormat="1" ht="9.9">
      <c r="P965" s="549"/>
      <c r="Q965" s="549"/>
      <c r="R965" s="549"/>
      <c r="S965" s="549"/>
      <c r="T965" s="549"/>
      <c r="U965" s="549"/>
      <c r="V965" s="549"/>
      <c r="W965" s="549"/>
      <c r="X965" s="549"/>
      <c r="Y965" s="549"/>
      <c r="Z965" s="549"/>
      <c r="AA965" s="549"/>
      <c r="AB965" s="549"/>
      <c r="AC965" s="549"/>
      <c r="AD965" s="549"/>
      <c r="AE965" s="549"/>
      <c r="AF965" s="549"/>
      <c r="AG965" s="549"/>
      <c r="AH965" s="549"/>
      <c r="AI965" s="549"/>
      <c r="AJ965" s="549"/>
      <c r="AK965" s="549"/>
      <c r="AL965" s="549"/>
      <c r="AM965" s="549"/>
      <c r="AN965" s="549"/>
      <c r="AO965" s="549"/>
      <c r="AP965" s="549"/>
      <c r="AQ965" s="549"/>
      <c r="AR965" s="549"/>
      <c r="AS965" s="549"/>
      <c r="AT965" s="549"/>
      <c r="AU965" s="549"/>
      <c r="AV965" s="549"/>
      <c r="AW965" s="549"/>
      <c r="AX965" s="549"/>
      <c r="AY965" s="549"/>
      <c r="AZ965" s="549"/>
      <c r="BA965" s="549"/>
      <c r="BB965" s="549"/>
      <c r="BC965" s="549"/>
      <c r="BD965" s="549"/>
      <c r="BE965" s="549"/>
      <c r="BF965" s="549"/>
      <c r="BG965" s="549"/>
      <c r="BH965" s="549"/>
      <c r="BI965" s="549"/>
    </row>
    <row r="966" spans="16:61" s="254" customFormat="1" ht="9.9">
      <c r="P966" s="549"/>
      <c r="Q966" s="549"/>
      <c r="R966" s="549"/>
      <c r="S966" s="549"/>
      <c r="T966" s="549"/>
      <c r="U966" s="549"/>
      <c r="V966" s="549"/>
      <c r="W966" s="549"/>
      <c r="X966" s="549"/>
      <c r="Y966" s="549"/>
      <c r="Z966" s="549"/>
      <c r="AA966" s="549"/>
      <c r="AB966" s="549"/>
      <c r="AC966" s="549"/>
      <c r="AD966" s="549"/>
      <c r="AE966" s="549"/>
      <c r="AF966" s="549"/>
      <c r="AG966" s="549"/>
      <c r="AH966" s="549"/>
      <c r="AI966" s="549"/>
      <c r="AJ966" s="549"/>
      <c r="AK966" s="549"/>
      <c r="AL966" s="549"/>
      <c r="AM966" s="549"/>
      <c r="AN966" s="549"/>
      <c r="AO966" s="549"/>
      <c r="AP966" s="549"/>
      <c r="AQ966" s="549"/>
      <c r="AR966" s="549"/>
      <c r="AS966" s="549"/>
      <c r="AT966" s="549"/>
      <c r="AU966" s="549"/>
      <c r="AV966" s="549"/>
      <c r="AW966" s="549"/>
      <c r="AX966" s="549"/>
      <c r="AY966" s="549"/>
      <c r="AZ966" s="549"/>
      <c r="BA966" s="549"/>
      <c r="BB966" s="549"/>
      <c r="BC966" s="549"/>
      <c r="BD966" s="549"/>
      <c r="BE966" s="549"/>
      <c r="BF966" s="549"/>
      <c r="BG966" s="549"/>
      <c r="BH966" s="549"/>
      <c r="BI966" s="549"/>
    </row>
    <row r="967" spans="16:61" s="254" customFormat="1" ht="9.9">
      <c r="P967" s="549"/>
      <c r="Q967" s="549"/>
      <c r="R967" s="549"/>
      <c r="S967" s="549"/>
      <c r="T967" s="549"/>
      <c r="U967" s="549"/>
      <c r="V967" s="549"/>
      <c r="W967" s="549"/>
      <c r="X967" s="549"/>
      <c r="Y967" s="549"/>
      <c r="Z967" s="549"/>
      <c r="AA967" s="549"/>
      <c r="AB967" s="549"/>
      <c r="AC967" s="549"/>
      <c r="AD967" s="549"/>
      <c r="AE967" s="549"/>
      <c r="AF967" s="549"/>
      <c r="AG967" s="549"/>
      <c r="AH967" s="549"/>
      <c r="AI967" s="549"/>
      <c r="AJ967" s="549"/>
      <c r="AK967" s="549"/>
      <c r="AL967" s="549"/>
      <c r="AM967" s="549"/>
      <c r="AN967" s="549"/>
      <c r="AO967" s="549"/>
      <c r="AP967" s="549"/>
      <c r="AQ967" s="549"/>
      <c r="AR967" s="549"/>
      <c r="AS967" s="549"/>
      <c r="AT967" s="549"/>
      <c r="AU967" s="549"/>
      <c r="AV967" s="549"/>
      <c r="AW967" s="549"/>
      <c r="AX967" s="549"/>
      <c r="AY967" s="549"/>
      <c r="AZ967" s="549"/>
      <c r="BA967" s="549"/>
      <c r="BB967" s="549"/>
      <c r="BC967" s="549"/>
      <c r="BD967" s="549"/>
      <c r="BE967" s="549"/>
      <c r="BF967" s="549"/>
      <c r="BG967" s="549"/>
      <c r="BH967" s="549"/>
      <c r="BI967" s="549"/>
    </row>
    <row r="968" spans="16:61" s="254" customFormat="1" ht="9.9">
      <c r="P968" s="549"/>
      <c r="Q968" s="549"/>
      <c r="R968" s="549"/>
      <c r="S968" s="549"/>
      <c r="T968" s="549"/>
      <c r="U968" s="549"/>
      <c r="V968" s="549"/>
      <c r="W968" s="549"/>
      <c r="X968" s="549"/>
      <c r="Y968" s="549"/>
      <c r="Z968" s="549"/>
      <c r="AA968" s="549"/>
      <c r="AB968" s="549"/>
      <c r="AC968" s="549"/>
      <c r="AD968" s="549"/>
      <c r="AE968" s="549"/>
      <c r="AF968" s="549"/>
      <c r="AG968" s="549"/>
      <c r="AH968" s="549"/>
      <c r="AI968" s="549"/>
      <c r="AJ968" s="549"/>
      <c r="AK968" s="549"/>
      <c r="AL968" s="549"/>
      <c r="AM968" s="549"/>
      <c r="AN968" s="549"/>
      <c r="AO968" s="549"/>
      <c r="AP968" s="549"/>
      <c r="AQ968" s="549"/>
      <c r="AR968" s="549"/>
      <c r="AS968" s="549"/>
      <c r="AT968" s="549"/>
      <c r="AU968" s="549"/>
      <c r="AV968" s="549"/>
      <c r="AW968" s="549"/>
      <c r="AX968" s="549"/>
      <c r="AY968" s="549"/>
      <c r="AZ968" s="549"/>
      <c r="BA968" s="549"/>
      <c r="BB968" s="549"/>
      <c r="BC968" s="549"/>
      <c r="BD968" s="549"/>
      <c r="BE968" s="549"/>
      <c r="BF968" s="549"/>
      <c r="BG968" s="549"/>
      <c r="BH968" s="549"/>
      <c r="BI968" s="549"/>
    </row>
    <row r="969" spans="16:61" s="254" customFormat="1" ht="9.9">
      <c r="P969" s="549"/>
      <c r="Q969" s="549"/>
      <c r="R969" s="549"/>
      <c r="S969" s="549"/>
      <c r="T969" s="549"/>
      <c r="U969" s="549"/>
      <c r="V969" s="549"/>
      <c r="W969" s="549"/>
      <c r="X969" s="549"/>
      <c r="Y969" s="549"/>
      <c r="Z969" s="549"/>
      <c r="AA969" s="549"/>
      <c r="AB969" s="549"/>
      <c r="AC969" s="549"/>
      <c r="AD969" s="549"/>
      <c r="AE969" s="549"/>
      <c r="AF969" s="549"/>
      <c r="AG969" s="549"/>
      <c r="AH969" s="549"/>
      <c r="AI969" s="549"/>
      <c r="AJ969" s="549"/>
      <c r="AK969" s="549"/>
      <c r="AL969" s="549"/>
      <c r="AM969" s="549"/>
      <c r="AN969" s="549"/>
      <c r="AO969" s="549"/>
      <c r="AP969" s="549"/>
      <c r="AQ969" s="549"/>
      <c r="AR969" s="549"/>
      <c r="AS969" s="549"/>
      <c r="AT969" s="549"/>
      <c r="AU969" s="549"/>
      <c r="AV969" s="549"/>
      <c r="AW969" s="549"/>
      <c r="AX969" s="549"/>
      <c r="AY969" s="549"/>
      <c r="AZ969" s="549"/>
      <c r="BA969" s="549"/>
      <c r="BB969" s="549"/>
      <c r="BC969" s="549"/>
      <c r="BD969" s="549"/>
      <c r="BE969" s="549"/>
      <c r="BF969" s="549"/>
      <c r="BG969" s="549"/>
      <c r="BH969" s="549"/>
      <c r="BI969" s="549"/>
    </row>
    <row r="970" spans="16:61" s="254" customFormat="1" ht="9.9">
      <c r="P970" s="549"/>
      <c r="Q970" s="549"/>
      <c r="R970" s="549"/>
      <c r="S970" s="549"/>
      <c r="T970" s="549"/>
      <c r="U970" s="549"/>
      <c r="V970" s="549"/>
      <c r="W970" s="549"/>
      <c r="X970" s="549"/>
      <c r="Y970" s="549"/>
      <c r="Z970" s="549"/>
      <c r="AA970" s="549"/>
      <c r="AB970" s="549"/>
      <c r="AC970" s="549"/>
      <c r="AD970" s="549"/>
      <c r="AE970" s="549"/>
      <c r="AF970" s="549"/>
      <c r="AG970" s="549"/>
      <c r="AH970" s="549"/>
      <c r="AI970" s="549"/>
      <c r="AJ970" s="549"/>
      <c r="AK970" s="549"/>
      <c r="AL970" s="549"/>
      <c r="AM970" s="549"/>
      <c r="AN970" s="549"/>
      <c r="AO970" s="549"/>
      <c r="AP970" s="549"/>
      <c r="AQ970" s="549"/>
      <c r="AR970" s="549"/>
      <c r="AS970" s="549"/>
      <c r="AT970" s="549"/>
      <c r="AU970" s="549"/>
      <c r="AV970" s="549"/>
      <c r="AW970" s="549"/>
      <c r="AX970" s="549"/>
      <c r="AY970" s="549"/>
      <c r="AZ970" s="549"/>
      <c r="BA970" s="549"/>
      <c r="BB970" s="549"/>
      <c r="BC970" s="549"/>
      <c r="BD970" s="549"/>
      <c r="BE970" s="549"/>
      <c r="BF970" s="549"/>
      <c r="BG970" s="549"/>
      <c r="BH970" s="549"/>
      <c r="BI970" s="549"/>
    </row>
    <row r="971" spans="16:61" s="254" customFormat="1" ht="9.9">
      <c r="P971" s="549"/>
      <c r="Q971" s="549"/>
      <c r="R971" s="549"/>
      <c r="S971" s="549"/>
      <c r="T971" s="549"/>
      <c r="U971" s="549"/>
      <c r="V971" s="549"/>
      <c r="W971" s="549"/>
      <c r="X971" s="549"/>
      <c r="Y971" s="549"/>
      <c r="Z971" s="549"/>
      <c r="AA971" s="549"/>
      <c r="AB971" s="549"/>
      <c r="AC971" s="549"/>
      <c r="AD971" s="549"/>
      <c r="AE971" s="549"/>
      <c r="AF971" s="549"/>
      <c r="AG971" s="549"/>
      <c r="AH971" s="549"/>
      <c r="AI971" s="549"/>
      <c r="AJ971" s="549"/>
      <c r="AK971" s="549"/>
      <c r="AL971" s="549"/>
      <c r="AM971" s="549"/>
      <c r="AN971" s="549"/>
      <c r="AO971" s="549"/>
      <c r="AP971" s="549"/>
      <c r="AQ971" s="549"/>
      <c r="AR971" s="549"/>
      <c r="AS971" s="549"/>
      <c r="AT971" s="549"/>
      <c r="AU971" s="549"/>
      <c r="AV971" s="549"/>
      <c r="AW971" s="549"/>
      <c r="AX971" s="549"/>
      <c r="AY971" s="549"/>
      <c r="AZ971" s="549"/>
      <c r="BA971" s="549"/>
      <c r="BB971" s="549"/>
      <c r="BC971" s="549"/>
      <c r="BD971" s="549"/>
      <c r="BE971" s="549"/>
      <c r="BF971" s="549"/>
      <c r="BG971" s="549"/>
      <c r="BH971" s="549"/>
      <c r="BI971" s="549"/>
    </row>
    <row r="972" spans="16:61" s="254" customFormat="1" ht="9.9">
      <c r="P972" s="549"/>
      <c r="Q972" s="549"/>
      <c r="R972" s="549"/>
      <c r="S972" s="549"/>
      <c r="T972" s="549"/>
      <c r="U972" s="549"/>
      <c r="V972" s="549"/>
      <c r="W972" s="549"/>
      <c r="X972" s="549"/>
      <c r="Y972" s="549"/>
      <c r="Z972" s="549"/>
      <c r="AA972" s="549"/>
      <c r="AB972" s="549"/>
      <c r="AC972" s="549"/>
      <c r="AD972" s="549"/>
      <c r="AE972" s="549"/>
      <c r="AF972" s="549"/>
      <c r="AG972" s="549"/>
      <c r="AH972" s="549"/>
      <c r="AI972" s="549"/>
      <c r="AJ972" s="549"/>
      <c r="AK972" s="549"/>
      <c r="AL972" s="549"/>
      <c r="AM972" s="549"/>
      <c r="AN972" s="549"/>
      <c r="AO972" s="549"/>
      <c r="AP972" s="549"/>
      <c r="AQ972" s="549"/>
      <c r="AR972" s="549"/>
      <c r="AS972" s="549"/>
      <c r="AT972" s="549"/>
      <c r="AU972" s="549"/>
      <c r="AV972" s="549"/>
      <c r="AW972" s="549"/>
      <c r="AX972" s="549"/>
      <c r="AY972" s="549"/>
      <c r="AZ972" s="549"/>
      <c r="BA972" s="549"/>
      <c r="BB972" s="549"/>
      <c r="BC972" s="549"/>
      <c r="BD972" s="549"/>
      <c r="BE972" s="549"/>
      <c r="BF972" s="549"/>
      <c r="BG972" s="549"/>
      <c r="BH972" s="549"/>
      <c r="BI972" s="549"/>
    </row>
    <row r="973" spans="16:61" s="254" customFormat="1" ht="9.9">
      <c r="P973" s="549"/>
      <c r="Q973" s="549"/>
      <c r="R973" s="549"/>
      <c r="S973" s="549"/>
      <c r="T973" s="549"/>
      <c r="U973" s="549"/>
      <c r="V973" s="549"/>
      <c r="W973" s="549"/>
      <c r="X973" s="549"/>
      <c r="Y973" s="549"/>
      <c r="Z973" s="549"/>
      <c r="AA973" s="549"/>
      <c r="AB973" s="549"/>
      <c r="AC973" s="549"/>
      <c r="AD973" s="549"/>
      <c r="AE973" s="549"/>
      <c r="AF973" s="549"/>
      <c r="AG973" s="549"/>
      <c r="AH973" s="549"/>
      <c r="AI973" s="549"/>
      <c r="AJ973" s="549"/>
      <c r="AK973" s="549"/>
      <c r="AL973" s="549"/>
      <c r="AM973" s="549"/>
      <c r="AN973" s="549"/>
      <c r="AO973" s="549"/>
      <c r="AP973" s="549"/>
      <c r="AQ973" s="549"/>
      <c r="AR973" s="549"/>
      <c r="AS973" s="549"/>
      <c r="AT973" s="549"/>
      <c r="AU973" s="549"/>
      <c r="AV973" s="549"/>
      <c r="AW973" s="549"/>
      <c r="AX973" s="549"/>
      <c r="AY973" s="549"/>
      <c r="AZ973" s="549"/>
      <c r="BA973" s="549"/>
      <c r="BB973" s="549"/>
      <c r="BC973" s="549"/>
      <c r="BD973" s="549"/>
      <c r="BE973" s="549"/>
      <c r="BF973" s="549"/>
      <c r="BG973" s="549"/>
      <c r="BH973" s="549"/>
      <c r="BI973" s="549"/>
    </row>
    <row r="974" spans="16:61" s="254" customFormat="1" ht="9.9">
      <c r="P974" s="549"/>
      <c r="Q974" s="549"/>
      <c r="R974" s="549"/>
      <c r="S974" s="549"/>
      <c r="T974" s="549"/>
      <c r="U974" s="549"/>
      <c r="V974" s="549"/>
      <c r="W974" s="549"/>
      <c r="X974" s="549"/>
      <c r="Y974" s="549"/>
      <c r="Z974" s="549"/>
      <c r="AA974" s="549"/>
      <c r="AB974" s="549"/>
      <c r="AC974" s="549"/>
      <c r="AD974" s="549"/>
      <c r="AE974" s="549"/>
      <c r="AF974" s="549"/>
      <c r="AG974" s="549"/>
      <c r="AH974" s="549"/>
      <c r="AI974" s="549"/>
      <c r="AJ974" s="549"/>
      <c r="AK974" s="549"/>
      <c r="AL974" s="549"/>
      <c r="AM974" s="549"/>
      <c r="AN974" s="549"/>
      <c r="AO974" s="549"/>
      <c r="AP974" s="549"/>
      <c r="AQ974" s="549"/>
      <c r="AR974" s="549"/>
      <c r="AS974" s="549"/>
      <c r="AT974" s="549"/>
      <c r="AU974" s="549"/>
      <c r="AV974" s="549"/>
      <c r="AW974" s="549"/>
      <c r="AX974" s="549"/>
      <c r="AY974" s="549"/>
      <c r="AZ974" s="549"/>
      <c r="BA974" s="549"/>
      <c r="BB974" s="549"/>
      <c r="BC974" s="549"/>
      <c r="BD974" s="549"/>
      <c r="BE974" s="549"/>
      <c r="BF974" s="549"/>
      <c r="BG974" s="549"/>
      <c r="BH974" s="549"/>
      <c r="BI974" s="549"/>
    </row>
    <row r="975" spans="16:61" s="254" customFormat="1" ht="9.9">
      <c r="P975" s="549"/>
      <c r="Q975" s="549"/>
      <c r="R975" s="549"/>
      <c r="S975" s="549"/>
      <c r="T975" s="549"/>
      <c r="U975" s="549"/>
      <c r="V975" s="549"/>
      <c r="W975" s="549"/>
      <c r="X975" s="549"/>
      <c r="Y975" s="549"/>
      <c r="Z975" s="549"/>
      <c r="AA975" s="549"/>
      <c r="AB975" s="549"/>
      <c r="AC975" s="549"/>
      <c r="AD975" s="549"/>
      <c r="AE975" s="549"/>
      <c r="AF975" s="549"/>
      <c r="AG975" s="549"/>
      <c r="AH975" s="549"/>
      <c r="AI975" s="549"/>
      <c r="AJ975" s="549"/>
      <c r="AK975" s="549"/>
      <c r="AL975" s="549"/>
      <c r="AM975" s="549"/>
      <c r="AN975" s="549"/>
      <c r="AO975" s="549"/>
      <c r="AP975" s="549"/>
      <c r="AQ975" s="549"/>
      <c r="AR975" s="549"/>
      <c r="AS975" s="549"/>
      <c r="AT975" s="549"/>
      <c r="AU975" s="549"/>
      <c r="AV975" s="549"/>
      <c r="AW975" s="549"/>
      <c r="AX975" s="549"/>
      <c r="AY975" s="549"/>
      <c r="AZ975" s="549"/>
      <c r="BA975" s="549"/>
      <c r="BB975" s="549"/>
      <c r="BC975" s="549"/>
      <c r="BD975" s="549"/>
      <c r="BE975" s="549"/>
      <c r="BF975" s="549"/>
      <c r="BG975" s="549"/>
      <c r="BH975" s="549"/>
      <c r="BI975" s="549"/>
    </row>
    <row r="976" spans="16:61" s="254" customFormat="1" ht="9.9">
      <c r="P976" s="549"/>
      <c r="Q976" s="549"/>
      <c r="R976" s="549"/>
      <c r="S976" s="549"/>
      <c r="T976" s="549"/>
      <c r="U976" s="549"/>
      <c r="V976" s="549"/>
      <c r="W976" s="549"/>
      <c r="X976" s="549"/>
      <c r="Y976" s="549"/>
      <c r="Z976" s="549"/>
      <c r="AA976" s="549"/>
      <c r="AB976" s="549"/>
      <c r="AC976" s="549"/>
      <c r="AD976" s="549"/>
      <c r="AE976" s="549"/>
      <c r="AF976" s="549"/>
      <c r="AG976" s="549"/>
      <c r="AH976" s="549"/>
      <c r="AI976" s="549"/>
      <c r="AJ976" s="549"/>
      <c r="AK976" s="549"/>
      <c r="AL976" s="549"/>
      <c r="AM976" s="549"/>
      <c r="AN976" s="549"/>
      <c r="AO976" s="549"/>
      <c r="AP976" s="549"/>
      <c r="AQ976" s="549"/>
      <c r="AR976" s="549"/>
      <c r="AS976" s="549"/>
      <c r="AT976" s="549"/>
      <c r="AU976" s="549"/>
      <c r="AV976" s="549"/>
      <c r="AW976" s="549"/>
      <c r="AX976" s="549"/>
      <c r="AY976" s="549"/>
      <c r="AZ976" s="549"/>
      <c r="BA976" s="549"/>
      <c r="BB976" s="549"/>
      <c r="BC976" s="549"/>
      <c r="BD976" s="549"/>
      <c r="BE976" s="549"/>
      <c r="BF976" s="549"/>
      <c r="BG976" s="549"/>
      <c r="BH976" s="549"/>
      <c r="BI976" s="549"/>
    </row>
    <row r="977" spans="16:61" s="254" customFormat="1" ht="9.9">
      <c r="P977" s="549"/>
      <c r="Q977" s="549"/>
      <c r="R977" s="549"/>
      <c r="S977" s="549"/>
      <c r="T977" s="549"/>
      <c r="U977" s="549"/>
      <c r="V977" s="549"/>
      <c r="W977" s="549"/>
      <c r="X977" s="549"/>
      <c r="Y977" s="549"/>
      <c r="Z977" s="549"/>
      <c r="AA977" s="549"/>
      <c r="AB977" s="549"/>
      <c r="AC977" s="549"/>
      <c r="AD977" s="549"/>
      <c r="AE977" s="549"/>
      <c r="AF977" s="549"/>
      <c r="AG977" s="549"/>
      <c r="AH977" s="549"/>
      <c r="AI977" s="549"/>
      <c r="AJ977" s="549"/>
      <c r="AK977" s="549"/>
      <c r="AL977" s="549"/>
      <c r="AM977" s="549"/>
      <c r="AN977" s="549"/>
      <c r="AO977" s="549"/>
      <c r="AP977" s="549"/>
      <c r="AQ977" s="549"/>
      <c r="AR977" s="549"/>
      <c r="AS977" s="549"/>
      <c r="AT977" s="549"/>
      <c r="AU977" s="549"/>
      <c r="AV977" s="549"/>
      <c r="AW977" s="549"/>
      <c r="AX977" s="549"/>
      <c r="AY977" s="549"/>
      <c r="AZ977" s="549"/>
      <c r="BA977" s="549"/>
      <c r="BB977" s="549"/>
      <c r="BC977" s="549"/>
      <c r="BD977" s="549"/>
      <c r="BE977" s="549"/>
      <c r="BF977" s="549"/>
      <c r="BG977" s="549"/>
      <c r="BH977" s="549"/>
      <c r="BI977" s="549"/>
    </row>
    <row r="978" spans="16:61" s="254" customFormat="1" ht="9.9">
      <c r="P978" s="549"/>
      <c r="Q978" s="549"/>
      <c r="R978" s="549"/>
      <c r="S978" s="549"/>
      <c r="T978" s="549"/>
      <c r="U978" s="549"/>
      <c r="V978" s="549"/>
      <c r="W978" s="549"/>
      <c r="X978" s="549"/>
      <c r="Y978" s="549"/>
      <c r="Z978" s="549"/>
      <c r="AA978" s="549"/>
      <c r="AB978" s="549"/>
      <c r="AC978" s="549"/>
      <c r="AD978" s="549"/>
      <c r="AE978" s="549"/>
      <c r="AF978" s="549"/>
      <c r="AG978" s="549"/>
      <c r="AH978" s="549"/>
      <c r="AI978" s="549"/>
      <c r="AJ978" s="549"/>
      <c r="AK978" s="549"/>
      <c r="AL978" s="549"/>
      <c r="AM978" s="549"/>
      <c r="AN978" s="549"/>
      <c r="AO978" s="549"/>
      <c r="AP978" s="549"/>
      <c r="AQ978" s="549"/>
      <c r="AR978" s="549"/>
      <c r="AS978" s="549"/>
      <c r="AT978" s="549"/>
      <c r="AU978" s="549"/>
      <c r="AV978" s="549"/>
      <c r="AW978" s="549"/>
      <c r="AX978" s="549"/>
      <c r="AY978" s="549"/>
      <c r="AZ978" s="549"/>
      <c r="BA978" s="549"/>
      <c r="BB978" s="549"/>
      <c r="BC978" s="549"/>
      <c r="BD978" s="549"/>
      <c r="BE978" s="549"/>
      <c r="BF978" s="549"/>
      <c r="BG978" s="549"/>
      <c r="BH978" s="549"/>
      <c r="BI978" s="549"/>
    </row>
    <row r="979" spans="16:61" s="254" customFormat="1" ht="9.9">
      <c r="P979" s="549"/>
      <c r="Q979" s="549"/>
      <c r="R979" s="549"/>
      <c r="S979" s="549"/>
      <c r="T979" s="549"/>
      <c r="U979" s="549"/>
      <c r="V979" s="549"/>
      <c r="W979" s="549"/>
      <c r="X979" s="549"/>
      <c r="Y979" s="549"/>
      <c r="Z979" s="549"/>
      <c r="AA979" s="549"/>
      <c r="AB979" s="549"/>
      <c r="AC979" s="549"/>
      <c r="AD979" s="549"/>
      <c r="AE979" s="549"/>
      <c r="AF979" s="549"/>
      <c r="AG979" s="549"/>
      <c r="AH979" s="549"/>
      <c r="AI979" s="549"/>
      <c r="AJ979" s="549"/>
      <c r="AK979" s="549"/>
      <c r="AL979" s="549"/>
      <c r="AM979" s="549"/>
      <c r="AN979" s="549"/>
      <c r="AO979" s="549"/>
      <c r="AP979" s="549"/>
      <c r="AQ979" s="549"/>
      <c r="AR979" s="549"/>
      <c r="AS979" s="549"/>
      <c r="AT979" s="549"/>
      <c r="AU979" s="549"/>
      <c r="AV979" s="549"/>
      <c r="AW979" s="549"/>
      <c r="AX979" s="549"/>
      <c r="AY979" s="549"/>
      <c r="AZ979" s="549"/>
      <c r="BA979" s="549"/>
      <c r="BB979" s="549"/>
      <c r="BC979" s="549"/>
      <c r="BD979" s="549"/>
      <c r="BE979" s="549"/>
      <c r="BF979" s="549"/>
      <c r="BG979" s="549"/>
      <c r="BH979" s="549"/>
      <c r="BI979" s="549"/>
    </row>
    <row r="980" spans="16:61" s="254" customFormat="1" ht="9.9">
      <c r="P980" s="549"/>
      <c r="Q980" s="549"/>
      <c r="R980" s="549"/>
      <c r="S980" s="549"/>
      <c r="T980" s="549"/>
      <c r="U980" s="549"/>
      <c r="V980" s="549"/>
      <c r="W980" s="549"/>
      <c r="X980" s="549"/>
      <c r="Y980" s="549"/>
      <c r="Z980" s="549"/>
      <c r="AA980" s="549"/>
      <c r="AB980" s="549"/>
      <c r="AC980" s="549"/>
      <c r="AD980" s="549"/>
      <c r="AE980" s="549"/>
      <c r="AF980" s="549"/>
      <c r="AG980" s="549"/>
      <c r="AH980" s="549"/>
      <c r="AI980" s="549"/>
      <c r="AJ980" s="549"/>
      <c r="AK980" s="549"/>
      <c r="AL980" s="549"/>
      <c r="AM980" s="549"/>
      <c r="AN980" s="549"/>
      <c r="AO980" s="549"/>
      <c r="AP980" s="549"/>
      <c r="AQ980" s="549"/>
      <c r="AR980" s="549"/>
      <c r="AS980" s="549"/>
      <c r="AT980" s="549"/>
      <c r="AU980" s="549"/>
      <c r="AV980" s="549"/>
      <c r="AW980" s="549"/>
      <c r="AX980" s="549"/>
      <c r="AY980" s="549"/>
      <c r="AZ980" s="549"/>
      <c r="BA980" s="549"/>
      <c r="BB980" s="549"/>
      <c r="BC980" s="549"/>
      <c r="BD980" s="549"/>
      <c r="BE980" s="549"/>
      <c r="BF980" s="549"/>
      <c r="BG980" s="549"/>
      <c r="BH980" s="549"/>
      <c r="BI980" s="549"/>
    </row>
    <row r="981" spans="16:61" s="254" customFormat="1" ht="9.9">
      <c r="P981" s="549"/>
      <c r="Q981" s="549"/>
      <c r="R981" s="549"/>
      <c r="S981" s="549"/>
      <c r="T981" s="549"/>
      <c r="U981" s="549"/>
      <c r="V981" s="549"/>
      <c r="W981" s="549"/>
      <c r="X981" s="549"/>
      <c r="Y981" s="549"/>
      <c r="Z981" s="549"/>
      <c r="AA981" s="549"/>
      <c r="AB981" s="549"/>
      <c r="AC981" s="549"/>
      <c r="AD981" s="549"/>
      <c r="AE981" s="549"/>
      <c r="AF981" s="549"/>
      <c r="AG981" s="549"/>
      <c r="AH981" s="549"/>
      <c r="AI981" s="549"/>
      <c r="AJ981" s="549"/>
      <c r="AK981" s="549"/>
      <c r="AL981" s="549"/>
      <c r="AM981" s="549"/>
      <c r="AN981" s="549"/>
      <c r="AO981" s="549"/>
      <c r="AP981" s="549"/>
      <c r="AQ981" s="549"/>
      <c r="AR981" s="549"/>
      <c r="AS981" s="549"/>
      <c r="AT981" s="549"/>
      <c r="AU981" s="549"/>
      <c r="AV981" s="549"/>
      <c r="AW981" s="549"/>
      <c r="AX981" s="549"/>
      <c r="AY981" s="549"/>
      <c r="AZ981" s="549"/>
      <c r="BA981" s="549"/>
      <c r="BB981" s="549"/>
      <c r="BC981" s="549"/>
      <c r="BD981" s="549"/>
      <c r="BE981" s="549"/>
      <c r="BF981" s="549"/>
      <c r="BG981" s="549"/>
      <c r="BH981" s="549"/>
      <c r="BI981" s="549"/>
    </row>
    <row r="982" spans="16:61" s="254" customFormat="1" ht="9.9">
      <c r="P982" s="549"/>
      <c r="Q982" s="549"/>
      <c r="R982" s="549"/>
      <c r="S982" s="549"/>
      <c r="T982" s="549"/>
      <c r="U982" s="549"/>
      <c r="V982" s="549"/>
      <c r="W982" s="549"/>
      <c r="X982" s="549"/>
      <c r="Y982" s="549"/>
      <c r="Z982" s="549"/>
      <c r="AA982" s="549"/>
      <c r="AB982" s="549"/>
      <c r="AC982" s="549"/>
      <c r="AD982" s="549"/>
      <c r="AE982" s="549"/>
      <c r="AF982" s="549"/>
      <c r="AG982" s="549"/>
      <c r="AH982" s="549"/>
      <c r="AI982" s="549"/>
      <c r="AJ982" s="549"/>
      <c r="AK982" s="549"/>
      <c r="AL982" s="549"/>
      <c r="AM982" s="549"/>
      <c r="AN982" s="549"/>
      <c r="AO982" s="549"/>
      <c r="AP982" s="549"/>
      <c r="AQ982" s="549"/>
      <c r="AR982" s="549"/>
      <c r="AS982" s="549"/>
      <c r="AT982" s="549"/>
      <c r="AU982" s="549"/>
      <c r="AV982" s="549"/>
      <c r="AW982" s="549"/>
      <c r="AX982" s="549"/>
      <c r="AY982" s="549"/>
      <c r="AZ982" s="549"/>
      <c r="BA982" s="549"/>
      <c r="BB982" s="549"/>
      <c r="BC982" s="549"/>
      <c r="BD982" s="549"/>
      <c r="BE982" s="549"/>
      <c r="BF982" s="549"/>
      <c r="BG982" s="549"/>
      <c r="BH982" s="549"/>
      <c r="BI982" s="549"/>
    </row>
    <row r="983" spans="16:61" s="254" customFormat="1" ht="9.9">
      <c r="P983" s="549"/>
      <c r="Q983" s="549"/>
      <c r="R983" s="549"/>
      <c r="S983" s="549"/>
      <c r="T983" s="549"/>
      <c r="U983" s="549"/>
      <c r="V983" s="549"/>
      <c r="W983" s="549"/>
      <c r="X983" s="549"/>
      <c r="Y983" s="549"/>
      <c r="Z983" s="549"/>
      <c r="AA983" s="549"/>
      <c r="AB983" s="549"/>
      <c r="AC983" s="549"/>
      <c r="AD983" s="549"/>
      <c r="AE983" s="549"/>
      <c r="AF983" s="549"/>
      <c r="AG983" s="549"/>
      <c r="AH983" s="549"/>
      <c r="AI983" s="549"/>
      <c r="AJ983" s="549"/>
      <c r="AK983" s="549"/>
      <c r="AL983" s="549"/>
      <c r="AM983" s="549"/>
      <c r="AN983" s="549"/>
      <c r="AO983" s="549"/>
      <c r="AP983" s="549"/>
      <c r="AQ983" s="549"/>
      <c r="AR983" s="549"/>
      <c r="AS983" s="549"/>
      <c r="AT983" s="549"/>
      <c r="AU983" s="549"/>
      <c r="AV983" s="549"/>
      <c r="AW983" s="549"/>
      <c r="AX983" s="549"/>
      <c r="AY983" s="549"/>
      <c r="AZ983" s="549"/>
      <c r="BA983" s="549"/>
      <c r="BB983" s="549"/>
      <c r="BC983" s="549"/>
      <c r="BD983" s="549"/>
      <c r="BE983" s="549"/>
      <c r="BF983" s="549"/>
      <c r="BG983" s="549"/>
      <c r="BH983" s="549"/>
      <c r="BI983" s="549"/>
    </row>
    <row r="984" spans="16:61" s="254" customFormat="1" ht="9.9">
      <c r="P984" s="549"/>
      <c r="Q984" s="549"/>
      <c r="R984" s="549"/>
      <c r="S984" s="549"/>
      <c r="T984" s="549"/>
      <c r="U984" s="549"/>
      <c r="V984" s="549"/>
      <c r="W984" s="549"/>
      <c r="X984" s="549"/>
      <c r="Y984" s="549"/>
      <c r="Z984" s="549"/>
      <c r="AA984" s="549"/>
      <c r="AB984" s="549"/>
      <c r="AC984" s="549"/>
      <c r="AD984" s="549"/>
      <c r="AE984" s="549"/>
      <c r="AF984" s="549"/>
      <c r="AG984" s="549"/>
      <c r="AH984" s="549"/>
      <c r="AI984" s="549"/>
      <c r="AJ984" s="549"/>
      <c r="AK984" s="549"/>
      <c r="AL984" s="549"/>
      <c r="AM984" s="549"/>
      <c r="AN984" s="549"/>
      <c r="AO984" s="549"/>
      <c r="AP984" s="549"/>
      <c r="AQ984" s="549"/>
      <c r="AR984" s="549"/>
      <c r="AS984" s="549"/>
      <c r="AT984" s="549"/>
      <c r="AU984" s="549"/>
      <c r="AV984" s="549"/>
      <c r="AW984" s="549"/>
      <c r="AX984" s="549"/>
      <c r="AY984" s="549"/>
      <c r="AZ984" s="549"/>
      <c r="BA984" s="549"/>
      <c r="BB984" s="549"/>
      <c r="BC984" s="549"/>
      <c r="BD984" s="549"/>
      <c r="BE984" s="549"/>
      <c r="BF984" s="549"/>
      <c r="BG984" s="549"/>
      <c r="BH984" s="549"/>
      <c r="BI984" s="549"/>
    </row>
    <row r="985" spans="16:61" s="254" customFormat="1" ht="9.9">
      <c r="P985" s="549"/>
      <c r="Q985" s="549"/>
      <c r="R985" s="549"/>
      <c r="S985" s="549"/>
      <c r="T985" s="549"/>
      <c r="U985" s="549"/>
      <c r="V985" s="549"/>
      <c r="W985" s="549"/>
      <c r="X985" s="549"/>
      <c r="Y985" s="549"/>
      <c r="Z985" s="549"/>
      <c r="AA985" s="549"/>
      <c r="AB985" s="549"/>
      <c r="AC985" s="549"/>
      <c r="AD985" s="549"/>
      <c r="AE985" s="549"/>
      <c r="AF985" s="549"/>
      <c r="AG985" s="549"/>
      <c r="AH985" s="549"/>
      <c r="AI985" s="549"/>
      <c r="AJ985" s="549"/>
      <c r="AK985" s="549"/>
      <c r="AL985" s="549"/>
      <c r="AM985" s="549"/>
      <c r="AN985" s="549"/>
      <c r="AO985" s="549"/>
      <c r="AP985" s="549"/>
      <c r="AQ985" s="549"/>
      <c r="AR985" s="549"/>
      <c r="AS985" s="549"/>
      <c r="AT985" s="549"/>
      <c r="AU985" s="549"/>
      <c r="AV985" s="549"/>
      <c r="AW985" s="549"/>
      <c r="AX985" s="549"/>
      <c r="AY985" s="549"/>
      <c r="AZ985" s="549"/>
      <c r="BA985" s="549"/>
      <c r="BB985" s="549"/>
      <c r="BC985" s="549"/>
      <c r="BD985" s="549"/>
      <c r="BE985" s="549"/>
      <c r="BF985" s="549"/>
      <c r="BG985" s="549"/>
      <c r="BH985" s="549"/>
      <c r="BI985" s="549"/>
    </row>
    <row r="986" spans="16:61" s="254" customFormat="1" ht="9.9">
      <c r="P986" s="549"/>
      <c r="Q986" s="549"/>
      <c r="R986" s="549"/>
      <c r="S986" s="549"/>
      <c r="T986" s="549"/>
      <c r="U986" s="549"/>
      <c r="V986" s="549"/>
      <c r="W986" s="549"/>
      <c r="X986" s="549"/>
      <c r="Y986" s="549"/>
      <c r="Z986" s="549"/>
      <c r="AA986" s="549"/>
      <c r="AB986" s="549"/>
      <c r="AC986" s="549"/>
      <c r="AD986" s="549"/>
      <c r="AE986" s="549"/>
      <c r="AF986" s="549"/>
      <c r="AG986" s="549"/>
      <c r="AH986" s="549"/>
      <c r="AI986" s="549"/>
      <c r="AJ986" s="549"/>
      <c r="AK986" s="549"/>
      <c r="AL986" s="549"/>
      <c r="AM986" s="549"/>
      <c r="AN986" s="549"/>
      <c r="AO986" s="549"/>
      <c r="AP986" s="549"/>
      <c r="AQ986" s="549"/>
      <c r="AR986" s="549"/>
      <c r="AS986" s="549"/>
      <c r="AT986" s="549"/>
      <c r="AU986" s="549"/>
      <c r="AV986" s="549"/>
      <c r="AW986" s="549"/>
      <c r="AX986" s="549"/>
      <c r="AY986" s="549"/>
      <c r="AZ986" s="549"/>
      <c r="BA986" s="549"/>
      <c r="BB986" s="549"/>
      <c r="BC986" s="549"/>
      <c r="BD986" s="549"/>
      <c r="BE986" s="549"/>
      <c r="BF986" s="549"/>
      <c r="BG986" s="549"/>
      <c r="BH986" s="549"/>
      <c r="BI986" s="549"/>
    </row>
    <row r="987" spans="16:61" s="254" customFormat="1" ht="9.9">
      <c r="P987" s="549"/>
      <c r="Q987" s="549"/>
      <c r="R987" s="549"/>
      <c r="S987" s="549"/>
      <c r="T987" s="549"/>
      <c r="U987" s="549"/>
      <c r="V987" s="549"/>
      <c r="W987" s="549"/>
      <c r="X987" s="549"/>
      <c r="Y987" s="549"/>
      <c r="Z987" s="549"/>
      <c r="AA987" s="549"/>
      <c r="AB987" s="549"/>
      <c r="AC987" s="549"/>
      <c r="AD987" s="549"/>
      <c r="AE987" s="549"/>
      <c r="AF987" s="549"/>
      <c r="AG987" s="549"/>
      <c r="AH987" s="549"/>
      <c r="AI987" s="549"/>
      <c r="AJ987" s="549"/>
      <c r="AK987" s="549"/>
      <c r="AL987" s="549"/>
      <c r="AM987" s="549"/>
      <c r="AN987" s="549"/>
      <c r="AO987" s="549"/>
      <c r="AP987" s="549"/>
      <c r="AQ987" s="549"/>
      <c r="AR987" s="549"/>
      <c r="AS987" s="549"/>
      <c r="AT987" s="549"/>
      <c r="AU987" s="549"/>
      <c r="AV987" s="549"/>
      <c r="AW987" s="549"/>
      <c r="AX987" s="549"/>
      <c r="AY987" s="549"/>
      <c r="AZ987" s="549"/>
      <c r="BA987" s="549"/>
      <c r="BB987" s="549"/>
      <c r="BC987" s="549"/>
      <c r="BD987" s="549"/>
      <c r="BE987" s="549"/>
      <c r="BF987" s="549"/>
      <c r="BG987" s="549"/>
      <c r="BH987" s="549"/>
      <c r="BI987" s="549"/>
    </row>
    <row r="988" spans="16:61" s="254" customFormat="1" ht="9.9">
      <c r="P988" s="549"/>
      <c r="Q988" s="549"/>
      <c r="R988" s="549"/>
      <c r="S988" s="549"/>
      <c r="T988" s="549"/>
      <c r="U988" s="549"/>
      <c r="V988" s="549"/>
      <c r="W988" s="549"/>
      <c r="X988" s="549"/>
      <c r="Y988" s="549"/>
      <c r="Z988" s="549"/>
      <c r="AA988" s="549"/>
      <c r="AB988" s="549"/>
      <c r="AC988" s="549"/>
      <c r="AD988" s="549"/>
      <c r="AE988" s="549"/>
      <c r="AF988" s="549"/>
      <c r="AG988" s="549"/>
      <c r="AH988" s="549"/>
      <c r="AI988" s="549"/>
      <c r="AJ988" s="549"/>
      <c r="AK988" s="549"/>
      <c r="AL988" s="549"/>
      <c r="AM988" s="549"/>
      <c r="AN988" s="549"/>
      <c r="AO988" s="549"/>
      <c r="AP988" s="549"/>
      <c r="AQ988" s="549"/>
      <c r="AR988" s="549"/>
      <c r="AS988" s="549"/>
      <c r="AT988" s="549"/>
      <c r="AU988" s="549"/>
      <c r="AV988" s="549"/>
      <c r="AW988" s="549"/>
      <c r="AX988" s="549"/>
      <c r="AY988" s="549"/>
      <c r="AZ988" s="549"/>
      <c r="BA988" s="549"/>
      <c r="BB988" s="549"/>
      <c r="BC988" s="549"/>
      <c r="BD988" s="549"/>
      <c r="BE988" s="549"/>
      <c r="BF988" s="549"/>
      <c r="BG988" s="549"/>
      <c r="BH988" s="549"/>
      <c r="BI988" s="549"/>
    </row>
    <row r="989" spans="16:61" s="254" customFormat="1" ht="9.9">
      <c r="P989" s="549"/>
      <c r="Q989" s="549"/>
      <c r="R989" s="549"/>
      <c r="S989" s="549"/>
      <c r="T989" s="549"/>
      <c r="U989" s="549"/>
      <c r="V989" s="549"/>
      <c r="W989" s="549"/>
      <c r="X989" s="549"/>
      <c r="Y989" s="549"/>
      <c r="Z989" s="549"/>
      <c r="AA989" s="549"/>
      <c r="AB989" s="549"/>
      <c r="AC989" s="549"/>
      <c r="AD989" s="549"/>
      <c r="AE989" s="549"/>
      <c r="AF989" s="549"/>
      <c r="AG989" s="549"/>
      <c r="AH989" s="549"/>
      <c r="AI989" s="549"/>
      <c r="AJ989" s="549"/>
      <c r="AK989" s="549"/>
      <c r="AL989" s="549"/>
      <c r="AM989" s="549"/>
      <c r="AN989" s="549"/>
      <c r="AO989" s="549"/>
      <c r="AP989" s="549"/>
      <c r="AQ989" s="549"/>
      <c r="AR989" s="549"/>
      <c r="AS989" s="549"/>
      <c r="AT989" s="549"/>
      <c r="AU989" s="549"/>
      <c r="AV989" s="549"/>
      <c r="AW989" s="549"/>
      <c r="AX989" s="549"/>
      <c r="AY989" s="549"/>
      <c r="AZ989" s="549"/>
      <c r="BA989" s="549"/>
      <c r="BB989" s="549"/>
      <c r="BC989" s="549"/>
      <c r="BD989" s="549"/>
      <c r="BE989" s="549"/>
      <c r="BF989" s="549"/>
      <c r="BG989" s="549"/>
      <c r="BH989" s="549"/>
      <c r="BI989" s="549"/>
    </row>
    <row r="990" spans="16:61" s="254" customFormat="1" ht="9.9">
      <c r="P990" s="549"/>
      <c r="Q990" s="549"/>
      <c r="R990" s="549"/>
      <c r="S990" s="549"/>
      <c r="T990" s="549"/>
      <c r="U990" s="549"/>
      <c r="V990" s="549"/>
      <c r="W990" s="549"/>
      <c r="X990" s="549"/>
      <c r="Y990" s="549"/>
      <c r="Z990" s="549"/>
      <c r="AA990" s="549"/>
      <c r="AB990" s="549"/>
      <c r="AC990" s="549"/>
      <c r="AD990" s="549"/>
      <c r="AE990" s="549"/>
      <c r="AF990" s="549"/>
      <c r="AG990" s="549"/>
      <c r="AH990" s="549"/>
      <c r="AI990" s="549"/>
      <c r="AJ990" s="549"/>
      <c r="AK990" s="549"/>
      <c r="AL990" s="549"/>
      <c r="AM990" s="549"/>
      <c r="AN990" s="549"/>
      <c r="AO990" s="549"/>
      <c r="AP990" s="549"/>
      <c r="AQ990" s="549"/>
      <c r="AR990" s="549"/>
      <c r="AS990" s="549"/>
      <c r="AT990" s="549"/>
      <c r="AU990" s="549"/>
      <c r="AV990" s="549"/>
      <c r="AW990" s="549"/>
      <c r="AX990" s="549"/>
      <c r="AY990" s="549"/>
      <c r="AZ990" s="549"/>
      <c r="BA990" s="549"/>
      <c r="BB990" s="549"/>
      <c r="BC990" s="549"/>
      <c r="BD990" s="549"/>
      <c r="BE990" s="549"/>
      <c r="BF990" s="549"/>
      <c r="BG990" s="549"/>
      <c r="BH990" s="549"/>
      <c r="BI990" s="549"/>
    </row>
    <row r="991" spans="16:61" s="254" customFormat="1" ht="9.9">
      <c r="P991" s="549"/>
      <c r="Q991" s="549"/>
      <c r="R991" s="549"/>
      <c r="S991" s="549"/>
      <c r="T991" s="549"/>
      <c r="U991" s="549"/>
      <c r="V991" s="549"/>
      <c r="W991" s="549"/>
      <c r="X991" s="549"/>
      <c r="Y991" s="549"/>
      <c r="Z991" s="549"/>
      <c r="AA991" s="549"/>
      <c r="AB991" s="549"/>
      <c r="AC991" s="549"/>
      <c r="AD991" s="549"/>
      <c r="AE991" s="549"/>
      <c r="AF991" s="549"/>
      <c r="AG991" s="549"/>
      <c r="AH991" s="549"/>
      <c r="AI991" s="549"/>
      <c r="AJ991" s="549"/>
      <c r="AK991" s="549"/>
      <c r="AL991" s="549"/>
      <c r="AM991" s="549"/>
      <c r="AN991" s="549"/>
      <c r="AO991" s="549"/>
      <c r="AP991" s="549"/>
      <c r="AQ991" s="549"/>
      <c r="AR991" s="549"/>
      <c r="AS991" s="549"/>
      <c r="AT991" s="549"/>
      <c r="AU991" s="549"/>
      <c r="AV991" s="549"/>
      <c r="AW991" s="549"/>
      <c r="AX991" s="549"/>
      <c r="AY991" s="549"/>
      <c r="AZ991" s="549"/>
      <c r="BA991" s="549"/>
      <c r="BB991" s="549"/>
      <c r="BC991" s="549"/>
      <c r="BD991" s="549"/>
      <c r="BE991" s="549"/>
      <c r="BF991" s="549"/>
      <c r="BG991" s="549"/>
      <c r="BH991" s="549"/>
      <c r="BI991" s="549"/>
    </row>
    <row r="992" spans="16:61" s="254" customFormat="1" ht="9.9">
      <c r="P992" s="549"/>
      <c r="Q992" s="549"/>
      <c r="R992" s="549"/>
      <c r="S992" s="549"/>
      <c r="T992" s="549"/>
      <c r="U992" s="549"/>
      <c r="V992" s="549"/>
      <c r="W992" s="549"/>
      <c r="X992" s="549"/>
      <c r="Y992" s="549"/>
      <c r="Z992" s="549"/>
      <c r="AA992" s="549"/>
      <c r="AB992" s="549"/>
      <c r="AC992" s="549"/>
      <c r="AD992" s="549"/>
      <c r="AE992" s="549"/>
      <c r="AF992" s="549"/>
      <c r="AG992" s="549"/>
      <c r="AH992" s="549"/>
      <c r="AI992" s="549"/>
      <c r="AJ992" s="549"/>
      <c r="AK992" s="549"/>
      <c r="AL992" s="549"/>
      <c r="AM992" s="549"/>
      <c r="AN992" s="549"/>
      <c r="AO992" s="549"/>
      <c r="AP992" s="549"/>
      <c r="AQ992" s="549"/>
      <c r="AR992" s="549"/>
      <c r="AS992" s="549"/>
      <c r="AT992" s="549"/>
      <c r="AU992" s="549"/>
      <c r="AV992" s="549"/>
      <c r="AW992" s="549"/>
      <c r="AX992" s="549"/>
      <c r="AY992" s="549"/>
      <c r="AZ992" s="549"/>
      <c r="BA992" s="549"/>
      <c r="BB992" s="549"/>
      <c r="BC992" s="549"/>
      <c r="BD992" s="549"/>
      <c r="BE992" s="549"/>
      <c r="BF992" s="549"/>
      <c r="BG992" s="549"/>
      <c r="BH992" s="549"/>
      <c r="BI992" s="549"/>
    </row>
    <row r="993" spans="16:61" s="254" customFormat="1" ht="9.9">
      <c r="P993" s="549"/>
      <c r="Q993" s="549"/>
      <c r="R993" s="549"/>
      <c r="S993" s="549"/>
      <c r="T993" s="549"/>
      <c r="U993" s="549"/>
      <c r="V993" s="549"/>
      <c r="W993" s="549"/>
      <c r="X993" s="549"/>
      <c r="Y993" s="549"/>
      <c r="Z993" s="549"/>
      <c r="AA993" s="549"/>
      <c r="AB993" s="549"/>
      <c r="AC993" s="549"/>
      <c r="AD993" s="549"/>
      <c r="AE993" s="549"/>
      <c r="AF993" s="549"/>
      <c r="AG993" s="549"/>
      <c r="AH993" s="549"/>
      <c r="AI993" s="549"/>
      <c r="AJ993" s="549"/>
      <c r="AK993" s="549"/>
      <c r="AL993" s="549"/>
      <c r="AM993" s="549"/>
      <c r="AN993" s="549"/>
      <c r="AO993" s="549"/>
      <c r="AP993" s="549"/>
      <c r="AQ993" s="549"/>
      <c r="AR993" s="549"/>
      <c r="AS993" s="549"/>
      <c r="AT993" s="549"/>
      <c r="AU993" s="549"/>
      <c r="AV993" s="549"/>
      <c r="AW993" s="549"/>
      <c r="AX993" s="549"/>
      <c r="AY993" s="549"/>
      <c r="AZ993" s="549"/>
      <c r="BA993" s="549"/>
      <c r="BB993" s="549"/>
      <c r="BC993" s="549"/>
      <c r="BD993" s="549"/>
      <c r="BE993" s="549"/>
      <c r="BF993" s="549"/>
      <c r="BG993" s="549"/>
      <c r="BH993" s="549"/>
      <c r="BI993" s="549"/>
    </row>
    <row r="994" spans="16:61" s="254" customFormat="1" ht="9.9">
      <c r="P994" s="549"/>
      <c r="Q994" s="549"/>
      <c r="R994" s="549"/>
      <c r="S994" s="549"/>
      <c r="T994" s="549"/>
      <c r="U994" s="549"/>
      <c r="V994" s="549"/>
      <c r="W994" s="549"/>
      <c r="X994" s="549"/>
      <c r="Y994" s="549"/>
      <c r="Z994" s="549"/>
      <c r="AA994" s="549"/>
      <c r="AB994" s="549"/>
      <c r="AC994" s="549"/>
      <c r="AD994" s="549"/>
      <c r="AE994" s="549"/>
      <c r="AF994" s="549"/>
      <c r="AG994" s="549"/>
      <c r="AH994" s="549"/>
      <c r="AI994" s="549"/>
      <c r="AJ994" s="549"/>
      <c r="AK994" s="549"/>
      <c r="AL994" s="549"/>
      <c r="AM994" s="549"/>
      <c r="AN994" s="549"/>
      <c r="AO994" s="549"/>
      <c r="AP994" s="549"/>
      <c r="AQ994" s="549"/>
      <c r="AR994" s="549"/>
      <c r="AS994" s="549"/>
      <c r="AT994" s="549"/>
      <c r="AU994" s="549"/>
      <c r="AV994" s="549"/>
      <c r="AW994" s="549"/>
      <c r="AX994" s="549"/>
      <c r="AY994" s="549"/>
      <c r="AZ994" s="549"/>
      <c r="BA994" s="549"/>
      <c r="BB994" s="549"/>
      <c r="BC994" s="549"/>
      <c r="BD994" s="549"/>
      <c r="BE994" s="549"/>
      <c r="BF994" s="549"/>
      <c r="BG994" s="549"/>
      <c r="BH994" s="549"/>
      <c r="BI994" s="549"/>
    </row>
    <row r="995" spans="16:61" s="254" customFormat="1" ht="9.9">
      <c r="P995" s="549"/>
      <c r="Q995" s="549"/>
      <c r="R995" s="549"/>
      <c r="S995" s="549"/>
      <c r="T995" s="549"/>
      <c r="U995" s="549"/>
      <c r="V995" s="549"/>
      <c r="W995" s="549"/>
      <c r="X995" s="549"/>
      <c r="Y995" s="549"/>
      <c r="Z995" s="549"/>
      <c r="AA995" s="549"/>
      <c r="AB995" s="549"/>
      <c r="AC995" s="549"/>
      <c r="AD995" s="549"/>
      <c r="AE995" s="549"/>
      <c r="AF995" s="549"/>
      <c r="AG995" s="549"/>
      <c r="AH995" s="549"/>
      <c r="AI995" s="549"/>
      <c r="AJ995" s="549"/>
      <c r="AK995" s="549"/>
      <c r="AL995" s="549"/>
      <c r="AM995" s="549"/>
      <c r="AN995" s="549"/>
      <c r="AO995" s="549"/>
      <c r="AP995" s="549"/>
      <c r="AQ995" s="549"/>
      <c r="AR995" s="549"/>
      <c r="AS995" s="549"/>
      <c r="AT995" s="549"/>
      <c r="AU995" s="549"/>
      <c r="AV995" s="549"/>
      <c r="AW995" s="549"/>
      <c r="AX995" s="549"/>
      <c r="AY995" s="549"/>
      <c r="AZ995" s="549"/>
      <c r="BA995" s="549"/>
      <c r="BB995" s="549"/>
      <c r="BC995" s="549"/>
      <c r="BD995" s="549"/>
      <c r="BE995" s="549"/>
      <c r="BF995" s="549"/>
      <c r="BG995" s="549"/>
      <c r="BH995" s="549"/>
      <c r="BI995" s="549"/>
    </row>
    <row r="996" spans="16:61" s="254" customFormat="1" ht="9.9">
      <c r="P996" s="549"/>
      <c r="Q996" s="549"/>
      <c r="R996" s="549"/>
      <c r="S996" s="549"/>
      <c r="T996" s="549"/>
      <c r="U996" s="549"/>
      <c r="V996" s="549"/>
      <c r="W996" s="549"/>
      <c r="X996" s="549"/>
      <c r="Y996" s="549"/>
      <c r="Z996" s="549"/>
      <c r="AA996" s="549"/>
      <c r="AB996" s="549"/>
      <c r="AC996" s="549"/>
      <c r="AD996" s="549"/>
      <c r="AE996" s="549"/>
      <c r="AF996" s="549"/>
      <c r="AG996" s="549"/>
      <c r="AH996" s="549"/>
      <c r="AI996" s="549"/>
      <c r="AJ996" s="549"/>
      <c r="AK996" s="549"/>
      <c r="AL996" s="549"/>
      <c r="AM996" s="549"/>
      <c r="AN996" s="549"/>
      <c r="AO996" s="549"/>
      <c r="AP996" s="549"/>
      <c r="AQ996" s="549"/>
      <c r="AR996" s="549"/>
      <c r="AS996" s="549"/>
      <c r="AT996" s="549"/>
      <c r="AU996" s="549"/>
      <c r="AV996" s="549"/>
      <c r="AW996" s="549"/>
      <c r="AX996" s="549"/>
      <c r="AY996" s="549"/>
      <c r="AZ996" s="549"/>
      <c r="BA996" s="549"/>
      <c r="BB996" s="549"/>
      <c r="BC996" s="549"/>
      <c r="BD996" s="549"/>
      <c r="BE996" s="549"/>
      <c r="BF996" s="549"/>
      <c r="BG996" s="549"/>
      <c r="BH996" s="549"/>
      <c r="BI996" s="549"/>
    </row>
    <row r="997" spans="16:61" s="254" customFormat="1" ht="9.9">
      <c r="P997" s="549"/>
      <c r="Q997" s="549"/>
      <c r="R997" s="549"/>
      <c r="S997" s="549"/>
      <c r="T997" s="549"/>
      <c r="U997" s="549"/>
      <c r="V997" s="549"/>
      <c r="W997" s="549"/>
      <c r="X997" s="549"/>
      <c r="Y997" s="549"/>
      <c r="Z997" s="549"/>
      <c r="AA997" s="549"/>
      <c r="AB997" s="549"/>
      <c r="AC997" s="549"/>
      <c r="AD997" s="549"/>
      <c r="AE997" s="549"/>
      <c r="AF997" s="549"/>
      <c r="AG997" s="549"/>
      <c r="AH997" s="549"/>
      <c r="AI997" s="549"/>
      <c r="AJ997" s="549"/>
      <c r="AK997" s="549"/>
      <c r="AL997" s="549"/>
      <c r="AM997" s="549"/>
      <c r="AN997" s="549"/>
      <c r="AO997" s="549"/>
      <c r="AP997" s="549"/>
      <c r="AQ997" s="549"/>
      <c r="AR997" s="549"/>
      <c r="AS997" s="549"/>
      <c r="AT997" s="549"/>
      <c r="AU997" s="549"/>
      <c r="AV997" s="549"/>
      <c r="AW997" s="549"/>
      <c r="AX997" s="549"/>
      <c r="AY997" s="549"/>
      <c r="AZ997" s="549"/>
      <c r="BA997" s="549"/>
      <c r="BB997" s="549"/>
      <c r="BC997" s="549"/>
      <c r="BD997" s="549"/>
      <c r="BE997" s="549"/>
      <c r="BF997" s="549"/>
      <c r="BG997" s="549"/>
      <c r="BH997" s="549"/>
      <c r="BI997" s="549"/>
    </row>
    <row r="998" spans="16:61" s="254" customFormat="1" ht="9.9">
      <c r="P998" s="549"/>
      <c r="Q998" s="549"/>
      <c r="R998" s="549"/>
      <c r="S998" s="549"/>
      <c r="T998" s="549"/>
      <c r="U998" s="549"/>
      <c r="V998" s="549"/>
      <c r="W998" s="549"/>
      <c r="X998" s="549"/>
      <c r="Y998" s="549"/>
      <c r="Z998" s="549"/>
      <c r="AA998" s="549"/>
      <c r="AB998" s="549"/>
      <c r="AC998" s="549"/>
      <c r="AD998" s="549"/>
      <c r="AE998" s="549"/>
      <c r="AF998" s="549"/>
      <c r="AG998" s="549"/>
      <c r="AH998" s="549"/>
      <c r="AI998" s="549"/>
      <c r="AJ998" s="549"/>
      <c r="AK998" s="549"/>
      <c r="AL998" s="549"/>
      <c r="AM998" s="549"/>
      <c r="AN998" s="549"/>
      <c r="AO998" s="549"/>
      <c r="AP998" s="549"/>
      <c r="AQ998" s="549"/>
      <c r="AR998" s="549"/>
      <c r="AS998" s="549"/>
      <c r="AT998" s="549"/>
      <c r="AU998" s="549"/>
      <c r="AV998" s="549"/>
      <c r="AW998" s="549"/>
      <c r="AX998" s="549"/>
      <c r="AY998" s="549"/>
      <c r="AZ998" s="549"/>
      <c r="BA998" s="549"/>
      <c r="BB998" s="549"/>
      <c r="BC998" s="549"/>
      <c r="BD998" s="549"/>
      <c r="BE998" s="549"/>
      <c r="BF998" s="549"/>
      <c r="BG998" s="549"/>
      <c r="BH998" s="549"/>
      <c r="BI998" s="549"/>
    </row>
    <row r="999" spans="16:61" s="254" customFormat="1" ht="9.9">
      <c r="P999" s="549"/>
      <c r="Q999" s="549"/>
      <c r="R999" s="549"/>
      <c r="S999" s="549"/>
      <c r="T999" s="549"/>
      <c r="U999" s="549"/>
      <c r="V999" s="549"/>
      <c r="W999" s="549"/>
      <c r="X999" s="549"/>
      <c r="Y999" s="549"/>
      <c r="Z999" s="549"/>
      <c r="AA999" s="549"/>
      <c r="AB999" s="549"/>
      <c r="AC999" s="549"/>
      <c r="AD999" s="549"/>
      <c r="AE999" s="549"/>
      <c r="AF999" s="549"/>
      <c r="AG999" s="549"/>
      <c r="AH999" s="549"/>
      <c r="AI999" s="549"/>
      <c r="AJ999" s="549"/>
      <c r="AK999" s="549"/>
      <c r="AL999" s="549"/>
      <c r="AM999" s="549"/>
      <c r="AN999" s="549"/>
      <c r="AO999" s="549"/>
      <c r="AP999" s="549"/>
      <c r="AQ999" s="549"/>
      <c r="AR999" s="549"/>
      <c r="AS999" s="549"/>
      <c r="AT999" s="549"/>
      <c r="AU999" s="549"/>
      <c r="AV999" s="549"/>
      <c r="AW999" s="549"/>
      <c r="AX999" s="549"/>
      <c r="AY999" s="549"/>
      <c r="AZ999" s="549"/>
      <c r="BA999" s="549"/>
      <c r="BB999" s="549"/>
      <c r="BC999" s="549"/>
      <c r="BD999" s="549"/>
      <c r="BE999" s="549"/>
      <c r="BF999" s="549"/>
      <c r="BG999" s="549"/>
      <c r="BH999" s="549"/>
      <c r="BI999" s="549"/>
    </row>
    <row r="1000" spans="16:61" s="254" customFormat="1" ht="9.9">
      <c r="P1000" s="549"/>
      <c r="Q1000" s="549"/>
      <c r="R1000" s="549"/>
      <c r="S1000" s="549"/>
      <c r="T1000" s="549"/>
      <c r="U1000" s="549"/>
      <c r="V1000" s="549"/>
      <c r="W1000" s="549"/>
      <c r="X1000" s="549"/>
      <c r="Y1000" s="549"/>
      <c r="Z1000" s="549"/>
      <c r="AA1000" s="549"/>
      <c r="AB1000" s="549"/>
      <c r="AC1000" s="549"/>
      <c r="AD1000" s="549"/>
      <c r="AE1000" s="549"/>
      <c r="AF1000" s="549"/>
      <c r="AG1000" s="549"/>
      <c r="AH1000" s="549"/>
      <c r="AI1000" s="549"/>
      <c r="AJ1000" s="549"/>
      <c r="AK1000" s="549"/>
      <c r="AL1000" s="549"/>
      <c r="AM1000" s="549"/>
      <c r="AN1000" s="549"/>
      <c r="AO1000" s="549"/>
      <c r="AP1000" s="549"/>
      <c r="AQ1000" s="549"/>
      <c r="AR1000" s="549"/>
      <c r="AS1000" s="549"/>
      <c r="AT1000" s="549"/>
      <c r="AU1000" s="549"/>
      <c r="AV1000" s="549"/>
      <c r="AW1000" s="549"/>
      <c r="AX1000" s="549"/>
      <c r="AY1000" s="549"/>
      <c r="AZ1000" s="549"/>
      <c r="BA1000" s="549"/>
      <c r="BB1000" s="549"/>
      <c r="BC1000" s="549"/>
      <c r="BD1000" s="549"/>
      <c r="BE1000" s="549"/>
      <c r="BF1000" s="549"/>
      <c r="BG1000" s="549"/>
      <c r="BH1000" s="549"/>
      <c r="BI1000" s="549"/>
    </row>
    <row r="1001" spans="16:61" s="254" customFormat="1" ht="9.9">
      <c r="P1001" s="549"/>
      <c r="Q1001" s="549"/>
      <c r="R1001" s="549"/>
      <c r="S1001" s="549"/>
      <c r="T1001" s="549"/>
      <c r="U1001" s="549"/>
      <c r="V1001" s="549"/>
      <c r="W1001" s="549"/>
      <c r="X1001" s="549"/>
      <c r="Y1001" s="549"/>
      <c r="Z1001" s="549"/>
      <c r="AA1001" s="549"/>
      <c r="AB1001" s="549"/>
      <c r="AC1001" s="549"/>
      <c r="AD1001" s="549"/>
      <c r="AE1001" s="549"/>
      <c r="AF1001" s="549"/>
      <c r="AG1001" s="549"/>
      <c r="AH1001" s="549"/>
      <c r="AI1001" s="549"/>
      <c r="AJ1001" s="549"/>
      <c r="AK1001" s="549"/>
      <c r="AL1001" s="549"/>
      <c r="AM1001" s="549"/>
      <c r="AN1001" s="549"/>
      <c r="AO1001" s="549"/>
      <c r="AP1001" s="549"/>
      <c r="AQ1001" s="549"/>
      <c r="AR1001" s="549"/>
      <c r="AS1001" s="549"/>
      <c r="AT1001" s="549"/>
      <c r="AU1001" s="549"/>
      <c r="AV1001" s="549"/>
      <c r="AW1001" s="549"/>
      <c r="AX1001" s="549"/>
      <c r="AY1001" s="549"/>
      <c r="AZ1001" s="549"/>
      <c r="BA1001" s="549"/>
      <c r="BB1001" s="549"/>
      <c r="BC1001" s="549"/>
      <c r="BD1001" s="549"/>
      <c r="BE1001" s="549"/>
      <c r="BF1001" s="549"/>
      <c r="BG1001" s="549"/>
      <c r="BH1001" s="549"/>
      <c r="BI1001" s="549"/>
    </row>
    <row r="1002" spans="16:61" s="254" customFormat="1" ht="9.9">
      <c r="P1002" s="549"/>
      <c r="Q1002" s="549"/>
      <c r="R1002" s="549"/>
      <c r="S1002" s="549"/>
      <c r="T1002" s="549"/>
      <c r="U1002" s="549"/>
      <c r="V1002" s="549"/>
      <c r="W1002" s="549"/>
      <c r="X1002" s="549"/>
      <c r="Y1002" s="549"/>
      <c r="Z1002" s="549"/>
      <c r="AA1002" s="549"/>
      <c r="AB1002" s="549"/>
      <c r="AC1002" s="549"/>
      <c r="AD1002" s="549"/>
      <c r="AE1002" s="549"/>
      <c r="AF1002" s="549"/>
      <c r="AG1002" s="549"/>
      <c r="AH1002" s="549"/>
      <c r="AI1002" s="549"/>
      <c r="AJ1002" s="549"/>
      <c r="AK1002" s="549"/>
      <c r="AL1002" s="549"/>
      <c r="AM1002" s="549"/>
      <c r="AN1002" s="549"/>
      <c r="AO1002" s="549"/>
      <c r="AP1002" s="549"/>
      <c r="AQ1002" s="549"/>
      <c r="AR1002" s="549"/>
      <c r="AS1002" s="549"/>
      <c r="AT1002" s="549"/>
      <c r="AU1002" s="549"/>
      <c r="AV1002" s="549"/>
      <c r="AW1002" s="549"/>
      <c r="AX1002" s="549"/>
      <c r="AY1002" s="549"/>
      <c r="AZ1002" s="549"/>
      <c r="BA1002" s="549"/>
      <c r="BB1002" s="549"/>
      <c r="BC1002" s="549"/>
      <c r="BD1002" s="549"/>
      <c r="BE1002" s="549"/>
      <c r="BF1002" s="549"/>
      <c r="BG1002" s="549"/>
      <c r="BH1002" s="549"/>
      <c r="BI1002" s="549"/>
    </row>
    <row r="1003" spans="16:61" s="254" customFormat="1" ht="9.9">
      <c r="P1003" s="549"/>
      <c r="Q1003" s="549"/>
      <c r="R1003" s="549"/>
      <c r="S1003" s="549"/>
      <c r="T1003" s="549"/>
      <c r="U1003" s="549"/>
      <c r="V1003" s="549"/>
      <c r="W1003" s="549"/>
      <c r="X1003" s="549"/>
      <c r="Y1003" s="549"/>
      <c r="Z1003" s="549"/>
      <c r="AA1003" s="549"/>
      <c r="AB1003" s="549"/>
      <c r="AC1003" s="549"/>
      <c r="AD1003" s="549"/>
      <c r="AE1003" s="549"/>
      <c r="AF1003" s="549"/>
      <c r="AG1003" s="549"/>
      <c r="AH1003" s="549"/>
      <c r="AI1003" s="549"/>
      <c r="AJ1003" s="549"/>
      <c r="AK1003" s="549"/>
      <c r="AL1003" s="549"/>
      <c r="AM1003" s="549"/>
      <c r="AN1003" s="549"/>
      <c r="AO1003" s="549"/>
      <c r="AP1003" s="549"/>
      <c r="AQ1003" s="549"/>
      <c r="AR1003" s="549"/>
      <c r="AS1003" s="549"/>
      <c r="AT1003" s="549"/>
      <c r="AU1003" s="549"/>
      <c r="AV1003" s="549"/>
      <c r="AW1003" s="549"/>
      <c r="AX1003" s="549"/>
      <c r="AY1003" s="549"/>
      <c r="AZ1003" s="549"/>
      <c r="BA1003" s="549"/>
      <c r="BB1003" s="549"/>
      <c r="BC1003" s="549"/>
      <c r="BD1003" s="549"/>
      <c r="BE1003" s="549"/>
      <c r="BF1003" s="549"/>
      <c r="BG1003" s="549"/>
      <c r="BH1003" s="549"/>
      <c r="BI1003" s="549"/>
    </row>
    <row r="1004" spans="16:61" s="254" customFormat="1" ht="9.9">
      <c r="P1004" s="549"/>
      <c r="Q1004" s="549"/>
      <c r="R1004" s="549"/>
      <c r="S1004" s="549"/>
      <c r="T1004" s="549"/>
      <c r="U1004" s="549"/>
      <c r="V1004" s="549"/>
      <c r="W1004" s="549"/>
      <c r="X1004" s="549"/>
      <c r="Y1004" s="549"/>
      <c r="Z1004" s="549"/>
      <c r="AA1004" s="549"/>
      <c r="AB1004" s="549"/>
      <c r="AC1004" s="549"/>
      <c r="AD1004" s="549"/>
      <c r="AE1004" s="549"/>
      <c r="AF1004" s="549"/>
      <c r="AG1004" s="549"/>
      <c r="AH1004" s="549"/>
      <c r="AI1004" s="549"/>
      <c r="AJ1004" s="549"/>
      <c r="AK1004" s="549"/>
      <c r="AL1004" s="549"/>
      <c r="AM1004" s="549"/>
      <c r="AN1004" s="549"/>
      <c r="AO1004" s="549"/>
      <c r="AP1004" s="549"/>
      <c r="AQ1004" s="549"/>
      <c r="AR1004" s="549"/>
      <c r="AS1004" s="549"/>
      <c r="AT1004" s="549"/>
      <c r="AU1004" s="549"/>
      <c r="AV1004" s="549"/>
      <c r="AW1004" s="549"/>
      <c r="AX1004" s="549"/>
      <c r="AY1004" s="549"/>
      <c r="AZ1004" s="549"/>
      <c r="BA1004" s="549"/>
      <c r="BB1004" s="549"/>
      <c r="BC1004" s="549"/>
      <c r="BD1004" s="549"/>
      <c r="BE1004" s="549"/>
      <c r="BF1004" s="549"/>
      <c r="BG1004" s="549"/>
      <c r="BH1004" s="549"/>
      <c r="BI1004" s="549"/>
    </row>
    <row r="1005" spans="16:61" s="254" customFormat="1" ht="9.9">
      <c r="P1005" s="549"/>
      <c r="Q1005" s="549"/>
      <c r="R1005" s="549"/>
      <c r="S1005" s="549"/>
      <c r="T1005" s="549"/>
      <c r="U1005" s="549"/>
      <c r="V1005" s="549"/>
      <c r="W1005" s="549"/>
      <c r="X1005" s="549"/>
      <c r="Y1005" s="549"/>
      <c r="Z1005" s="549"/>
      <c r="AA1005" s="549"/>
      <c r="AB1005" s="549"/>
      <c r="AC1005" s="549"/>
      <c r="AD1005" s="549"/>
      <c r="AE1005" s="549"/>
      <c r="AF1005" s="549"/>
      <c r="AG1005" s="549"/>
      <c r="AH1005" s="549"/>
      <c r="AI1005" s="549"/>
      <c r="AJ1005" s="549"/>
      <c r="AK1005" s="549"/>
      <c r="AL1005" s="549"/>
      <c r="AM1005" s="549"/>
      <c r="AN1005" s="549"/>
      <c r="AO1005" s="549"/>
      <c r="AP1005" s="549"/>
      <c r="AQ1005" s="549"/>
      <c r="AR1005" s="549"/>
      <c r="AS1005" s="549"/>
      <c r="AT1005" s="549"/>
      <c r="AU1005" s="549"/>
      <c r="AV1005" s="549"/>
      <c r="AW1005" s="549"/>
      <c r="AX1005" s="549"/>
      <c r="AY1005" s="549"/>
      <c r="AZ1005" s="549"/>
      <c r="BA1005" s="549"/>
      <c r="BB1005" s="549"/>
      <c r="BC1005" s="549"/>
      <c r="BD1005" s="549"/>
      <c r="BE1005" s="549"/>
      <c r="BF1005" s="549"/>
      <c r="BG1005" s="549"/>
      <c r="BH1005" s="549"/>
      <c r="BI1005" s="549"/>
    </row>
    <row r="1006" spans="16:61" s="254" customFormat="1" ht="9.9">
      <c r="P1006" s="549"/>
      <c r="Q1006" s="549"/>
      <c r="R1006" s="549"/>
      <c r="S1006" s="549"/>
      <c r="T1006" s="549"/>
      <c r="U1006" s="549"/>
      <c r="V1006" s="549"/>
      <c r="W1006" s="549"/>
      <c r="X1006" s="549"/>
      <c r="Y1006" s="549"/>
      <c r="Z1006" s="549"/>
      <c r="AA1006" s="549"/>
      <c r="AB1006" s="549"/>
      <c r="AC1006" s="549"/>
      <c r="AD1006" s="549"/>
      <c r="AE1006" s="549"/>
      <c r="AF1006" s="549"/>
      <c r="AG1006" s="549"/>
      <c r="AH1006" s="549"/>
      <c r="AI1006" s="549"/>
      <c r="AJ1006" s="549"/>
      <c r="AK1006" s="549"/>
      <c r="AL1006" s="549"/>
      <c r="AM1006" s="549"/>
      <c r="AN1006" s="549"/>
      <c r="AO1006" s="549"/>
      <c r="AP1006" s="549"/>
      <c r="AQ1006" s="549"/>
      <c r="AR1006" s="549"/>
      <c r="AS1006" s="549"/>
      <c r="AT1006" s="549"/>
      <c r="AU1006" s="549"/>
      <c r="AV1006" s="549"/>
      <c r="AW1006" s="549"/>
      <c r="AX1006" s="549"/>
      <c r="AY1006" s="549"/>
      <c r="AZ1006" s="549"/>
      <c r="BA1006" s="549"/>
      <c r="BB1006" s="549"/>
      <c r="BC1006" s="549"/>
      <c r="BD1006" s="549"/>
      <c r="BE1006" s="549"/>
      <c r="BF1006" s="549"/>
      <c r="BG1006" s="549"/>
      <c r="BH1006" s="549"/>
      <c r="BI1006" s="549"/>
    </row>
    <row r="1007" spans="16:61" s="254" customFormat="1" ht="9.9">
      <c r="P1007" s="549"/>
      <c r="Q1007" s="549"/>
      <c r="R1007" s="549"/>
      <c r="S1007" s="549"/>
      <c r="T1007" s="549"/>
      <c r="U1007" s="549"/>
      <c r="V1007" s="549"/>
      <c r="W1007" s="549"/>
      <c r="X1007" s="549"/>
      <c r="Y1007" s="549"/>
      <c r="Z1007" s="549"/>
      <c r="AA1007" s="549"/>
      <c r="AB1007" s="549"/>
      <c r="AC1007" s="549"/>
      <c r="AD1007" s="549"/>
      <c r="AE1007" s="549"/>
      <c r="AF1007" s="549"/>
      <c r="AG1007" s="549"/>
      <c r="AH1007" s="549"/>
      <c r="AI1007" s="549"/>
      <c r="AJ1007" s="549"/>
      <c r="AK1007" s="549"/>
      <c r="AL1007" s="549"/>
      <c r="AM1007" s="549"/>
      <c r="AN1007" s="549"/>
      <c r="AO1007" s="549"/>
      <c r="AP1007" s="549"/>
      <c r="AQ1007" s="549"/>
      <c r="AR1007" s="549"/>
      <c r="AS1007" s="549"/>
      <c r="AT1007" s="549"/>
      <c r="AU1007" s="549"/>
      <c r="AV1007" s="549"/>
      <c r="AW1007" s="549"/>
      <c r="AX1007" s="549"/>
      <c r="AY1007" s="549"/>
      <c r="AZ1007" s="549"/>
      <c r="BA1007" s="549"/>
      <c r="BB1007" s="549"/>
      <c r="BC1007" s="549"/>
      <c r="BD1007" s="549"/>
      <c r="BE1007" s="549"/>
      <c r="BF1007" s="549"/>
      <c r="BG1007" s="549"/>
      <c r="BH1007" s="549"/>
      <c r="BI1007" s="549"/>
    </row>
    <row r="1008" spans="16:61" s="254" customFormat="1" ht="9.9">
      <c r="P1008" s="549"/>
      <c r="Q1008" s="549"/>
      <c r="R1008" s="549"/>
      <c r="S1008" s="549"/>
      <c r="T1008" s="549"/>
      <c r="U1008" s="549"/>
      <c r="V1008" s="549"/>
      <c r="W1008" s="549"/>
      <c r="X1008" s="549"/>
      <c r="Y1008" s="549"/>
      <c r="Z1008" s="549"/>
      <c r="AA1008" s="549"/>
      <c r="AB1008" s="549"/>
      <c r="AC1008" s="549"/>
      <c r="AD1008" s="549"/>
      <c r="AE1008" s="549"/>
      <c r="AF1008" s="549"/>
      <c r="AG1008" s="549"/>
      <c r="AH1008" s="549"/>
      <c r="AI1008" s="549"/>
      <c r="AJ1008" s="549"/>
      <c r="AK1008" s="549"/>
      <c r="AL1008" s="549"/>
      <c r="AM1008" s="549"/>
      <c r="AN1008" s="549"/>
      <c r="AO1008" s="549"/>
      <c r="AP1008" s="549"/>
      <c r="AQ1008" s="549"/>
      <c r="AR1008" s="549"/>
      <c r="AS1008" s="549"/>
      <c r="AT1008" s="549"/>
      <c r="AU1008" s="549"/>
      <c r="AV1008" s="549"/>
      <c r="AW1008" s="549"/>
      <c r="AX1008" s="549"/>
      <c r="AY1008" s="549"/>
      <c r="AZ1008" s="549"/>
      <c r="BA1008" s="549"/>
      <c r="BB1008" s="549"/>
      <c r="BC1008" s="549"/>
      <c r="BD1008" s="549"/>
      <c r="BE1008" s="549"/>
      <c r="BF1008" s="549"/>
      <c r="BG1008" s="549"/>
      <c r="BH1008" s="549"/>
      <c r="BI1008" s="549"/>
    </row>
    <row r="1009" spans="16:61" s="254" customFormat="1" ht="9.9">
      <c r="P1009" s="549"/>
      <c r="Q1009" s="549"/>
      <c r="R1009" s="549"/>
      <c r="S1009" s="549"/>
      <c r="T1009" s="549"/>
      <c r="U1009" s="549"/>
      <c r="V1009" s="549"/>
      <c r="W1009" s="549"/>
      <c r="X1009" s="549"/>
      <c r="Y1009" s="549"/>
      <c r="Z1009" s="549"/>
      <c r="AA1009" s="549"/>
      <c r="AB1009" s="549"/>
      <c r="AC1009" s="549"/>
      <c r="AD1009" s="549"/>
      <c r="AE1009" s="549"/>
      <c r="AF1009" s="549"/>
      <c r="AG1009" s="549"/>
      <c r="AH1009" s="549"/>
      <c r="AI1009" s="549"/>
      <c r="AJ1009" s="549"/>
      <c r="AK1009" s="549"/>
      <c r="AL1009" s="549"/>
      <c r="AM1009" s="549"/>
      <c r="AN1009" s="549"/>
      <c r="AO1009" s="549"/>
      <c r="AP1009" s="549"/>
      <c r="AQ1009" s="549"/>
      <c r="AR1009" s="549"/>
      <c r="AS1009" s="549"/>
      <c r="AT1009" s="549"/>
      <c r="AU1009" s="549"/>
      <c r="AV1009" s="549"/>
      <c r="AW1009" s="549"/>
      <c r="AX1009" s="549"/>
      <c r="AY1009" s="549"/>
      <c r="AZ1009" s="549"/>
      <c r="BA1009" s="549"/>
      <c r="BB1009" s="549"/>
      <c r="BC1009" s="549"/>
      <c r="BD1009" s="549"/>
      <c r="BE1009" s="549"/>
      <c r="BF1009" s="549"/>
      <c r="BG1009" s="549"/>
      <c r="BH1009" s="549"/>
      <c r="BI1009" s="549"/>
    </row>
    <row r="1010" spans="16:61" s="254" customFormat="1" ht="9.9">
      <c r="P1010" s="549"/>
      <c r="Q1010" s="549"/>
      <c r="R1010" s="549"/>
      <c r="S1010" s="549"/>
      <c r="T1010" s="549"/>
      <c r="U1010" s="549"/>
      <c r="V1010" s="549"/>
      <c r="W1010" s="549"/>
      <c r="X1010" s="549"/>
      <c r="Y1010" s="549"/>
      <c r="Z1010" s="549"/>
      <c r="AA1010" s="549"/>
      <c r="AB1010" s="549"/>
      <c r="AC1010" s="549"/>
      <c r="AD1010" s="549"/>
      <c r="AE1010" s="549"/>
      <c r="AF1010" s="549"/>
      <c r="AG1010" s="549"/>
      <c r="AH1010" s="549"/>
      <c r="AI1010" s="549"/>
      <c r="AJ1010" s="549"/>
      <c r="AK1010" s="549"/>
      <c r="AL1010" s="549"/>
      <c r="AM1010" s="549"/>
      <c r="AN1010" s="549"/>
      <c r="AO1010" s="549"/>
      <c r="AP1010" s="549"/>
      <c r="AQ1010" s="549"/>
      <c r="AR1010" s="549"/>
      <c r="AS1010" s="549"/>
      <c r="AT1010" s="549"/>
      <c r="AU1010" s="549"/>
      <c r="AV1010" s="549"/>
      <c r="AW1010" s="549"/>
      <c r="AX1010" s="549"/>
      <c r="AY1010" s="549"/>
      <c r="AZ1010" s="549"/>
      <c r="BA1010" s="549"/>
      <c r="BB1010" s="549"/>
      <c r="BC1010" s="549"/>
      <c r="BD1010" s="549"/>
      <c r="BE1010" s="549"/>
      <c r="BF1010" s="549"/>
      <c r="BG1010" s="549"/>
      <c r="BH1010" s="549"/>
      <c r="BI1010" s="549"/>
    </row>
    <row r="1011" spans="16:61" s="254" customFormat="1" ht="9.9">
      <c r="P1011" s="549"/>
      <c r="Q1011" s="549"/>
      <c r="R1011" s="549"/>
      <c r="S1011" s="549"/>
      <c r="T1011" s="549"/>
      <c r="U1011" s="549"/>
      <c r="V1011" s="549"/>
      <c r="W1011" s="549"/>
      <c r="X1011" s="549"/>
      <c r="Y1011" s="549"/>
      <c r="Z1011" s="549"/>
      <c r="AA1011" s="549"/>
      <c r="AB1011" s="549"/>
      <c r="AC1011" s="549"/>
      <c r="AD1011" s="549"/>
      <c r="AE1011" s="549"/>
      <c r="AF1011" s="549"/>
      <c r="AG1011" s="549"/>
      <c r="AH1011" s="549"/>
      <c r="AI1011" s="549"/>
      <c r="AJ1011" s="549"/>
      <c r="AK1011" s="549"/>
      <c r="AL1011" s="549"/>
      <c r="AM1011" s="549"/>
      <c r="AN1011" s="549"/>
      <c r="AO1011" s="549"/>
      <c r="AP1011" s="549"/>
      <c r="AQ1011" s="549"/>
      <c r="AR1011" s="549"/>
      <c r="AS1011" s="549"/>
      <c r="AT1011" s="549"/>
      <c r="AU1011" s="549"/>
      <c r="AV1011" s="549"/>
      <c r="AW1011" s="549"/>
      <c r="AX1011" s="549"/>
      <c r="AY1011" s="549"/>
      <c r="AZ1011" s="549"/>
      <c r="BA1011" s="549"/>
      <c r="BB1011" s="549"/>
      <c r="BC1011" s="549"/>
      <c r="BD1011" s="549"/>
      <c r="BE1011" s="549"/>
      <c r="BF1011" s="549"/>
      <c r="BG1011" s="549"/>
      <c r="BH1011" s="549"/>
      <c r="BI1011" s="549"/>
    </row>
    <row r="1012" spans="16:61" s="254" customFormat="1" ht="9.9">
      <c r="P1012" s="549"/>
      <c r="Q1012" s="549"/>
      <c r="R1012" s="549"/>
      <c r="S1012" s="549"/>
      <c r="T1012" s="549"/>
      <c r="U1012" s="549"/>
      <c r="V1012" s="549"/>
      <c r="W1012" s="549"/>
      <c r="X1012" s="549"/>
      <c r="Y1012" s="549"/>
      <c r="Z1012" s="549"/>
      <c r="AA1012" s="549"/>
      <c r="AB1012" s="549"/>
      <c r="AC1012" s="549"/>
      <c r="AD1012" s="549"/>
      <c r="AE1012" s="549"/>
      <c r="AF1012" s="549"/>
      <c r="AG1012" s="549"/>
      <c r="AH1012" s="549"/>
      <c r="AI1012" s="549"/>
      <c r="AJ1012" s="549"/>
      <c r="AK1012" s="549"/>
      <c r="AL1012" s="549"/>
      <c r="AM1012" s="549"/>
      <c r="AN1012" s="549"/>
      <c r="AO1012" s="549"/>
      <c r="AP1012" s="549"/>
      <c r="AQ1012" s="549"/>
      <c r="AR1012" s="549"/>
      <c r="AS1012" s="549"/>
      <c r="AT1012" s="549"/>
      <c r="AU1012" s="549"/>
      <c r="AV1012" s="549"/>
      <c r="AW1012" s="549"/>
      <c r="AX1012" s="549"/>
      <c r="AY1012" s="549"/>
      <c r="AZ1012" s="549"/>
      <c r="BA1012" s="549"/>
      <c r="BB1012" s="549"/>
      <c r="BC1012" s="549"/>
      <c r="BD1012" s="549"/>
      <c r="BE1012" s="549"/>
      <c r="BF1012" s="549"/>
      <c r="BG1012" s="549"/>
      <c r="BH1012" s="549"/>
      <c r="BI1012" s="549"/>
    </row>
    <row r="1013" spans="16:61" s="254" customFormat="1" ht="9.9">
      <c r="P1013" s="549"/>
      <c r="Q1013" s="549"/>
      <c r="R1013" s="549"/>
      <c r="S1013" s="549"/>
      <c r="T1013" s="549"/>
      <c r="U1013" s="549"/>
      <c r="V1013" s="549"/>
      <c r="W1013" s="549"/>
      <c r="X1013" s="549"/>
      <c r="Y1013" s="549"/>
      <c r="Z1013" s="549"/>
      <c r="AA1013" s="549"/>
      <c r="AB1013" s="549"/>
      <c r="AC1013" s="549"/>
      <c r="AD1013" s="549"/>
      <c r="AE1013" s="549"/>
      <c r="AF1013" s="549"/>
      <c r="AG1013" s="549"/>
      <c r="AH1013" s="549"/>
      <c r="AI1013" s="549"/>
      <c r="AJ1013" s="549"/>
      <c r="AK1013" s="549"/>
      <c r="AL1013" s="549"/>
      <c r="AM1013" s="549"/>
      <c r="AN1013" s="549"/>
      <c r="AO1013" s="549"/>
      <c r="AP1013" s="549"/>
      <c r="AQ1013" s="549"/>
      <c r="AR1013" s="549"/>
      <c r="AS1013" s="549"/>
      <c r="AT1013" s="549"/>
      <c r="AU1013" s="549"/>
      <c r="AV1013" s="549"/>
      <c r="AW1013" s="549"/>
      <c r="AX1013" s="549"/>
      <c r="AY1013" s="549"/>
      <c r="AZ1013" s="549"/>
      <c r="BA1013" s="549"/>
      <c r="BB1013" s="549"/>
      <c r="BC1013" s="549"/>
      <c r="BD1013" s="549"/>
      <c r="BE1013" s="549"/>
      <c r="BF1013" s="549"/>
      <c r="BG1013" s="549"/>
      <c r="BH1013" s="549"/>
      <c r="BI1013" s="549"/>
    </row>
    <row r="1014" spans="16:61" s="254" customFormat="1" ht="9.9">
      <c r="P1014" s="549"/>
      <c r="Q1014" s="549"/>
      <c r="R1014" s="549"/>
      <c r="S1014" s="549"/>
      <c r="T1014" s="549"/>
      <c r="U1014" s="549"/>
      <c r="V1014" s="549"/>
      <c r="W1014" s="549"/>
      <c r="X1014" s="549"/>
      <c r="Y1014" s="549"/>
      <c r="Z1014" s="549"/>
      <c r="AA1014" s="549"/>
      <c r="AB1014" s="549"/>
      <c r="AC1014" s="549"/>
      <c r="AD1014" s="549"/>
      <c r="AE1014" s="549"/>
      <c r="AF1014" s="549"/>
      <c r="AG1014" s="549"/>
      <c r="AH1014" s="549"/>
      <c r="AI1014" s="549"/>
      <c r="AJ1014" s="549"/>
      <c r="AK1014" s="549"/>
      <c r="AL1014" s="549"/>
      <c r="AM1014" s="549"/>
      <c r="AN1014" s="549"/>
      <c r="AO1014" s="549"/>
      <c r="AP1014" s="549"/>
      <c r="AQ1014" s="549"/>
      <c r="AR1014" s="549"/>
      <c r="AS1014" s="549"/>
      <c r="AT1014" s="549"/>
      <c r="AU1014" s="549"/>
      <c r="AV1014" s="549"/>
      <c r="AW1014" s="549"/>
      <c r="AX1014" s="549"/>
      <c r="AY1014" s="549"/>
      <c r="AZ1014" s="549"/>
      <c r="BA1014" s="549"/>
      <c r="BB1014" s="549"/>
      <c r="BC1014" s="549"/>
      <c r="BD1014" s="549"/>
      <c r="BE1014" s="549"/>
      <c r="BF1014" s="549"/>
      <c r="BG1014" s="549"/>
      <c r="BH1014" s="549"/>
      <c r="BI1014" s="549"/>
    </row>
    <row r="1015" spans="16:61" s="254" customFormat="1" ht="9.9">
      <c r="P1015" s="549"/>
      <c r="Q1015" s="549"/>
      <c r="R1015" s="549"/>
      <c r="S1015" s="549"/>
      <c r="T1015" s="549"/>
      <c r="U1015" s="549"/>
      <c r="V1015" s="549"/>
      <c r="W1015" s="549"/>
      <c r="X1015" s="549"/>
      <c r="Y1015" s="549"/>
      <c r="Z1015" s="549"/>
      <c r="AA1015" s="549"/>
      <c r="AB1015" s="549"/>
      <c r="AC1015" s="549"/>
      <c r="AD1015" s="549"/>
      <c r="AE1015" s="549"/>
      <c r="AF1015" s="549"/>
      <c r="AG1015" s="549"/>
      <c r="AH1015" s="549"/>
      <c r="AI1015" s="549"/>
      <c r="AJ1015" s="549"/>
      <c r="AK1015" s="549"/>
      <c r="AL1015" s="549"/>
      <c r="AM1015" s="549"/>
      <c r="AN1015" s="549"/>
      <c r="AO1015" s="549"/>
      <c r="AP1015" s="549"/>
      <c r="AQ1015" s="549"/>
      <c r="AR1015" s="549"/>
      <c r="AS1015" s="549"/>
      <c r="AT1015" s="549"/>
      <c r="AU1015" s="549"/>
      <c r="AV1015" s="549"/>
      <c r="AW1015" s="549"/>
      <c r="AX1015" s="549"/>
      <c r="AY1015" s="549"/>
      <c r="AZ1015" s="549"/>
      <c r="BA1015" s="549"/>
      <c r="BB1015" s="549"/>
      <c r="BC1015" s="549"/>
      <c r="BD1015" s="549"/>
      <c r="BE1015" s="549"/>
      <c r="BF1015" s="549"/>
      <c r="BG1015" s="549"/>
      <c r="BH1015" s="549"/>
      <c r="BI1015" s="549"/>
    </row>
    <row r="1016" spans="16:61" s="254" customFormat="1" ht="9.9">
      <c r="P1016" s="549"/>
      <c r="Q1016" s="549"/>
      <c r="R1016" s="549"/>
      <c r="S1016" s="549"/>
      <c r="T1016" s="549"/>
      <c r="U1016" s="549"/>
      <c r="V1016" s="549"/>
      <c r="W1016" s="549"/>
      <c r="X1016" s="549"/>
      <c r="Y1016" s="549"/>
      <c r="Z1016" s="549"/>
      <c r="AA1016" s="549"/>
      <c r="AB1016" s="549"/>
      <c r="AC1016" s="549"/>
      <c r="AD1016" s="549"/>
      <c r="AE1016" s="549"/>
      <c r="AF1016" s="549"/>
      <c r="AG1016" s="549"/>
      <c r="AH1016" s="549"/>
      <c r="AI1016" s="549"/>
      <c r="AJ1016" s="549"/>
      <c r="AK1016" s="549"/>
      <c r="AL1016" s="549"/>
      <c r="AM1016" s="549"/>
      <c r="AN1016" s="549"/>
      <c r="AO1016" s="549"/>
      <c r="AP1016" s="549"/>
      <c r="AQ1016" s="549"/>
      <c r="AR1016" s="549"/>
      <c r="AS1016" s="549"/>
      <c r="AT1016" s="549"/>
      <c r="AU1016" s="549"/>
      <c r="AV1016" s="549"/>
      <c r="AW1016" s="549"/>
      <c r="AX1016" s="549"/>
      <c r="AY1016" s="549"/>
      <c r="AZ1016" s="549"/>
      <c r="BA1016" s="549"/>
      <c r="BB1016" s="549"/>
      <c r="BC1016" s="549"/>
      <c r="BD1016" s="549"/>
      <c r="BE1016" s="549"/>
      <c r="BF1016" s="549"/>
      <c r="BG1016" s="549"/>
      <c r="BH1016" s="549"/>
      <c r="BI1016" s="549"/>
    </row>
    <row r="1017" spans="16:61" s="254" customFormat="1" ht="9.9">
      <c r="P1017" s="549"/>
      <c r="Q1017" s="549"/>
      <c r="R1017" s="549"/>
      <c r="S1017" s="549"/>
      <c r="T1017" s="549"/>
      <c r="U1017" s="549"/>
      <c r="V1017" s="549"/>
      <c r="W1017" s="549"/>
      <c r="X1017" s="549"/>
      <c r="Y1017" s="549"/>
      <c r="Z1017" s="549"/>
      <c r="AA1017" s="549"/>
      <c r="AB1017" s="549"/>
      <c r="AC1017" s="549"/>
      <c r="AD1017" s="549"/>
      <c r="AE1017" s="549"/>
      <c r="AF1017" s="549"/>
      <c r="AG1017" s="549"/>
      <c r="AH1017" s="549"/>
      <c r="AI1017" s="549"/>
      <c r="AJ1017" s="549"/>
      <c r="AK1017" s="549"/>
      <c r="AL1017" s="549"/>
      <c r="AM1017" s="549"/>
      <c r="AN1017" s="549"/>
      <c r="AO1017" s="549"/>
      <c r="AP1017" s="549"/>
      <c r="AQ1017" s="549"/>
      <c r="AR1017" s="549"/>
      <c r="AS1017" s="549"/>
      <c r="AT1017" s="549"/>
      <c r="AU1017" s="549"/>
      <c r="AV1017" s="549"/>
      <c r="AW1017" s="549"/>
      <c r="AX1017" s="549"/>
      <c r="AY1017" s="549"/>
      <c r="AZ1017" s="549"/>
      <c r="BA1017" s="549"/>
      <c r="BB1017" s="549"/>
      <c r="BC1017" s="549"/>
      <c r="BD1017" s="549"/>
      <c r="BE1017" s="549"/>
      <c r="BF1017" s="549"/>
      <c r="BG1017" s="549"/>
      <c r="BH1017" s="549"/>
      <c r="BI1017" s="549"/>
    </row>
    <row r="1018" spans="16:61" s="254" customFormat="1" ht="9.9">
      <c r="P1018" s="549"/>
      <c r="Q1018" s="549"/>
      <c r="R1018" s="549"/>
      <c r="S1018" s="549"/>
      <c r="T1018" s="549"/>
      <c r="U1018" s="549"/>
      <c r="V1018" s="549"/>
      <c r="W1018" s="549"/>
      <c r="X1018" s="549"/>
      <c r="Y1018" s="549"/>
      <c r="Z1018" s="549"/>
      <c r="AA1018" s="549"/>
      <c r="AB1018" s="549"/>
      <c r="AC1018" s="549"/>
      <c r="AD1018" s="549"/>
      <c r="AE1018" s="549"/>
      <c r="AF1018" s="549"/>
      <c r="AG1018" s="549"/>
      <c r="AH1018" s="549"/>
      <c r="AI1018" s="549"/>
      <c r="AJ1018" s="549"/>
      <c r="AK1018" s="549"/>
      <c r="AL1018" s="549"/>
      <c r="AM1018" s="549"/>
      <c r="AN1018" s="549"/>
      <c r="AO1018" s="549"/>
      <c r="AP1018" s="549"/>
      <c r="AQ1018" s="549"/>
      <c r="AR1018" s="549"/>
      <c r="AS1018" s="549"/>
      <c r="AT1018" s="549"/>
      <c r="AU1018" s="549"/>
      <c r="AV1018" s="549"/>
      <c r="AW1018" s="549"/>
      <c r="AX1018" s="549"/>
      <c r="AY1018" s="549"/>
      <c r="AZ1018" s="549"/>
      <c r="BA1018" s="549"/>
      <c r="BB1018" s="549"/>
      <c r="BC1018" s="549"/>
      <c r="BD1018" s="549"/>
      <c r="BE1018" s="549"/>
      <c r="BF1018" s="549"/>
      <c r="BG1018" s="549"/>
      <c r="BH1018" s="549"/>
      <c r="BI1018" s="549"/>
    </row>
    <row r="1019" spans="16:61" s="254" customFormat="1" ht="9.9">
      <c r="P1019" s="549"/>
      <c r="Q1019" s="549"/>
      <c r="R1019" s="549"/>
      <c r="S1019" s="549"/>
      <c r="T1019" s="549"/>
      <c r="U1019" s="549"/>
      <c r="V1019" s="549"/>
      <c r="W1019" s="549"/>
      <c r="X1019" s="549"/>
      <c r="Y1019" s="549"/>
      <c r="Z1019" s="549"/>
      <c r="AA1019" s="549"/>
      <c r="AB1019" s="549"/>
      <c r="AC1019" s="549"/>
      <c r="AD1019" s="549"/>
      <c r="AE1019" s="549"/>
      <c r="AF1019" s="549"/>
      <c r="AG1019" s="549"/>
      <c r="AH1019" s="549"/>
      <c r="AI1019" s="549"/>
      <c r="AJ1019" s="549"/>
      <c r="AK1019" s="549"/>
      <c r="AL1019" s="549"/>
      <c r="AM1019" s="549"/>
      <c r="AN1019" s="549"/>
      <c r="AO1019" s="549"/>
      <c r="AP1019" s="549"/>
      <c r="AQ1019" s="549"/>
      <c r="AR1019" s="549"/>
      <c r="AS1019" s="549"/>
      <c r="AT1019" s="549"/>
      <c r="AU1019" s="549"/>
      <c r="AV1019" s="549"/>
      <c r="AW1019" s="549"/>
      <c r="AX1019" s="549"/>
      <c r="AY1019" s="549"/>
      <c r="AZ1019" s="549"/>
      <c r="BA1019" s="549"/>
      <c r="BB1019" s="549"/>
      <c r="BC1019" s="549"/>
      <c r="BD1019" s="549"/>
      <c r="BE1019" s="549"/>
      <c r="BF1019" s="549"/>
      <c r="BG1019" s="549"/>
      <c r="BH1019" s="549"/>
      <c r="BI1019" s="549"/>
    </row>
    <row r="1020" spans="16:61" s="254" customFormat="1" ht="9.9">
      <c r="P1020" s="549"/>
      <c r="Q1020" s="549"/>
      <c r="R1020" s="549"/>
      <c r="S1020" s="549"/>
      <c r="T1020" s="549"/>
      <c r="U1020" s="549"/>
      <c r="V1020" s="549"/>
      <c r="W1020" s="549"/>
      <c r="X1020" s="549"/>
      <c r="Y1020" s="549"/>
      <c r="Z1020" s="549"/>
      <c r="AA1020" s="549"/>
      <c r="AB1020" s="549"/>
      <c r="AC1020" s="549"/>
      <c r="AD1020" s="549"/>
      <c r="AE1020" s="549"/>
      <c r="AF1020" s="549"/>
      <c r="AG1020" s="549"/>
      <c r="AH1020" s="549"/>
      <c r="AI1020" s="549"/>
      <c r="AJ1020" s="549"/>
      <c r="AK1020" s="549"/>
      <c r="AL1020" s="549"/>
      <c r="AM1020" s="549"/>
      <c r="AN1020" s="549"/>
      <c r="AO1020" s="549"/>
      <c r="AP1020" s="549"/>
      <c r="AQ1020" s="549"/>
      <c r="AR1020" s="549"/>
      <c r="AS1020" s="549"/>
      <c r="AT1020" s="549"/>
      <c r="AU1020" s="549"/>
      <c r="AV1020" s="549"/>
      <c r="AW1020" s="549"/>
      <c r="AX1020" s="549"/>
      <c r="AY1020" s="549"/>
      <c r="AZ1020" s="549"/>
      <c r="BA1020" s="549"/>
      <c r="BB1020" s="549"/>
      <c r="BC1020" s="549"/>
      <c r="BD1020" s="549"/>
      <c r="BE1020" s="549"/>
      <c r="BF1020" s="549"/>
      <c r="BG1020" s="549"/>
      <c r="BH1020" s="549"/>
      <c r="BI1020" s="549"/>
    </row>
    <row r="1021" spans="16:61" s="254" customFormat="1" ht="9.9">
      <c r="P1021" s="549"/>
      <c r="Q1021" s="549"/>
      <c r="R1021" s="549"/>
      <c r="S1021" s="549"/>
      <c r="T1021" s="549"/>
      <c r="U1021" s="549"/>
      <c r="V1021" s="549"/>
      <c r="W1021" s="549"/>
      <c r="X1021" s="549"/>
      <c r="Y1021" s="549"/>
      <c r="Z1021" s="549"/>
      <c r="AA1021" s="549"/>
      <c r="AB1021" s="549"/>
      <c r="AC1021" s="549"/>
      <c r="AD1021" s="549"/>
      <c r="AE1021" s="549"/>
      <c r="AF1021" s="549"/>
      <c r="AG1021" s="549"/>
      <c r="AH1021" s="549"/>
      <c r="AI1021" s="549"/>
      <c r="AJ1021" s="549"/>
      <c r="AK1021" s="549"/>
      <c r="AL1021" s="549"/>
      <c r="AM1021" s="549"/>
      <c r="AN1021" s="549"/>
      <c r="AO1021" s="549"/>
      <c r="AP1021" s="549"/>
      <c r="AQ1021" s="549"/>
      <c r="AR1021" s="549"/>
      <c r="AS1021" s="549"/>
      <c r="AT1021" s="549"/>
      <c r="AU1021" s="549"/>
      <c r="AV1021" s="549"/>
      <c r="AW1021" s="549"/>
      <c r="AX1021" s="549"/>
      <c r="AY1021" s="549"/>
      <c r="AZ1021" s="549"/>
      <c r="BA1021" s="549"/>
      <c r="BB1021" s="549"/>
      <c r="BC1021" s="549"/>
      <c r="BD1021" s="549"/>
      <c r="BE1021" s="549"/>
      <c r="BF1021" s="549"/>
      <c r="BG1021" s="549"/>
      <c r="BH1021" s="549"/>
      <c r="BI1021" s="549"/>
    </row>
    <row r="1022" spans="16:61" s="254" customFormat="1" ht="9.9">
      <c r="P1022" s="549"/>
      <c r="Q1022" s="549"/>
      <c r="R1022" s="549"/>
      <c r="S1022" s="549"/>
      <c r="T1022" s="549"/>
      <c r="U1022" s="549"/>
      <c r="V1022" s="549"/>
      <c r="W1022" s="549"/>
      <c r="X1022" s="549"/>
      <c r="Y1022" s="549"/>
      <c r="Z1022" s="549"/>
      <c r="AA1022" s="549"/>
      <c r="AB1022" s="549"/>
      <c r="AC1022" s="549"/>
      <c r="AD1022" s="549"/>
      <c r="AE1022" s="549"/>
      <c r="AF1022" s="549"/>
      <c r="AG1022" s="549"/>
      <c r="AH1022" s="549"/>
      <c r="AI1022" s="549"/>
      <c r="AJ1022" s="549"/>
      <c r="AK1022" s="549"/>
      <c r="AL1022" s="549"/>
      <c r="AM1022" s="549"/>
      <c r="AN1022" s="549"/>
      <c r="AO1022" s="549"/>
      <c r="AP1022" s="549"/>
      <c r="AQ1022" s="549"/>
      <c r="AR1022" s="549"/>
      <c r="AS1022" s="549"/>
      <c r="AT1022" s="549"/>
      <c r="AU1022" s="549"/>
      <c r="AV1022" s="549"/>
      <c r="AW1022" s="549"/>
      <c r="AX1022" s="549"/>
      <c r="AY1022" s="549"/>
      <c r="AZ1022" s="549"/>
      <c r="BA1022" s="549"/>
      <c r="BB1022" s="549"/>
      <c r="BC1022" s="549"/>
      <c r="BD1022" s="549"/>
      <c r="BE1022" s="549"/>
      <c r="BF1022" s="549"/>
      <c r="BG1022" s="549"/>
      <c r="BH1022" s="549"/>
      <c r="BI1022" s="549"/>
    </row>
    <row r="1023" spans="16:61" s="254" customFormat="1" ht="9.9">
      <c r="P1023" s="549"/>
      <c r="Q1023" s="549"/>
      <c r="R1023" s="549"/>
      <c r="S1023" s="549"/>
      <c r="T1023" s="549"/>
      <c r="U1023" s="549"/>
      <c r="V1023" s="549"/>
      <c r="W1023" s="549"/>
      <c r="X1023" s="549"/>
      <c r="Y1023" s="549"/>
      <c r="Z1023" s="549"/>
      <c r="AA1023" s="549"/>
      <c r="AB1023" s="549"/>
      <c r="AC1023" s="549"/>
      <c r="AD1023" s="549"/>
      <c r="AE1023" s="549"/>
      <c r="AF1023" s="549"/>
      <c r="AG1023" s="549"/>
      <c r="AH1023" s="549"/>
      <c r="AI1023" s="549"/>
      <c r="AJ1023" s="549"/>
      <c r="AK1023" s="549"/>
      <c r="AL1023" s="549"/>
      <c r="AM1023" s="549"/>
      <c r="AN1023" s="549"/>
      <c r="AO1023" s="549"/>
      <c r="AP1023" s="549"/>
      <c r="AQ1023" s="549"/>
      <c r="AR1023" s="549"/>
      <c r="AS1023" s="549"/>
      <c r="AT1023" s="549"/>
      <c r="AU1023" s="549"/>
      <c r="AV1023" s="549"/>
      <c r="AW1023" s="549"/>
      <c r="AX1023" s="549"/>
      <c r="AY1023" s="549"/>
      <c r="AZ1023" s="549"/>
      <c r="BA1023" s="549"/>
      <c r="BB1023" s="549"/>
      <c r="BC1023" s="549"/>
      <c r="BD1023" s="549"/>
      <c r="BE1023" s="549"/>
      <c r="BF1023" s="549"/>
      <c r="BG1023" s="549"/>
      <c r="BH1023" s="549"/>
      <c r="BI1023" s="549"/>
    </row>
    <row r="1024" spans="16:61" s="254" customFormat="1" ht="9.9">
      <c r="P1024" s="549"/>
      <c r="Q1024" s="549"/>
      <c r="R1024" s="549"/>
      <c r="S1024" s="549"/>
      <c r="T1024" s="549"/>
      <c r="U1024" s="549"/>
      <c r="V1024" s="549"/>
      <c r="W1024" s="549"/>
      <c r="X1024" s="549"/>
      <c r="Y1024" s="549"/>
      <c r="Z1024" s="549"/>
      <c r="AA1024" s="549"/>
      <c r="AB1024" s="549"/>
      <c r="AC1024" s="549"/>
      <c r="AD1024" s="549"/>
      <c r="AE1024" s="549"/>
      <c r="AF1024" s="549"/>
      <c r="AG1024" s="549"/>
      <c r="AH1024" s="549"/>
      <c r="AI1024" s="549"/>
      <c r="AJ1024" s="549"/>
      <c r="AK1024" s="549"/>
      <c r="AL1024" s="549"/>
      <c r="AM1024" s="549"/>
      <c r="AN1024" s="549"/>
      <c r="AO1024" s="549"/>
      <c r="AP1024" s="549"/>
      <c r="AQ1024" s="549"/>
      <c r="AR1024" s="549"/>
      <c r="AS1024" s="549"/>
      <c r="AT1024" s="549"/>
      <c r="AU1024" s="549"/>
      <c r="AV1024" s="549"/>
      <c r="AW1024" s="549"/>
      <c r="AX1024" s="549"/>
      <c r="AY1024" s="549"/>
      <c r="AZ1024" s="549"/>
      <c r="BA1024" s="549"/>
      <c r="BB1024" s="549"/>
      <c r="BC1024" s="549"/>
      <c r="BD1024" s="549"/>
      <c r="BE1024" s="549"/>
      <c r="BF1024" s="549"/>
      <c r="BG1024" s="549"/>
      <c r="BH1024" s="549"/>
      <c r="BI1024" s="549"/>
    </row>
    <row r="1025" spans="16:61" s="254" customFormat="1" ht="9.9">
      <c r="P1025" s="549"/>
      <c r="Q1025" s="549"/>
      <c r="R1025" s="549"/>
      <c r="S1025" s="549"/>
      <c r="T1025" s="549"/>
      <c r="U1025" s="549"/>
      <c r="V1025" s="549"/>
      <c r="W1025" s="549"/>
      <c r="X1025" s="549"/>
      <c r="Y1025" s="549"/>
      <c r="Z1025" s="549"/>
      <c r="AA1025" s="549"/>
      <c r="AB1025" s="549"/>
      <c r="AC1025" s="549"/>
      <c r="AD1025" s="549"/>
      <c r="AE1025" s="549"/>
      <c r="AF1025" s="549"/>
      <c r="AG1025" s="549"/>
      <c r="AH1025" s="549"/>
      <c r="AI1025" s="549"/>
      <c r="AJ1025" s="549"/>
      <c r="AK1025" s="549"/>
      <c r="AL1025" s="549"/>
      <c r="AM1025" s="549"/>
      <c r="AN1025" s="549"/>
      <c r="AO1025" s="549"/>
      <c r="AP1025" s="549"/>
      <c r="AQ1025" s="549"/>
      <c r="AR1025" s="549"/>
      <c r="AS1025" s="549"/>
      <c r="AT1025" s="549"/>
      <c r="AU1025" s="549"/>
      <c r="AV1025" s="549"/>
      <c r="AW1025" s="549"/>
      <c r="AX1025" s="549"/>
      <c r="AY1025" s="549"/>
      <c r="AZ1025" s="549"/>
      <c r="BA1025" s="549"/>
      <c r="BB1025" s="549"/>
      <c r="BC1025" s="549"/>
      <c r="BD1025" s="549"/>
      <c r="BE1025" s="549"/>
      <c r="BF1025" s="549"/>
      <c r="BG1025" s="549"/>
      <c r="BH1025" s="549"/>
      <c r="BI1025" s="549"/>
    </row>
    <row r="1026" spans="16:61" s="254" customFormat="1" ht="9.9">
      <c r="P1026" s="549"/>
      <c r="Q1026" s="549"/>
      <c r="R1026" s="549"/>
      <c r="S1026" s="549"/>
      <c r="T1026" s="549"/>
      <c r="U1026" s="549"/>
      <c r="V1026" s="549"/>
      <c r="W1026" s="549"/>
      <c r="X1026" s="549"/>
      <c r="Y1026" s="549"/>
      <c r="Z1026" s="549"/>
      <c r="AA1026" s="549"/>
      <c r="AB1026" s="549"/>
      <c r="AC1026" s="549"/>
      <c r="AD1026" s="549"/>
      <c r="AE1026" s="549"/>
      <c r="AF1026" s="549"/>
      <c r="AG1026" s="549"/>
      <c r="AH1026" s="549"/>
      <c r="AI1026" s="549"/>
      <c r="AJ1026" s="549"/>
      <c r="AK1026" s="549"/>
      <c r="AL1026" s="549"/>
      <c r="AM1026" s="549"/>
      <c r="AN1026" s="549"/>
      <c r="AO1026" s="549"/>
      <c r="AP1026" s="549"/>
      <c r="AQ1026" s="549"/>
      <c r="AR1026" s="549"/>
      <c r="AS1026" s="549"/>
      <c r="AT1026" s="549"/>
      <c r="AU1026" s="549"/>
      <c r="AV1026" s="549"/>
      <c r="AW1026" s="549"/>
      <c r="AX1026" s="549"/>
      <c r="AY1026" s="549"/>
      <c r="AZ1026" s="549"/>
      <c r="BA1026" s="549"/>
      <c r="BB1026" s="549"/>
      <c r="BC1026" s="549"/>
      <c r="BD1026" s="549"/>
      <c r="BE1026" s="549"/>
      <c r="BF1026" s="549"/>
      <c r="BG1026" s="549"/>
      <c r="BH1026" s="549"/>
      <c r="BI1026" s="549"/>
    </row>
    <row r="1027" spans="16:61" s="254" customFormat="1" ht="9.9">
      <c r="P1027" s="549"/>
      <c r="Q1027" s="549"/>
      <c r="R1027" s="549"/>
      <c r="S1027" s="549"/>
      <c r="T1027" s="549"/>
      <c r="U1027" s="549"/>
      <c r="V1027" s="549"/>
      <c r="W1027" s="549"/>
      <c r="X1027" s="549"/>
      <c r="Y1027" s="549"/>
      <c r="Z1027" s="549"/>
      <c r="AA1027" s="549"/>
      <c r="AB1027" s="549"/>
      <c r="AC1027" s="549"/>
      <c r="AD1027" s="549"/>
      <c r="AE1027" s="549"/>
      <c r="AF1027" s="549"/>
      <c r="AG1027" s="549"/>
      <c r="AH1027" s="549"/>
      <c r="AI1027" s="549"/>
      <c r="AJ1027" s="549"/>
      <c r="AK1027" s="549"/>
      <c r="AL1027" s="549"/>
      <c r="AM1027" s="549"/>
      <c r="AN1027" s="549"/>
      <c r="AO1027" s="549"/>
      <c r="AP1027" s="549"/>
      <c r="AQ1027" s="549"/>
      <c r="AR1027" s="549"/>
      <c r="AS1027" s="549"/>
      <c r="AT1027" s="549"/>
      <c r="AU1027" s="549"/>
      <c r="AV1027" s="549"/>
      <c r="AW1027" s="549"/>
      <c r="AX1027" s="549"/>
      <c r="AY1027" s="549"/>
      <c r="AZ1027" s="549"/>
      <c r="BA1027" s="549"/>
      <c r="BB1027" s="549"/>
      <c r="BC1027" s="549"/>
      <c r="BD1027" s="549"/>
      <c r="BE1027" s="549"/>
      <c r="BF1027" s="549"/>
      <c r="BG1027" s="549"/>
      <c r="BH1027" s="549"/>
      <c r="BI1027" s="549"/>
    </row>
    <row r="1028" spans="16:61" s="254" customFormat="1" ht="9.9">
      <c r="P1028" s="549"/>
      <c r="Q1028" s="549"/>
      <c r="R1028" s="549"/>
      <c r="S1028" s="549"/>
      <c r="T1028" s="549"/>
      <c r="U1028" s="549"/>
      <c r="V1028" s="549"/>
      <c r="W1028" s="549"/>
      <c r="X1028" s="549"/>
      <c r="Y1028" s="549"/>
      <c r="Z1028" s="549"/>
      <c r="AA1028" s="549"/>
      <c r="AB1028" s="549"/>
      <c r="AC1028" s="549"/>
      <c r="AD1028" s="549"/>
      <c r="AE1028" s="549"/>
      <c r="AF1028" s="549"/>
      <c r="AG1028" s="549"/>
      <c r="AH1028" s="549"/>
      <c r="AI1028" s="549"/>
      <c r="AJ1028" s="549"/>
      <c r="AK1028" s="549"/>
      <c r="AL1028" s="549"/>
      <c r="AM1028" s="549"/>
      <c r="AN1028" s="549"/>
      <c r="AO1028" s="549"/>
      <c r="AP1028" s="549"/>
      <c r="AQ1028" s="549"/>
      <c r="AR1028" s="549"/>
      <c r="AS1028" s="549"/>
      <c r="AT1028" s="549"/>
      <c r="AU1028" s="549"/>
      <c r="AV1028" s="549"/>
      <c r="AW1028" s="549"/>
      <c r="AX1028" s="549"/>
      <c r="AY1028" s="549"/>
      <c r="AZ1028" s="549"/>
      <c r="BA1028" s="549"/>
      <c r="BB1028" s="549"/>
      <c r="BC1028" s="549"/>
      <c r="BD1028" s="549"/>
      <c r="BE1028" s="549"/>
      <c r="BF1028" s="549"/>
      <c r="BG1028" s="549"/>
      <c r="BH1028" s="549"/>
      <c r="BI1028" s="549"/>
    </row>
    <row r="1029" spans="16:61" s="254" customFormat="1" ht="9.9">
      <c r="P1029" s="549"/>
      <c r="Q1029" s="549"/>
      <c r="R1029" s="549"/>
      <c r="S1029" s="549"/>
      <c r="T1029" s="549"/>
      <c r="U1029" s="549"/>
      <c r="V1029" s="549"/>
      <c r="W1029" s="549"/>
      <c r="X1029" s="549"/>
      <c r="Y1029" s="549"/>
      <c r="Z1029" s="549"/>
      <c r="AA1029" s="549"/>
      <c r="AB1029" s="549"/>
      <c r="AC1029" s="549"/>
      <c r="AD1029" s="549"/>
      <c r="AE1029" s="549"/>
      <c r="AF1029" s="549"/>
      <c r="AG1029" s="549"/>
      <c r="AH1029" s="549"/>
      <c r="AI1029" s="549"/>
      <c r="AJ1029" s="549"/>
      <c r="AK1029" s="549"/>
      <c r="AL1029" s="549"/>
      <c r="AM1029" s="549"/>
      <c r="AN1029" s="549"/>
      <c r="AO1029" s="549"/>
      <c r="AP1029" s="549"/>
      <c r="AQ1029" s="549"/>
      <c r="AR1029" s="549"/>
      <c r="AS1029" s="549"/>
      <c r="AT1029" s="549"/>
      <c r="AU1029" s="549"/>
      <c r="AV1029" s="549"/>
      <c r="AW1029" s="549"/>
      <c r="AX1029" s="549"/>
      <c r="AY1029" s="549"/>
      <c r="AZ1029" s="549"/>
      <c r="BA1029" s="549"/>
      <c r="BB1029" s="549"/>
      <c r="BC1029" s="549"/>
      <c r="BD1029" s="549"/>
      <c r="BE1029" s="549"/>
      <c r="BF1029" s="549"/>
      <c r="BG1029" s="549"/>
      <c r="BH1029" s="549"/>
      <c r="BI1029" s="549"/>
    </row>
    <row r="1030" spans="16:61" s="254" customFormat="1" ht="9.9">
      <c r="P1030" s="549"/>
      <c r="Q1030" s="549"/>
      <c r="R1030" s="549"/>
      <c r="S1030" s="549"/>
      <c r="T1030" s="549"/>
      <c r="U1030" s="549"/>
      <c r="V1030" s="549"/>
      <c r="W1030" s="549"/>
      <c r="X1030" s="549"/>
      <c r="Y1030" s="549"/>
      <c r="Z1030" s="549"/>
      <c r="AA1030" s="549"/>
      <c r="AB1030" s="549"/>
      <c r="AC1030" s="549"/>
      <c r="AD1030" s="549"/>
      <c r="AE1030" s="549"/>
      <c r="AF1030" s="549"/>
      <c r="AG1030" s="549"/>
      <c r="AH1030" s="549"/>
      <c r="AI1030" s="549"/>
      <c r="AJ1030" s="549"/>
      <c r="AK1030" s="549"/>
      <c r="AL1030" s="549"/>
      <c r="AM1030" s="549"/>
      <c r="AN1030" s="549"/>
      <c r="AO1030" s="549"/>
      <c r="AP1030" s="549"/>
      <c r="AQ1030" s="549"/>
      <c r="AR1030" s="549"/>
      <c r="AS1030" s="549"/>
      <c r="AT1030" s="549"/>
      <c r="AU1030" s="549"/>
      <c r="AV1030" s="549"/>
      <c r="AW1030" s="549"/>
      <c r="AX1030" s="549"/>
      <c r="AY1030" s="549"/>
      <c r="AZ1030" s="549"/>
      <c r="BA1030" s="549"/>
      <c r="BB1030" s="549"/>
      <c r="BC1030" s="549"/>
      <c r="BD1030" s="549"/>
      <c r="BE1030" s="549"/>
      <c r="BF1030" s="549"/>
      <c r="BG1030" s="549"/>
      <c r="BH1030" s="549"/>
      <c r="BI1030" s="549"/>
    </row>
    <row r="1031" spans="16:61" s="254" customFormat="1" ht="9.9">
      <c r="P1031" s="549"/>
      <c r="Q1031" s="549"/>
      <c r="R1031" s="549"/>
      <c r="S1031" s="549"/>
      <c r="T1031" s="549"/>
      <c r="U1031" s="549"/>
      <c r="V1031" s="549"/>
      <c r="W1031" s="549"/>
      <c r="X1031" s="549"/>
      <c r="Y1031" s="549"/>
      <c r="Z1031" s="549"/>
      <c r="AA1031" s="549"/>
      <c r="AB1031" s="549"/>
      <c r="AC1031" s="549"/>
      <c r="AD1031" s="549"/>
      <c r="AE1031" s="549"/>
      <c r="AF1031" s="549"/>
      <c r="AG1031" s="549"/>
      <c r="AH1031" s="549"/>
      <c r="AI1031" s="549"/>
      <c r="AJ1031" s="549"/>
      <c r="AK1031" s="549"/>
      <c r="AL1031" s="549"/>
      <c r="AM1031" s="549"/>
      <c r="AN1031" s="549"/>
      <c r="AO1031" s="549"/>
      <c r="AP1031" s="549"/>
      <c r="AQ1031" s="549"/>
      <c r="AR1031" s="549"/>
      <c r="AS1031" s="549"/>
      <c r="AT1031" s="549"/>
      <c r="AU1031" s="549"/>
      <c r="AV1031" s="549"/>
      <c r="AW1031" s="549"/>
      <c r="AX1031" s="549"/>
      <c r="AY1031" s="549"/>
      <c r="AZ1031" s="549"/>
      <c r="BA1031" s="549"/>
      <c r="BB1031" s="549"/>
      <c r="BC1031" s="549"/>
      <c r="BD1031" s="549"/>
      <c r="BE1031" s="549"/>
      <c r="BF1031" s="549"/>
      <c r="BG1031" s="549"/>
      <c r="BH1031" s="549"/>
      <c r="BI1031" s="549"/>
    </row>
    <row r="1032" spans="16:61" s="254" customFormat="1" ht="9.9">
      <c r="P1032" s="549"/>
      <c r="Q1032" s="549"/>
      <c r="R1032" s="549"/>
      <c r="S1032" s="549"/>
      <c r="T1032" s="549"/>
      <c r="U1032" s="549"/>
      <c r="V1032" s="549"/>
      <c r="W1032" s="549"/>
      <c r="X1032" s="549"/>
      <c r="Y1032" s="549"/>
      <c r="Z1032" s="549"/>
      <c r="AA1032" s="549"/>
      <c r="AB1032" s="549"/>
      <c r="AC1032" s="549"/>
      <c r="AD1032" s="549"/>
      <c r="AE1032" s="549"/>
      <c r="AF1032" s="549"/>
      <c r="AG1032" s="549"/>
      <c r="AH1032" s="549"/>
      <c r="AI1032" s="549"/>
      <c r="AJ1032" s="549"/>
      <c r="AK1032" s="549"/>
      <c r="AL1032" s="549"/>
      <c r="AM1032" s="549"/>
      <c r="AN1032" s="549"/>
      <c r="AO1032" s="549"/>
      <c r="AP1032" s="549"/>
      <c r="AQ1032" s="549"/>
      <c r="AR1032" s="549"/>
      <c r="AS1032" s="549"/>
      <c r="AT1032" s="549"/>
      <c r="AU1032" s="549"/>
      <c r="AV1032" s="549"/>
      <c r="AW1032" s="549"/>
      <c r="AX1032" s="549"/>
      <c r="AY1032" s="549"/>
      <c r="AZ1032" s="549"/>
      <c r="BA1032" s="549"/>
      <c r="BB1032" s="549"/>
      <c r="BC1032" s="549"/>
      <c r="BD1032" s="549"/>
      <c r="BE1032" s="549"/>
      <c r="BF1032" s="549"/>
      <c r="BG1032" s="549"/>
      <c r="BH1032" s="549"/>
      <c r="BI1032" s="549"/>
    </row>
    <row r="1033" spans="16:61" s="254" customFormat="1" ht="9.9">
      <c r="P1033" s="549"/>
      <c r="Q1033" s="549"/>
      <c r="R1033" s="549"/>
      <c r="S1033" s="549"/>
      <c r="T1033" s="549"/>
      <c r="U1033" s="549"/>
      <c r="V1033" s="549"/>
      <c r="W1033" s="549"/>
      <c r="X1033" s="549"/>
      <c r="Y1033" s="549"/>
      <c r="Z1033" s="549"/>
      <c r="AA1033" s="549"/>
      <c r="AB1033" s="549"/>
      <c r="AC1033" s="549"/>
      <c r="AD1033" s="549"/>
      <c r="AE1033" s="549"/>
      <c r="AF1033" s="549"/>
      <c r="AG1033" s="549"/>
      <c r="AH1033" s="549"/>
      <c r="AI1033" s="549"/>
      <c r="AJ1033" s="549"/>
      <c r="AK1033" s="549"/>
      <c r="AL1033" s="549"/>
      <c r="AM1033" s="549"/>
      <c r="AN1033" s="549"/>
      <c r="AO1033" s="549"/>
      <c r="AP1033" s="549"/>
      <c r="AQ1033" s="549"/>
      <c r="AR1033" s="549"/>
      <c r="AS1033" s="549"/>
      <c r="AT1033" s="549"/>
      <c r="AU1033" s="549"/>
      <c r="AV1033" s="549"/>
      <c r="AW1033" s="549"/>
      <c r="AX1033" s="549"/>
      <c r="AY1033" s="549"/>
      <c r="AZ1033" s="549"/>
      <c r="BA1033" s="549"/>
      <c r="BB1033" s="549"/>
      <c r="BC1033" s="549"/>
      <c r="BD1033" s="549"/>
      <c r="BE1033" s="549"/>
      <c r="BF1033" s="549"/>
      <c r="BG1033" s="549"/>
      <c r="BH1033" s="549"/>
      <c r="BI1033" s="549"/>
    </row>
    <row r="1034" spans="16:61" s="254" customFormat="1" ht="9.9">
      <c r="P1034" s="549"/>
      <c r="Q1034" s="549"/>
      <c r="R1034" s="549"/>
      <c r="S1034" s="549"/>
      <c r="T1034" s="549"/>
      <c r="U1034" s="549"/>
      <c r="V1034" s="549"/>
      <c r="W1034" s="549"/>
      <c r="X1034" s="549"/>
      <c r="Y1034" s="549"/>
      <c r="Z1034" s="549"/>
      <c r="AA1034" s="549"/>
      <c r="AB1034" s="549"/>
      <c r="AC1034" s="549"/>
      <c r="AD1034" s="549"/>
      <c r="AE1034" s="549"/>
      <c r="AF1034" s="549"/>
      <c r="AG1034" s="549"/>
      <c r="AH1034" s="549"/>
      <c r="AI1034" s="549"/>
      <c r="AJ1034" s="549"/>
      <c r="AK1034" s="549"/>
      <c r="AL1034" s="549"/>
      <c r="AM1034" s="549"/>
      <c r="AN1034" s="549"/>
      <c r="AO1034" s="549"/>
      <c r="AP1034" s="549"/>
      <c r="AQ1034" s="549"/>
      <c r="AR1034" s="549"/>
      <c r="AS1034" s="549"/>
      <c r="AT1034" s="549"/>
      <c r="AU1034" s="549"/>
      <c r="AV1034" s="549"/>
      <c r="AW1034" s="549"/>
      <c r="AX1034" s="549"/>
      <c r="AY1034" s="549"/>
      <c r="AZ1034" s="549"/>
      <c r="BA1034" s="549"/>
      <c r="BB1034" s="549"/>
      <c r="BC1034" s="549"/>
      <c r="BD1034" s="549"/>
      <c r="BE1034" s="549"/>
      <c r="BF1034" s="549"/>
      <c r="BG1034" s="549"/>
      <c r="BH1034" s="549"/>
      <c r="BI1034" s="549"/>
    </row>
    <row r="1035" spans="16:61" s="254" customFormat="1" ht="9.9">
      <c r="P1035" s="549"/>
      <c r="Q1035" s="549"/>
      <c r="R1035" s="549"/>
      <c r="S1035" s="549"/>
      <c r="T1035" s="549"/>
      <c r="U1035" s="549"/>
      <c r="V1035" s="549"/>
      <c r="W1035" s="549"/>
      <c r="X1035" s="549"/>
      <c r="Y1035" s="549"/>
      <c r="Z1035" s="549"/>
      <c r="AA1035" s="549"/>
      <c r="AB1035" s="549"/>
      <c r="AC1035" s="549"/>
      <c r="AD1035" s="549"/>
      <c r="AE1035" s="549"/>
      <c r="AF1035" s="549"/>
      <c r="AG1035" s="549"/>
      <c r="AH1035" s="549"/>
      <c r="AI1035" s="549"/>
      <c r="AJ1035" s="549"/>
      <c r="AK1035" s="549"/>
      <c r="AL1035" s="549"/>
      <c r="AM1035" s="549"/>
      <c r="AN1035" s="549"/>
      <c r="AO1035" s="549"/>
      <c r="AP1035" s="549"/>
      <c r="AQ1035" s="549"/>
      <c r="AR1035" s="549"/>
      <c r="AS1035" s="549"/>
      <c r="AT1035" s="549"/>
      <c r="AU1035" s="549"/>
      <c r="AV1035" s="549"/>
      <c r="AW1035" s="549"/>
      <c r="AX1035" s="549"/>
      <c r="AY1035" s="549"/>
      <c r="AZ1035" s="549"/>
      <c r="BA1035" s="549"/>
      <c r="BB1035" s="549"/>
      <c r="BC1035" s="549"/>
      <c r="BD1035" s="549"/>
      <c r="BE1035" s="549"/>
      <c r="BF1035" s="549"/>
      <c r="BG1035" s="549"/>
      <c r="BH1035" s="549"/>
      <c r="BI1035" s="549"/>
    </row>
    <row r="1036" spans="16:61" s="254" customFormat="1" ht="9.9">
      <c r="P1036" s="549"/>
      <c r="Q1036" s="549"/>
      <c r="R1036" s="549"/>
      <c r="S1036" s="549"/>
      <c r="T1036" s="549"/>
      <c r="U1036" s="549"/>
      <c r="V1036" s="549"/>
      <c r="W1036" s="549"/>
      <c r="X1036" s="549"/>
      <c r="Y1036" s="549"/>
      <c r="Z1036" s="549"/>
      <c r="AA1036" s="549"/>
      <c r="AB1036" s="549"/>
      <c r="AC1036" s="549"/>
      <c r="AD1036" s="549"/>
      <c r="AE1036" s="549"/>
      <c r="AF1036" s="549"/>
      <c r="AG1036" s="549"/>
      <c r="AH1036" s="549"/>
      <c r="AI1036" s="549"/>
      <c r="AJ1036" s="549"/>
      <c r="AK1036" s="549"/>
      <c r="AL1036" s="549"/>
      <c r="AM1036" s="549"/>
      <c r="AN1036" s="549"/>
      <c r="AO1036" s="549"/>
      <c r="AP1036" s="549"/>
      <c r="AQ1036" s="549"/>
      <c r="AR1036" s="549"/>
      <c r="AS1036" s="549"/>
      <c r="AT1036" s="549"/>
      <c r="AU1036" s="549"/>
      <c r="AV1036" s="549"/>
      <c r="AW1036" s="549"/>
      <c r="AX1036" s="549"/>
      <c r="AY1036" s="549"/>
      <c r="AZ1036" s="549"/>
      <c r="BA1036" s="549"/>
      <c r="BB1036" s="549"/>
      <c r="BC1036" s="549"/>
      <c r="BD1036" s="549"/>
      <c r="BE1036" s="549"/>
      <c r="BF1036" s="549"/>
      <c r="BG1036" s="549"/>
      <c r="BH1036" s="549"/>
      <c r="BI1036" s="549"/>
    </row>
    <row r="1037" spans="16:61" s="254" customFormat="1" ht="9.9">
      <c r="P1037" s="549"/>
      <c r="Q1037" s="549"/>
      <c r="R1037" s="549"/>
      <c r="S1037" s="549"/>
      <c r="T1037" s="549"/>
      <c r="U1037" s="549"/>
      <c r="V1037" s="549"/>
      <c r="W1037" s="549"/>
      <c r="X1037" s="549"/>
      <c r="Y1037" s="549"/>
      <c r="Z1037" s="549"/>
      <c r="AA1037" s="549"/>
      <c r="AB1037" s="549"/>
      <c r="AC1037" s="549"/>
      <c r="AD1037" s="549"/>
      <c r="AE1037" s="549"/>
      <c r="AF1037" s="549"/>
      <c r="AG1037" s="549"/>
      <c r="AH1037" s="549"/>
      <c r="AI1037" s="549"/>
      <c r="AJ1037" s="549"/>
      <c r="AK1037" s="549"/>
      <c r="AL1037" s="549"/>
      <c r="AM1037" s="549"/>
      <c r="AN1037" s="549"/>
      <c r="AO1037" s="549"/>
      <c r="AP1037" s="549"/>
      <c r="AQ1037" s="549"/>
      <c r="AR1037" s="549"/>
      <c r="AS1037" s="549"/>
      <c r="AT1037" s="549"/>
      <c r="AU1037" s="549"/>
      <c r="AV1037" s="549"/>
      <c r="AW1037" s="549"/>
      <c r="AX1037" s="549"/>
      <c r="AY1037" s="549"/>
      <c r="AZ1037" s="549"/>
      <c r="BA1037" s="549"/>
      <c r="BB1037" s="549"/>
      <c r="BC1037" s="549"/>
      <c r="BD1037" s="549"/>
      <c r="BE1037" s="549"/>
      <c r="BF1037" s="549"/>
      <c r="BG1037" s="549"/>
      <c r="BH1037" s="549"/>
      <c r="BI1037" s="549"/>
    </row>
    <row r="1038" spans="16:61" s="254" customFormat="1" ht="9.9">
      <c r="P1038" s="549"/>
      <c r="Q1038" s="549"/>
      <c r="R1038" s="549"/>
      <c r="S1038" s="549"/>
      <c r="T1038" s="549"/>
      <c r="U1038" s="549"/>
      <c r="V1038" s="549"/>
      <c r="W1038" s="549"/>
      <c r="X1038" s="549"/>
      <c r="Y1038" s="549"/>
      <c r="Z1038" s="549"/>
      <c r="AA1038" s="549"/>
      <c r="AB1038" s="549"/>
      <c r="AC1038" s="549"/>
      <c r="AD1038" s="549"/>
      <c r="AE1038" s="549"/>
      <c r="AF1038" s="549"/>
      <c r="AG1038" s="549"/>
      <c r="AH1038" s="549"/>
      <c r="AI1038" s="549"/>
      <c r="AJ1038" s="549"/>
      <c r="AK1038" s="549"/>
      <c r="AL1038" s="549"/>
      <c r="AM1038" s="549"/>
      <c r="AN1038" s="549"/>
      <c r="AO1038" s="549"/>
      <c r="AP1038" s="549"/>
      <c r="AQ1038" s="549"/>
      <c r="AR1038" s="549"/>
      <c r="AS1038" s="549"/>
      <c r="AT1038" s="549"/>
      <c r="AU1038" s="549"/>
      <c r="AV1038" s="549"/>
      <c r="AW1038" s="549"/>
      <c r="AX1038" s="549"/>
      <c r="AY1038" s="549"/>
      <c r="AZ1038" s="549"/>
      <c r="BA1038" s="549"/>
      <c r="BB1038" s="549"/>
      <c r="BC1038" s="549"/>
      <c r="BD1038" s="549"/>
      <c r="BE1038" s="549"/>
      <c r="BF1038" s="549"/>
      <c r="BG1038" s="549"/>
      <c r="BH1038" s="549"/>
      <c r="BI1038" s="549"/>
    </row>
    <row r="1039" spans="16:61" s="254" customFormat="1" ht="9.9">
      <c r="P1039" s="549"/>
      <c r="Q1039" s="549"/>
      <c r="R1039" s="549"/>
      <c r="S1039" s="549"/>
      <c r="T1039" s="549"/>
      <c r="U1039" s="549"/>
      <c r="V1039" s="549"/>
      <c r="W1039" s="549"/>
      <c r="X1039" s="549"/>
      <c r="Y1039" s="549"/>
      <c r="Z1039" s="549"/>
      <c r="AA1039" s="549"/>
      <c r="AB1039" s="549"/>
      <c r="AC1039" s="549"/>
      <c r="AD1039" s="549"/>
      <c r="AE1039" s="549"/>
      <c r="AF1039" s="549"/>
      <c r="AG1039" s="549"/>
      <c r="AH1039" s="549"/>
      <c r="AI1039" s="549"/>
      <c r="AJ1039" s="549"/>
      <c r="AK1039" s="549"/>
      <c r="AL1039" s="549"/>
      <c r="AM1039" s="549"/>
      <c r="AN1039" s="549"/>
      <c r="AO1039" s="549"/>
      <c r="AP1039" s="549"/>
      <c r="AQ1039" s="549"/>
      <c r="AR1039" s="549"/>
      <c r="AS1039" s="549"/>
      <c r="AT1039" s="549"/>
      <c r="AU1039" s="549"/>
      <c r="AV1039" s="549"/>
      <c r="AW1039" s="549"/>
      <c r="AX1039" s="549"/>
      <c r="AY1039" s="549"/>
      <c r="AZ1039" s="549"/>
      <c r="BA1039" s="549"/>
      <c r="BB1039" s="549"/>
      <c r="BC1039" s="549"/>
      <c r="BD1039" s="549"/>
      <c r="BE1039" s="549"/>
      <c r="BF1039" s="549"/>
      <c r="BG1039" s="549"/>
      <c r="BH1039" s="549"/>
      <c r="BI1039" s="549"/>
    </row>
    <row r="1040" spans="16:61" s="254" customFormat="1" ht="9.9">
      <c r="P1040" s="549"/>
      <c r="Q1040" s="549"/>
      <c r="R1040" s="549"/>
      <c r="S1040" s="549"/>
      <c r="T1040" s="549"/>
      <c r="U1040" s="549"/>
      <c r="V1040" s="549"/>
      <c r="W1040" s="549"/>
      <c r="X1040" s="549"/>
      <c r="Y1040" s="549"/>
      <c r="Z1040" s="549"/>
      <c r="AA1040" s="549"/>
      <c r="AB1040" s="549"/>
      <c r="AC1040" s="549"/>
      <c r="AD1040" s="549"/>
      <c r="AE1040" s="549"/>
      <c r="AF1040" s="549"/>
      <c r="AG1040" s="549"/>
      <c r="AH1040" s="549"/>
      <c r="AI1040" s="549"/>
      <c r="AJ1040" s="549"/>
      <c r="AK1040" s="549"/>
      <c r="AL1040" s="549"/>
      <c r="AM1040" s="549"/>
      <c r="AN1040" s="549"/>
      <c r="AO1040" s="549"/>
      <c r="AP1040" s="549"/>
      <c r="AQ1040" s="549"/>
      <c r="AR1040" s="549"/>
      <c r="AS1040" s="549"/>
      <c r="AT1040" s="549"/>
      <c r="AU1040" s="549"/>
      <c r="AV1040" s="549"/>
      <c r="AW1040" s="549"/>
      <c r="AX1040" s="549"/>
      <c r="AY1040" s="549"/>
      <c r="AZ1040" s="549"/>
      <c r="BA1040" s="549"/>
      <c r="BB1040" s="549"/>
      <c r="BC1040" s="549"/>
      <c r="BD1040" s="549"/>
      <c r="BE1040" s="549"/>
      <c r="BF1040" s="549"/>
      <c r="BG1040" s="549"/>
      <c r="BH1040" s="549"/>
      <c r="BI1040" s="549"/>
    </row>
    <row r="1041" spans="16:61" s="254" customFormat="1" ht="9.9">
      <c r="P1041" s="549"/>
      <c r="Q1041" s="549"/>
      <c r="R1041" s="549"/>
      <c r="S1041" s="549"/>
      <c r="T1041" s="549"/>
      <c r="U1041" s="549"/>
      <c r="V1041" s="549"/>
      <c r="W1041" s="549"/>
      <c r="X1041" s="549"/>
      <c r="Y1041" s="549"/>
      <c r="Z1041" s="549"/>
      <c r="AA1041" s="549"/>
      <c r="AB1041" s="549"/>
      <c r="AC1041" s="549"/>
      <c r="AD1041" s="549"/>
      <c r="AE1041" s="549"/>
      <c r="AF1041" s="549"/>
      <c r="AG1041" s="549"/>
      <c r="AH1041" s="549"/>
      <c r="AI1041" s="549"/>
      <c r="AJ1041" s="549"/>
      <c r="AK1041" s="549"/>
      <c r="AL1041" s="549"/>
      <c r="AM1041" s="549"/>
      <c r="AN1041" s="549"/>
      <c r="AO1041" s="549"/>
      <c r="AP1041" s="549"/>
      <c r="AQ1041" s="549"/>
      <c r="AR1041" s="549"/>
      <c r="AS1041" s="549"/>
      <c r="AT1041" s="549"/>
      <c r="AU1041" s="549"/>
      <c r="AV1041" s="549"/>
      <c r="AW1041" s="549"/>
      <c r="AX1041" s="549"/>
      <c r="AY1041" s="549"/>
      <c r="AZ1041" s="549"/>
      <c r="BA1041" s="549"/>
      <c r="BB1041" s="549"/>
      <c r="BC1041" s="549"/>
      <c r="BD1041" s="549"/>
      <c r="BE1041" s="549"/>
      <c r="BF1041" s="549"/>
      <c r="BG1041" s="549"/>
      <c r="BH1041" s="549"/>
      <c r="BI1041" s="549"/>
    </row>
    <row r="1042" spans="16:61" s="254" customFormat="1" ht="9.9">
      <c r="P1042" s="549"/>
      <c r="Q1042" s="549"/>
      <c r="R1042" s="549"/>
      <c r="S1042" s="549"/>
      <c r="T1042" s="549"/>
      <c r="U1042" s="549"/>
      <c r="V1042" s="549"/>
      <c r="W1042" s="549"/>
      <c r="X1042" s="549"/>
      <c r="Y1042" s="549"/>
      <c r="Z1042" s="549"/>
      <c r="AA1042" s="549"/>
      <c r="AB1042" s="549"/>
      <c r="AC1042" s="549"/>
      <c r="AD1042" s="549"/>
      <c r="AE1042" s="549"/>
      <c r="AF1042" s="549"/>
      <c r="AG1042" s="549"/>
      <c r="AH1042" s="549"/>
      <c r="AI1042" s="549"/>
      <c r="AJ1042" s="549"/>
      <c r="AK1042" s="549"/>
      <c r="AL1042" s="549"/>
      <c r="AM1042" s="549"/>
      <c r="AN1042" s="549"/>
      <c r="AO1042" s="549"/>
      <c r="AP1042" s="549"/>
      <c r="AQ1042" s="549"/>
      <c r="AR1042" s="549"/>
      <c r="AS1042" s="549"/>
      <c r="AT1042" s="549"/>
      <c r="AU1042" s="549"/>
      <c r="AV1042" s="549"/>
      <c r="AW1042" s="549"/>
      <c r="AX1042" s="549"/>
      <c r="AY1042" s="549"/>
      <c r="AZ1042" s="549"/>
      <c r="BA1042" s="549"/>
      <c r="BB1042" s="549"/>
      <c r="BC1042" s="549"/>
      <c r="BD1042" s="549"/>
      <c r="BE1042" s="549"/>
      <c r="BF1042" s="549"/>
      <c r="BG1042" s="549"/>
      <c r="BH1042" s="549"/>
      <c r="BI1042" s="549"/>
    </row>
    <row r="1043" spans="16:61" s="254" customFormat="1" ht="9.9">
      <c r="P1043" s="549"/>
      <c r="Q1043" s="549"/>
      <c r="R1043" s="549"/>
      <c r="S1043" s="549"/>
      <c r="T1043" s="549"/>
      <c r="U1043" s="549"/>
      <c r="V1043" s="549"/>
      <c r="W1043" s="549"/>
      <c r="X1043" s="549"/>
      <c r="Y1043" s="549"/>
      <c r="Z1043" s="549"/>
      <c r="AA1043" s="549"/>
      <c r="AB1043" s="549"/>
      <c r="AC1043" s="549"/>
      <c r="AD1043" s="549"/>
      <c r="AE1043" s="549"/>
      <c r="AF1043" s="549"/>
      <c r="AG1043" s="549"/>
      <c r="AH1043" s="549"/>
      <c r="AI1043" s="549"/>
      <c r="AJ1043" s="549"/>
      <c r="AK1043" s="549"/>
      <c r="AL1043" s="549"/>
      <c r="AM1043" s="549"/>
      <c r="AN1043" s="549"/>
      <c r="AO1043" s="549"/>
      <c r="AP1043" s="549"/>
      <c r="AQ1043" s="549"/>
      <c r="AR1043" s="549"/>
      <c r="AS1043" s="549"/>
      <c r="AT1043" s="549"/>
      <c r="AU1043" s="549"/>
      <c r="AV1043" s="549"/>
      <c r="AW1043" s="549"/>
      <c r="AX1043" s="549"/>
      <c r="AY1043" s="549"/>
      <c r="AZ1043" s="549"/>
      <c r="BA1043" s="549"/>
      <c r="BB1043" s="549"/>
      <c r="BC1043" s="549"/>
      <c r="BD1043" s="549"/>
      <c r="BE1043" s="549"/>
      <c r="BF1043" s="549"/>
      <c r="BG1043" s="549"/>
      <c r="BH1043" s="549"/>
      <c r="BI1043" s="549"/>
    </row>
    <row r="1044" spans="16:61" s="254" customFormat="1" ht="9.9">
      <c r="P1044" s="549"/>
      <c r="Q1044" s="549"/>
      <c r="R1044" s="549"/>
      <c r="S1044" s="549"/>
      <c r="T1044" s="549"/>
      <c r="U1044" s="549"/>
      <c r="V1044" s="549"/>
      <c r="W1044" s="549"/>
      <c r="X1044" s="549"/>
      <c r="Y1044" s="549"/>
      <c r="Z1044" s="549"/>
      <c r="AA1044" s="549"/>
      <c r="AB1044" s="549"/>
      <c r="AC1044" s="549"/>
      <c r="AD1044" s="549"/>
      <c r="AE1044" s="549"/>
      <c r="AF1044" s="549"/>
      <c r="AG1044" s="549"/>
      <c r="AH1044" s="549"/>
      <c r="AI1044" s="549"/>
      <c r="AJ1044" s="549"/>
      <c r="AK1044" s="549"/>
      <c r="AL1044" s="549"/>
      <c r="AM1044" s="549"/>
      <c r="AN1044" s="549"/>
      <c r="AO1044" s="549"/>
      <c r="AP1044" s="549"/>
      <c r="AQ1044" s="549"/>
      <c r="AR1044" s="549"/>
      <c r="AS1044" s="549"/>
      <c r="AT1044" s="549"/>
      <c r="AU1044" s="549"/>
      <c r="AV1044" s="549"/>
      <c r="AW1044" s="549"/>
      <c r="AX1044" s="549"/>
      <c r="AY1044" s="549"/>
      <c r="AZ1044" s="549"/>
      <c r="BA1044" s="549"/>
      <c r="BB1044" s="549"/>
      <c r="BC1044" s="549"/>
      <c r="BD1044" s="549"/>
      <c r="BE1044" s="549"/>
      <c r="BF1044" s="549"/>
      <c r="BG1044" s="549"/>
      <c r="BH1044" s="549"/>
      <c r="BI1044" s="549"/>
    </row>
    <row r="1045" spans="16:61" s="254" customFormat="1" ht="9.9">
      <c r="P1045" s="549"/>
      <c r="Q1045" s="549"/>
      <c r="R1045" s="549"/>
      <c r="S1045" s="549"/>
      <c r="T1045" s="549"/>
      <c r="U1045" s="549"/>
      <c r="V1045" s="549"/>
      <c r="W1045" s="549"/>
      <c r="X1045" s="549"/>
      <c r="Y1045" s="549"/>
      <c r="Z1045" s="549"/>
      <c r="AA1045" s="549"/>
      <c r="AB1045" s="549"/>
      <c r="AC1045" s="549"/>
      <c r="AD1045" s="549"/>
      <c r="AE1045" s="549"/>
      <c r="AF1045" s="549"/>
      <c r="AG1045" s="549"/>
      <c r="AH1045" s="549"/>
      <c r="AI1045" s="549"/>
      <c r="AJ1045" s="549"/>
      <c r="AK1045" s="549"/>
      <c r="AL1045" s="549"/>
      <c r="AM1045" s="549"/>
      <c r="AN1045" s="549"/>
      <c r="AO1045" s="549"/>
      <c r="AP1045" s="549"/>
      <c r="AQ1045" s="549"/>
      <c r="AR1045" s="549"/>
      <c r="AS1045" s="549"/>
      <c r="AT1045" s="549"/>
      <c r="AU1045" s="549"/>
      <c r="AV1045" s="549"/>
      <c r="AW1045" s="549"/>
      <c r="AX1045" s="549"/>
      <c r="AY1045" s="549"/>
      <c r="AZ1045" s="549"/>
      <c r="BA1045" s="549"/>
      <c r="BB1045" s="549"/>
      <c r="BC1045" s="549"/>
      <c r="BD1045" s="549"/>
      <c r="BE1045" s="549"/>
      <c r="BF1045" s="549"/>
      <c r="BG1045" s="549"/>
      <c r="BH1045" s="549"/>
      <c r="BI1045" s="549"/>
    </row>
    <row r="1046" spans="16:61" s="254" customFormat="1" ht="9.9">
      <c r="P1046" s="549"/>
      <c r="Q1046" s="549"/>
      <c r="R1046" s="549"/>
      <c r="S1046" s="549"/>
      <c r="T1046" s="549"/>
      <c r="U1046" s="549"/>
      <c r="V1046" s="549"/>
      <c r="W1046" s="549"/>
      <c r="X1046" s="549"/>
      <c r="Y1046" s="549"/>
      <c r="Z1046" s="549"/>
      <c r="AA1046" s="549"/>
      <c r="AB1046" s="549"/>
      <c r="AC1046" s="549"/>
      <c r="AD1046" s="549"/>
      <c r="AE1046" s="549"/>
      <c r="AF1046" s="549"/>
      <c r="AG1046" s="549"/>
      <c r="AH1046" s="549"/>
      <c r="AI1046" s="549"/>
      <c r="AJ1046" s="549"/>
      <c r="AK1046" s="549"/>
      <c r="AL1046" s="549"/>
      <c r="AM1046" s="549"/>
      <c r="AN1046" s="549"/>
      <c r="AO1046" s="549"/>
      <c r="AP1046" s="549"/>
      <c r="AQ1046" s="549"/>
      <c r="AR1046" s="549"/>
      <c r="AS1046" s="549"/>
      <c r="AT1046" s="549"/>
      <c r="AU1046" s="549"/>
      <c r="AV1046" s="549"/>
      <c r="AW1046" s="549"/>
      <c r="AX1046" s="549"/>
      <c r="AY1046" s="549"/>
      <c r="AZ1046" s="549"/>
      <c r="BA1046" s="549"/>
      <c r="BB1046" s="549"/>
      <c r="BC1046" s="549"/>
      <c r="BD1046" s="549"/>
      <c r="BE1046" s="549"/>
      <c r="BF1046" s="549"/>
      <c r="BG1046" s="549"/>
      <c r="BH1046" s="549"/>
      <c r="BI1046" s="549"/>
    </row>
    <row r="1047" spans="16:61" s="254" customFormat="1" ht="9.9">
      <c r="P1047" s="549"/>
      <c r="Q1047" s="549"/>
      <c r="R1047" s="549"/>
      <c r="S1047" s="549"/>
      <c r="T1047" s="549"/>
      <c r="U1047" s="549"/>
      <c r="V1047" s="549"/>
      <c r="W1047" s="549"/>
      <c r="X1047" s="549"/>
      <c r="Y1047" s="549"/>
      <c r="Z1047" s="549"/>
      <c r="AA1047" s="549"/>
      <c r="AB1047" s="549"/>
      <c r="AC1047" s="549"/>
      <c r="AD1047" s="549"/>
      <c r="AE1047" s="549"/>
      <c r="AF1047" s="549"/>
      <c r="AG1047" s="549"/>
      <c r="AH1047" s="549"/>
      <c r="AI1047" s="549"/>
      <c r="AJ1047" s="549"/>
      <c r="AK1047" s="549"/>
      <c r="AL1047" s="549"/>
      <c r="AM1047" s="549"/>
      <c r="AN1047" s="549"/>
      <c r="AO1047" s="549"/>
      <c r="AP1047" s="549"/>
      <c r="AQ1047" s="549"/>
      <c r="AR1047" s="549"/>
      <c r="AS1047" s="549"/>
      <c r="AT1047" s="549"/>
      <c r="AU1047" s="549"/>
      <c r="AV1047" s="549"/>
      <c r="AW1047" s="549"/>
      <c r="AX1047" s="549"/>
      <c r="AY1047" s="549"/>
      <c r="AZ1047" s="549"/>
      <c r="BA1047" s="549"/>
      <c r="BB1047" s="549"/>
      <c r="BC1047" s="549"/>
      <c r="BD1047" s="549"/>
      <c r="BE1047" s="549"/>
      <c r="BF1047" s="549"/>
      <c r="BG1047" s="549"/>
      <c r="BH1047" s="549"/>
      <c r="BI1047" s="549"/>
    </row>
    <row r="1048" spans="16:61" s="254" customFormat="1" ht="9.9">
      <c r="P1048" s="549"/>
      <c r="Q1048" s="549"/>
      <c r="R1048" s="549"/>
      <c r="S1048" s="549"/>
      <c r="T1048" s="549"/>
      <c r="U1048" s="549"/>
      <c r="V1048" s="549"/>
      <c r="W1048" s="549"/>
      <c r="X1048" s="549"/>
      <c r="Y1048" s="549"/>
      <c r="Z1048" s="549"/>
      <c r="AA1048" s="549"/>
      <c r="AB1048" s="549"/>
      <c r="AC1048" s="549"/>
      <c r="AD1048" s="549"/>
      <c r="AE1048" s="549"/>
      <c r="AF1048" s="549"/>
      <c r="AG1048" s="549"/>
      <c r="AH1048" s="549"/>
      <c r="AI1048" s="549"/>
      <c r="AJ1048" s="549"/>
      <c r="AK1048" s="549"/>
      <c r="AL1048" s="549"/>
      <c r="AM1048" s="549"/>
      <c r="AN1048" s="549"/>
      <c r="AO1048" s="549"/>
      <c r="AP1048" s="549"/>
      <c r="AQ1048" s="549"/>
      <c r="AR1048" s="549"/>
      <c r="AS1048" s="549"/>
      <c r="AT1048" s="549"/>
      <c r="AU1048" s="549"/>
      <c r="AV1048" s="549"/>
      <c r="AW1048" s="549"/>
      <c r="AX1048" s="549"/>
      <c r="AY1048" s="549"/>
      <c r="AZ1048" s="549"/>
      <c r="BA1048" s="549"/>
      <c r="BB1048" s="549"/>
      <c r="BC1048" s="549"/>
      <c r="BD1048" s="549"/>
      <c r="BE1048" s="549"/>
      <c r="BF1048" s="549"/>
      <c r="BG1048" s="549"/>
      <c r="BH1048" s="549"/>
      <c r="BI1048" s="549"/>
    </row>
    <row r="1049" spans="16:61" s="254" customFormat="1" ht="9.9">
      <c r="P1049" s="549"/>
      <c r="Q1049" s="549"/>
      <c r="R1049" s="549"/>
      <c r="S1049" s="549"/>
      <c r="T1049" s="549"/>
      <c r="U1049" s="549"/>
      <c r="V1049" s="549"/>
      <c r="W1049" s="549"/>
      <c r="X1049" s="549"/>
      <c r="Y1049" s="549"/>
      <c r="Z1049" s="549"/>
      <c r="AA1049" s="549"/>
      <c r="AB1049" s="549"/>
      <c r="AC1049" s="549"/>
      <c r="AD1049" s="549"/>
      <c r="AE1049" s="549"/>
      <c r="AF1049" s="549"/>
      <c r="AG1049" s="549"/>
      <c r="AH1049" s="549"/>
      <c r="AI1049" s="549"/>
      <c r="AJ1049" s="549"/>
      <c r="AK1049" s="549"/>
      <c r="AL1049" s="549"/>
      <c r="AM1049" s="549"/>
      <c r="AN1049" s="549"/>
      <c r="AO1049" s="549"/>
      <c r="AP1049" s="549"/>
      <c r="AQ1049" s="549"/>
      <c r="AR1049" s="549"/>
      <c r="AS1049" s="549"/>
      <c r="AT1049" s="549"/>
      <c r="AU1049" s="549"/>
      <c r="AV1049" s="549"/>
      <c r="AW1049" s="549"/>
      <c r="AX1049" s="549"/>
      <c r="AY1049" s="549"/>
      <c r="AZ1049" s="549"/>
      <c r="BA1049" s="549"/>
      <c r="BB1049" s="549"/>
      <c r="BC1049" s="549"/>
      <c r="BD1049" s="549"/>
      <c r="BE1049" s="549"/>
      <c r="BF1049" s="549"/>
      <c r="BG1049" s="549"/>
      <c r="BH1049" s="549"/>
      <c r="BI1049" s="549"/>
    </row>
    <row r="1050" spans="16:61" s="254" customFormat="1" ht="9.9">
      <c r="P1050" s="549"/>
      <c r="Q1050" s="549"/>
      <c r="R1050" s="549"/>
      <c r="S1050" s="549"/>
      <c r="T1050" s="549"/>
      <c r="U1050" s="549"/>
      <c r="V1050" s="549"/>
      <c r="W1050" s="549"/>
      <c r="X1050" s="549"/>
      <c r="Y1050" s="549"/>
      <c r="Z1050" s="549"/>
      <c r="AA1050" s="549"/>
      <c r="AB1050" s="549"/>
      <c r="AC1050" s="549"/>
      <c r="AD1050" s="549"/>
      <c r="AE1050" s="549"/>
      <c r="AF1050" s="549"/>
      <c r="AG1050" s="549"/>
      <c r="AH1050" s="549"/>
      <c r="AI1050" s="549"/>
      <c r="AJ1050" s="549"/>
      <c r="AK1050" s="549"/>
      <c r="AL1050" s="549"/>
      <c r="AM1050" s="549"/>
      <c r="AN1050" s="549"/>
      <c r="AO1050" s="549"/>
      <c r="AP1050" s="549"/>
      <c r="AQ1050" s="549"/>
      <c r="AR1050" s="549"/>
      <c r="AS1050" s="549"/>
      <c r="AT1050" s="549"/>
      <c r="AU1050" s="549"/>
      <c r="AV1050" s="549"/>
      <c r="AW1050" s="549"/>
      <c r="AX1050" s="549"/>
      <c r="AY1050" s="549"/>
      <c r="AZ1050" s="549"/>
      <c r="BA1050" s="549"/>
      <c r="BB1050" s="549"/>
      <c r="BC1050" s="549"/>
      <c r="BD1050" s="549"/>
      <c r="BE1050" s="549"/>
      <c r="BF1050" s="549"/>
      <c r="BG1050" s="549"/>
      <c r="BH1050" s="549"/>
      <c r="BI1050" s="549"/>
    </row>
    <row r="1051" spans="16:61" s="254" customFormat="1" ht="9.9">
      <c r="P1051" s="549"/>
      <c r="Q1051" s="549"/>
      <c r="R1051" s="549"/>
      <c r="S1051" s="549"/>
      <c r="T1051" s="549"/>
      <c r="U1051" s="549"/>
      <c r="V1051" s="549"/>
      <c r="W1051" s="549"/>
      <c r="X1051" s="549"/>
      <c r="Y1051" s="549"/>
      <c r="Z1051" s="549"/>
      <c r="AA1051" s="549"/>
      <c r="AB1051" s="549"/>
      <c r="AC1051" s="549"/>
      <c r="AD1051" s="549"/>
      <c r="AE1051" s="549"/>
      <c r="AF1051" s="549"/>
      <c r="AG1051" s="549"/>
      <c r="AH1051" s="549"/>
      <c r="AI1051" s="549"/>
      <c r="AJ1051" s="549"/>
      <c r="AK1051" s="549"/>
      <c r="AL1051" s="549"/>
      <c r="AM1051" s="549"/>
      <c r="AN1051" s="549"/>
      <c r="AO1051" s="549"/>
      <c r="AP1051" s="549"/>
      <c r="AQ1051" s="549"/>
      <c r="AR1051" s="549"/>
      <c r="AS1051" s="549"/>
      <c r="AT1051" s="549"/>
      <c r="AU1051" s="549"/>
      <c r="AV1051" s="549"/>
      <c r="AW1051" s="549"/>
      <c r="AX1051" s="549"/>
      <c r="AY1051" s="549"/>
      <c r="AZ1051" s="549"/>
      <c r="BA1051" s="549"/>
      <c r="BB1051" s="549"/>
      <c r="BC1051" s="549"/>
      <c r="BD1051" s="549"/>
      <c r="BE1051" s="549"/>
      <c r="BF1051" s="549"/>
      <c r="BG1051" s="549"/>
      <c r="BH1051" s="549"/>
      <c r="BI1051" s="549"/>
    </row>
    <row r="1052" spans="16:61" s="254" customFormat="1" ht="9.9">
      <c r="P1052" s="549"/>
      <c r="Q1052" s="549"/>
      <c r="R1052" s="549"/>
      <c r="S1052" s="549"/>
      <c r="T1052" s="549"/>
      <c r="U1052" s="549"/>
      <c r="V1052" s="549"/>
      <c r="W1052" s="549"/>
      <c r="X1052" s="549"/>
      <c r="Y1052" s="549"/>
      <c r="Z1052" s="549"/>
      <c r="AA1052" s="549"/>
      <c r="AB1052" s="549"/>
      <c r="AC1052" s="549"/>
      <c r="AD1052" s="549"/>
      <c r="AE1052" s="549"/>
      <c r="AF1052" s="549"/>
      <c r="AG1052" s="549"/>
      <c r="AH1052" s="549"/>
      <c r="AI1052" s="549"/>
      <c r="AJ1052" s="549"/>
      <c r="AK1052" s="549"/>
      <c r="AL1052" s="549"/>
      <c r="AM1052" s="549"/>
      <c r="AN1052" s="549"/>
      <c r="AO1052" s="549"/>
      <c r="AP1052" s="549"/>
      <c r="AQ1052" s="549"/>
      <c r="AR1052" s="549"/>
      <c r="AS1052" s="549"/>
      <c r="AT1052" s="549"/>
      <c r="AU1052" s="549"/>
      <c r="AV1052" s="549"/>
      <c r="AW1052" s="549"/>
      <c r="AX1052" s="549"/>
      <c r="AY1052" s="549"/>
      <c r="AZ1052" s="549"/>
      <c r="BA1052" s="549"/>
      <c r="BB1052" s="549"/>
      <c r="BC1052" s="549"/>
      <c r="BD1052" s="549"/>
      <c r="BE1052" s="549"/>
      <c r="BF1052" s="549"/>
      <c r="BG1052" s="549"/>
      <c r="BH1052" s="549"/>
      <c r="BI1052" s="549"/>
    </row>
    <row r="1053" spans="16:61" s="254" customFormat="1" ht="9.9">
      <c r="P1053" s="549"/>
      <c r="Q1053" s="549"/>
      <c r="R1053" s="549"/>
      <c r="S1053" s="549"/>
      <c r="T1053" s="549"/>
      <c r="U1053" s="549"/>
      <c r="V1053" s="549"/>
      <c r="W1053" s="549"/>
      <c r="X1053" s="549"/>
      <c r="Y1053" s="549"/>
      <c r="Z1053" s="549"/>
      <c r="AA1053" s="549"/>
      <c r="AB1053" s="549"/>
      <c r="AC1053" s="549"/>
      <c r="AD1053" s="549"/>
      <c r="AE1053" s="549"/>
      <c r="AF1053" s="549"/>
      <c r="AG1053" s="549"/>
      <c r="AH1053" s="549"/>
      <c r="AI1053" s="549"/>
      <c r="AJ1053" s="549"/>
      <c r="AK1053" s="549"/>
      <c r="AL1053" s="549"/>
      <c r="AM1053" s="549"/>
      <c r="AN1053" s="549"/>
      <c r="AO1053" s="549"/>
      <c r="AP1053" s="549"/>
      <c r="AQ1053" s="549"/>
      <c r="AR1053" s="549"/>
      <c r="AS1053" s="549"/>
      <c r="AT1053" s="549"/>
      <c r="AU1053" s="549"/>
      <c r="AV1053" s="549"/>
      <c r="AW1053" s="549"/>
      <c r="AX1053" s="549"/>
      <c r="AY1053" s="549"/>
      <c r="AZ1053" s="549"/>
      <c r="BA1053" s="549"/>
      <c r="BB1053" s="549"/>
      <c r="BC1053" s="549"/>
      <c r="BD1053" s="549"/>
      <c r="BE1053" s="549"/>
      <c r="BF1053" s="549"/>
      <c r="BG1053" s="549"/>
      <c r="BH1053" s="549"/>
      <c r="BI1053" s="549"/>
    </row>
    <row r="1054" spans="16:61" s="254" customFormat="1" ht="9.9">
      <c r="P1054" s="549"/>
      <c r="Q1054" s="549"/>
      <c r="R1054" s="549"/>
      <c r="S1054" s="549"/>
      <c r="T1054" s="549"/>
      <c r="U1054" s="549"/>
      <c r="V1054" s="549"/>
      <c r="W1054" s="549"/>
      <c r="X1054" s="549"/>
      <c r="Y1054" s="549"/>
      <c r="Z1054" s="549"/>
      <c r="AA1054" s="549"/>
      <c r="AB1054" s="549"/>
      <c r="AC1054" s="549"/>
      <c r="AD1054" s="549"/>
      <c r="AE1054" s="549"/>
      <c r="AF1054" s="549"/>
      <c r="AG1054" s="549"/>
      <c r="AH1054" s="549"/>
      <c r="AI1054" s="549"/>
      <c r="AJ1054" s="549"/>
      <c r="AK1054" s="549"/>
      <c r="AL1054" s="549"/>
      <c r="AM1054" s="549"/>
      <c r="AN1054" s="549"/>
      <c r="AO1054" s="549"/>
      <c r="AP1054" s="549"/>
      <c r="AQ1054" s="549"/>
      <c r="AR1054" s="549"/>
      <c r="AS1054" s="549"/>
      <c r="AT1054" s="549"/>
      <c r="AU1054" s="549"/>
      <c r="AV1054" s="549"/>
      <c r="AW1054" s="549"/>
      <c r="AX1054" s="549"/>
      <c r="AY1054" s="549"/>
      <c r="AZ1054" s="549"/>
      <c r="BA1054" s="549"/>
      <c r="BB1054" s="549"/>
      <c r="BC1054" s="549"/>
      <c r="BD1054" s="549"/>
      <c r="BE1054" s="549"/>
      <c r="BF1054" s="549"/>
      <c r="BG1054" s="549"/>
      <c r="BH1054" s="549"/>
      <c r="BI1054" s="549"/>
    </row>
    <row r="1055" spans="16:61" s="254" customFormat="1" ht="9.9">
      <c r="P1055" s="549"/>
      <c r="Q1055" s="549"/>
      <c r="R1055" s="549"/>
      <c r="S1055" s="549"/>
      <c r="T1055" s="549"/>
      <c r="U1055" s="549"/>
      <c r="V1055" s="549"/>
      <c r="W1055" s="549"/>
      <c r="X1055" s="549"/>
      <c r="Y1055" s="549"/>
      <c r="Z1055" s="549"/>
      <c r="AA1055" s="549"/>
      <c r="AB1055" s="549"/>
      <c r="AC1055" s="549"/>
      <c r="AD1055" s="549"/>
      <c r="AE1055" s="549"/>
      <c r="AF1055" s="549"/>
      <c r="AG1055" s="549"/>
      <c r="AH1055" s="549"/>
      <c r="AI1055" s="549"/>
      <c r="AJ1055" s="549"/>
      <c r="AK1055" s="549"/>
      <c r="AL1055" s="549"/>
      <c r="AM1055" s="549"/>
      <c r="AN1055" s="549"/>
      <c r="AO1055" s="549"/>
      <c r="AP1055" s="549"/>
      <c r="AQ1055" s="549"/>
      <c r="AR1055" s="549"/>
      <c r="AS1055" s="549"/>
      <c r="AT1055" s="549"/>
      <c r="AU1055" s="549"/>
      <c r="AV1055" s="549"/>
      <c r="AW1055" s="549"/>
      <c r="AX1055" s="549"/>
      <c r="AY1055" s="549"/>
      <c r="AZ1055" s="549"/>
      <c r="BA1055" s="549"/>
      <c r="BB1055" s="549"/>
      <c r="BC1055" s="549"/>
      <c r="BD1055" s="549"/>
      <c r="BE1055" s="549"/>
      <c r="BF1055" s="549"/>
      <c r="BG1055" s="549"/>
      <c r="BH1055" s="549"/>
      <c r="BI1055" s="549"/>
    </row>
    <row r="1056" spans="16:61" s="254" customFormat="1" ht="9.9">
      <c r="P1056" s="549"/>
      <c r="Q1056" s="549"/>
      <c r="R1056" s="549"/>
      <c r="S1056" s="549"/>
      <c r="T1056" s="549"/>
      <c r="U1056" s="549"/>
      <c r="V1056" s="549"/>
      <c r="W1056" s="549"/>
      <c r="X1056" s="549"/>
      <c r="Y1056" s="549"/>
      <c r="Z1056" s="549"/>
      <c r="AA1056" s="549"/>
      <c r="AB1056" s="549"/>
      <c r="AC1056" s="549"/>
      <c r="AD1056" s="549"/>
      <c r="AE1056" s="549"/>
      <c r="AF1056" s="549"/>
      <c r="AG1056" s="549"/>
      <c r="AH1056" s="549"/>
      <c r="AI1056" s="549"/>
      <c r="AJ1056" s="549"/>
      <c r="AK1056" s="549"/>
      <c r="AL1056" s="549"/>
      <c r="AM1056" s="549"/>
      <c r="AN1056" s="549"/>
      <c r="AO1056" s="549"/>
      <c r="AP1056" s="549"/>
      <c r="AQ1056" s="549"/>
      <c r="AR1056" s="549"/>
      <c r="AS1056" s="549"/>
      <c r="AT1056" s="549"/>
      <c r="AU1056" s="549"/>
      <c r="AV1056" s="549"/>
      <c r="AW1056" s="549"/>
      <c r="AX1056" s="549"/>
      <c r="AY1056" s="549"/>
      <c r="AZ1056" s="549"/>
      <c r="BA1056" s="549"/>
      <c r="BB1056" s="549"/>
      <c r="BC1056" s="549"/>
      <c r="BD1056" s="549"/>
      <c r="BE1056" s="549"/>
      <c r="BF1056" s="549"/>
      <c r="BG1056" s="549"/>
      <c r="BH1056" s="549"/>
      <c r="BI1056" s="549"/>
    </row>
    <row r="1057" spans="16:61" s="254" customFormat="1" ht="9.9">
      <c r="P1057" s="549"/>
      <c r="Q1057" s="549"/>
      <c r="R1057" s="549"/>
      <c r="S1057" s="549"/>
      <c r="T1057" s="549"/>
      <c r="U1057" s="549"/>
      <c r="V1057" s="549"/>
      <c r="W1057" s="549"/>
      <c r="X1057" s="549"/>
      <c r="Y1057" s="549"/>
      <c r="Z1057" s="549"/>
      <c r="AA1057" s="549"/>
      <c r="AB1057" s="549"/>
      <c r="AC1057" s="549"/>
      <c r="AD1057" s="549"/>
      <c r="AE1057" s="549"/>
      <c r="AF1057" s="549"/>
      <c r="AG1057" s="549"/>
      <c r="AH1057" s="549"/>
      <c r="AI1057" s="549"/>
      <c r="AJ1057" s="549"/>
      <c r="AK1057" s="549"/>
      <c r="AL1057" s="549"/>
      <c r="AM1057" s="549"/>
      <c r="AN1057" s="549"/>
      <c r="AO1057" s="549"/>
      <c r="AP1057" s="549"/>
      <c r="AQ1057" s="549"/>
      <c r="AR1057" s="549"/>
      <c r="AS1057" s="549"/>
      <c r="AT1057" s="549"/>
      <c r="AU1057" s="549"/>
      <c r="AV1057" s="549"/>
      <c r="AW1057" s="549"/>
      <c r="AX1057" s="549"/>
      <c r="AY1057" s="549"/>
      <c r="AZ1057" s="549"/>
      <c r="BA1057" s="549"/>
      <c r="BB1057" s="549"/>
      <c r="BC1057" s="549"/>
      <c r="BD1057" s="549"/>
      <c r="BE1057" s="549"/>
      <c r="BF1057" s="549"/>
      <c r="BG1057" s="549"/>
      <c r="BH1057" s="549"/>
      <c r="BI1057" s="549"/>
    </row>
    <row r="1058" spans="16:61" s="254" customFormat="1" ht="9.9">
      <c r="P1058" s="549"/>
      <c r="Q1058" s="549"/>
      <c r="R1058" s="549"/>
      <c r="S1058" s="549"/>
      <c r="T1058" s="549"/>
      <c r="U1058" s="549"/>
      <c r="V1058" s="549"/>
      <c r="W1058" s="549"/>
      <c r="X1058" s="549"/>
      <c r="Y1058" s="549"/>
      <c r="Z1058" s="549"/>
      <c r="AA1058" s="549"/>
      <c r="AB1058" s="549"/>
      <c r="AC1058" s="549"/>
      <c r="AD1058" s="549"/>
      <c r="AE1058" s="549"/>
      <c r="AF1058" s="549"/>
      <c r="AG1058" s="549"/>
      <c r="AH1058" s="549"/>
      <c r="AI1058" s="549"/>
      <c r="AJ1058" s="549"/>
      <c r="AK1058" s="549"/>
      <c r="AL1058" s="549"/>
      <c r="AM1058" s="549"/>
      <c r="AN1058" s="549"/>
      <c r="AO1058" s="549"/>
      <c r="AP1058" s="549"/>
      <c r="AQ1058" s="549"/>
      <c r="AR1058" s="549"/>
      <c r="AS1058" s="549"/>
      <c r="AT1058" s="549"/>
      <c r="AU1058" s="549"/>
      <c r="AV1058" s="549"/>
      <c r="AW1058" s="549"/>
      <c r="AX1058" s="549"/>
      <c r="AY1058" s="549"/>
      <c r="AZ1058" s="549"/>
      <c r="BA1058" s="549"/>
      <c r="BB1058" s="549"/>
      <c r="BC1058" s="549"/>
      <c r="BD1058" s="549"/>
      <c r="BE1058" s="549"/>
      <c r="BF1058" s="549"/>
      <c r="BG1058" s="549"/>
      <c r="BH1058" s="549"/>
      <c r="BI1058" s="549"/>
    </row>
    <row r="1059" spans="16:61" s="254" customFormat="1" ht="9.9">
      <c r="P1059" s="549"/>
      <c r="Q1059" s="549"/>
      <c r="R1059" s="549"/>
      <c r="S1059" s="549"/>
      <c r="T1059" s="549"/>
      <c r="U1059" s="549"/>
      <c r="V1059" s="549"/>
      <c r="W1059" s="549"/>
      <c r="X1059" s="549"/>
      <c r="Y1059" s="549"/>
      <c r="Z1059" s="549"/>
      <c r="AA1059" s="549"/>
      <c r="AB1059" s="549"/>
      <c r="AC1059" s="549"/>
      <c r="AD1059" s="549"/>
      <c r="AE1059" s="549"/>
      <c r="AF1059" s="549"/>
      <c r="AG1059" s="549"/>
      <c r="AH1059" s="549"/>
      <c r="AI1059" s="549"/>
      <c r="AJ1059" s="549"/>
      <c r="AK1059" s="549"/>
      <c r="AL1059" s="549"/>
      <c r="AM1059" s="549"/>
      <c r="AN1059" s="549"/>
      <c r="AO1059" s="549"/>
      <c r="AP1059" s="549"/>
      <c r="AQ1059" s="549"/>
      <c r="AR1059" s="549"/>
      <c r="AS1059" s="549"/>
      <c r="AT1059" s="549"/>
      <c r="AU1059" s="549"/>
      <c r="AV1059" s="549"/>
      <c r="AW1059" s="549"/>
      <c r="AX1059" s="549"/>
      <c r="AY1059" s="549"/>
      <c r="AZ1059" s="549"/>
      <c r="BA1059" s="549"/>
      <c r="BB1059" s="549"/>
      <c r="BC1059" s="549"/>
      <c r="BD1059" s="549"/>
      <c r="BE1059" s="549"/>
      <c r="BF1059" s="549"/>
      <c r="BG1059" s="549"/>
      <c r="BH1059" s="549"/>
      <c r="BI1059" s="549"/>
    </row>
    <row r="1060" spans="16:61" s="254" customFormat="1" ht="9.9">
      <c r="P1060" s="549"/>
      <c r="Q1060" s="549"/>
      <c r="R1060" s="549"/>
      <c r="S1060" s="549"/>
      <c r="T1060" s="549"/>
      <c r="U1060" s="549"/>
      <c r="V1060" s="549"/>
      <c r="W1060" s="549"/>
      <c r="X1060" s="549"/>
      <c r="Y1060" s="549"/>
      <c r="Z1060" s="549"/>
      <c r="AA1060" s="549"/>
      <c r="AB1060" s="549"/>
      <c r="AC1060" s="549"/>
      <c r="AD1060" s="549"/>
      <c r="AE1060" s="549"/>
      <c r="AF1060" s="549"/>
      <c r="AG1060" s="549"/>
      <c r="AH1060" s="549"/>
      <c r="AI1060" s="549"/>
      <c r="AJ1060" s="549"/>
      <c r="AK1060" s="549"/>
      <c r="AL1060" s="549"/>
      <c r="AM1060" s="549"/>
      <c r="AN1060" s="549"/>
      <c r="AO1060" s="549"/>
      <c r="AP1060" s="549"/>
      <c r="AQ1060" s="549"/>
      <c r="AR1060" s="549"/>
      <c r="AS1060" s="549"/>
      <c r="AT1060" s="549"/>
      <c r="AU1060" s="549"/>
      <c r="AV1060" s="549"/>
      <c r="AW1060" s="549"/>
      <c r="AX1060" s="549"/>
      <c r="AY1060" s="549"/>
      <c r="AZ1060" s="549"/>
      <c r="BA1060" s="549"/>
      <c r="BB1060" s="549"/>
      <c r="BC1060" s="549"/>
      <c r="BD1060" s="549"/>
      <c r="BE1060" s="549"/>
      <c r="BF1060" s="549"/>
      <c r="BG1060" s="549"/>
      <c r="BH1060" s="549"/>
      <c r="BI1060" s="549"/>
    </row>
    <row r="1061" spans="16:61" s="254" customFormat="1" ht="9.9">
      <c r="P1061" s="549"/>
      <c r="Q1061" s="549"/>
      <c r="R1061" s="549"/>
      <c r="S1061" s="549"/>
      <c r="T1061" s="549"/>
      <c r="U1061" s="549"/>
      <c r="V1061" s="549"/>
      <c r="W1061" s="549"/>
      <c r="X1061" s="549"/>
      <c r="Y1061" s="549"/>
      <c r="Z1061" s="549"/>
      <c r="AA1061" s="549"/>
      <c r="AB1061" s="549"/>
      <c r="AC1061" s="549"/>
      <c r="AD1061" s="549"/>
      <c r="AE1061" s="549"/>
      <c r="AF1061" s="549"/>
      <c r="AG1061" s="549"/>
      <c r="AH1061" s="549"/>
      <c r="AI1061" s="549"/>
      <c r="AJ1061" s="549"/>
      <c r="AK1061" s="549"/>
      <c r="AL1061" s="549"/>
      <c r="AM1061" s="549"/>
      <c r="AN1061" s="549"/>
      <c r="AO1061" s="549"/>
      <c r="AP1061" s="549"/>
      <c r="AQ1061" s="549"/>
      <c r="AR1061" s="549"/>
      <c r="AS1061" s="549"/>
      <c r="AT1061" s="549"/>
      <c r="AU1061" s="549"/>
      <c r="AV1061" s="549"/>
      <c r="AW1061" s="549"/>
      <c r="AX1061" s="549"/>
      <c r="AY1061" s="549"/>
      <c r="AZ1061" s="549"/>
      <c r="BA1061" s="549"/>
      <c r="BB1061" s="549"/>
      <c r="BC1061" s="549"/>
      <c r="BD1061" s="549"/>
      <c r="BE1061" s="549"/>
      <c r="BF1061" s="549"/>
      <c r="BG1061" s="549"/>
      <c r="BH1061" s="549"/>
      <c r="BI1061" s="549"/>
    </row>
    <row r="1062" spans="16:61" s="254" customFormat="1" ht="9.9">
      <c r="P1062" s="549"/>
      <c r="Q1062" s="549"/>
      <c r="R1062" s="549"/>
      <c r="S1062" s="549"/>
      <c r="T1062" s="549"/>
      <c r="U1062" s="549"/>
      <c r="V1062" s="549"/>
      <c r="W1062" s="549"/>
      <c r="X1062" s="549"/>
      <c r="Y1062" s="549"/>
      <c r="Z1062" s="549"/>
      <c r="AA1062" s="549"/>
      <c r="AB1062" s="549"/>
      <c r="AC1062" s="549"/>
      <c r="AD1062" s="549"/>
      <c r="AE1062" s="549"/>
      <c r="AF1062" s="549"/>
      <c r="AG1062" s="549"/>
      <c r="AH1062" s="549"/>
      <c r="AI1062" s="549"/>
      <c r="AJ1062" s="549"/>
      <c r="AK1062" s="549"/>
      <c r="AL1062" s="549"/>
      <c r="AM1062" s="549"/>
      <c r="AN1062" s="549"/>
      <c r="AO1062" s="549"/>
      <c r="AP1062" s="549"/>
      <c r="AQ1062" s="549"/>
      <c r="AR1062" s="549"/>
      <c r="AS1062" s="549"/>
      <c r="AT1062" s="549"/>
      <c r="AU1062" s="549"/>
      <c r="AV1062" s="549"/>
      <c r="AW1062" s="549"/>
      <c r="AX1062" s="549"/>
      <c r="AY1062" s="549"/>
      <c r="AZ1062" s="549"/>
      <c r="BA1062" s="549"/>
      <c r="BB1062" s="549"/>
      <c r="BC1062" s="549"/>
      <c r="BD1062" s="549"/>
      <c r="BE1062" s="549"/>
      <c r="BF1062" s="549"/>
      <c r="BG1062" s="549"/>
      <c r="BH1062" s="549"/>
      <c r="BI1062" s="549"/>
    </row>
    <row r="1063" spans="16:61" s="254" customFormat="1" ht="9.9">
      <c r="P1063" s="549"/>
      <c r="Q1063" s="549"/>
      <c r="R1063" s="549"/>
      <c r="S1063" s="549"/>
      <c r="T1063" s="549"/>
      <c r="U1063" s="549"/>
      <c r="V1063" s="549"/>
      <c r="W1063" s="549"/>
      <c r="X1063" s="549"/>
      <c r="Y1063" s="549"/>
      <c r="Z1063" s="549"/>
      <c r="AA1063" s="549"/>
      <c r="AB1063" s="549"/>
      <c r="AC1063" s="549"/>
      <c r="AD1063" s="549"/>
      <c r="AE1063" s="549"/>
      <c r="AF1063" s="549"/>
      <c r="AG1063" s="549"/>
      <c r="AH1063" s="549"/>
      <c r="AI1063" s="549"/>
      <c r="AJ1063" s="549"/>
      <c r="AK1063" s="549"/>
      <c r="AL1063" s="549"/>
      <c r="AM1063" s="549"/>
      <c r="AN1063" s="549"/>
      <c r="AO1063" s="549"/>
      <c r="AP1063" s="549"/>
      <c r="AQ1063" s="549"/>
      <c r="AR1063" s="549"/>
      <c r="AS1063" s="549"/>
      <c r="AT1063" s="549"/>
      <c r="AU1063" s="549"/>
      <c r="AV1063" s="549"/>
      <c r="AW1063" s="549"/>
      <c r="AX1063" s="549"/>
      <c r="AY1063" s="549"/>
      <c r="AZ1063" s="549"/>
      <c r="BA1063" s="549"/>
      <c r="BB1063" s="549"/>
      <c r="BC1063" s="549"/>
      <c r="BD1063" s="549"/>
      <c r="BE1063" s="549"/>
      <c r="BF1063" s="549"/>
      <c r="BG1063" s="549"/>
      <c r="BH1063" s="549"/>
      <c r="BI1063" s="549"/>
    </row>
    <row r="1064" spans="16:61" s="254" customFormat="1" ht="9.9">
      <c r="P1064" s="549"/>
      <c r="Q1064" s="549"/>
      <c r="R1064" s="549"/>
      <c r="S1064" s="549"/>
      <c r="T1064" s="549"/>
      <c r="U1064" s="549"/>
      <c r="V1064" s="549"/>
      <c r="W1064" s="549"/>
      <c r="X1064" s="549"/>
      <c r="Y1064" s="549"/>
      <c r="Z1064" s="549"/>
      <c r="AA1064" s="549"/>
      <c r="AB1064" s="549"/>
      <c r="AC1064" s="549"/>
      <c r="AD1064" s="549"/>
      <c r="AE1064" s="549"/>
      <c r="AF1064" s="549"/>
      <c r="AG1064" s="549"/>
      <c r="AH1064" s="549"/>
      <c r="AI1064" s="549"/>
      <c r="AJ1064" s="549"/>
      <c r="AK1064" s="549"/>
      <c r="AL1064" s="549"/>
      <c r="AM1064" s="549"/>
      <c r="AN1064" s="549"/>
      <c r="AO1064" s="549"/>
      <c r="AP1064" s="549"/>
      <c r="AQ1064" s="549"/>
      <c r="AR1064" s="549"/>
      <c r="AS1064" s="549"/>
      <c r="AT1064" s="549"/>
      <c r="AU1064" s="549"/>
      <c r="AV1064" s="549"/>
      <c r="AW1064" s="549"/>
      <c r="AX1064" s="549"/>
      <c r="AY1064" s="549"/>
      <c r="AZ1064" s="549"/>
      <c r="BA1064" s="549"/>
      <c r="BB1064" s="549"/>
      <c r="BC1064" s="549"/>
      <c r="BD1064" s="549"/>
      <c r="BE1064" s="549"/>
      <c r="BF1064" s="549"/>
      <c r="BG1064" s="549"/>
      <c r="BH1064" s="549"/>
      <c r="BI1064" s="549"/>
    </row>
    <row r="1065" spans="16:61" s="254" customFormat="1" ht="9.9">
      <c r="P1065" s="549"/>
      <c r="Q1065" s="549"/>
      <c r="R1065" s="549"/>
      <c r="S1065" s="549"/>
      <c r="T1065" s="549"/>
      <c r="U1065" s="549"/>
      <c r="V1065" s="549"/>
      <c r="W1065" s="549"/>
      <c r="X1065" s="549"/>
      <c r="Y1065" s="549"/>
      <c r="Z1065" s="549"/>
      <c r="AA1065" s="549"/>
      <c r="AB1065" s="549"/>
      <c r="AC1065" s="549"/>
      <c r="AD1065" s="549"/>
      <c r="AE1065" s="549"/>
      <c r="AF1065" s="549"/>
      <c r="AG1065" s="549"/>
      <c r="AH1065" s="549"/>
      <c r="AI1065" s="549"/>
      <c r="AJ1065" s="549"/>
      <c r="AK1065" s="549"/>
      <c r="AL1065" s="549"/>
      <c r="AM1065" s="549"/>
      <c r="AN1065" s="549"/>
      <c r="AO1065" s="549"/>
      <c r="AP1065" s="549"/>
      <c r="AQ1065" s="549"/>
      <c r="AR1065" s="549"/>
      <c r="AS1065" s="549"/>
      <c r="AT1065" s="549"/>
      <c r="AU1065" s="549"/>
      <c r="AV1065" s="549"/>
      <c r="AW1065" s="549"/>
      <c r="AX1065" s="549"/>
      <c r="AY1065" s="549"/>
      <c r="AZ1065" s="549"/>
      <c r="BA1065" s="549"/>
      <c r="BB1065" s="549"/>
      <c r="BC1065" s="549"/>
      <c r="BD1065" s="549"/>
      <c r="BE1065" s="549"/>
      <c r="BF1065" s="549"/>
      <c r="BG1065" s="549"/>
      <c r="BH1065" s="549"/>
      <c r="BI1065" s="549"/>
    </row>
    <row r="1066" spans="16:61" s="254" customFormat="1" ht="9.9">
      <c r="P1066" s="549"/>
      <c r="Q1066" s="549"/>
      <c r="R1066" s="549"/>
      <c r="S1066" s="549"/>
      <c r="T1066" s="549"/>
      <c r="U1066" s="549"/>
      <c r="V1066" s="549"/>
      <c r="W1066" s="549"/>
      <c r="X1066" s="549"/>
      <c r="Y1066" s="549"/>
      <c r="Z1066" s="549"/>
      <c r="AA1066" s="549"/>
      <c r="AB1066" s="549"/>
      <c r="AC1066" s="549"/>
      <c r="AD1066" s="549"/>
      <c r="AE1066" s="549"/>
      <c r="AF1066" s="549"/>
      <c r="AG1066" s="549"/>
      <c r="AH1066" s="549"/>
      <c r="AI1066" s="549"/>
      <c r="AJ1066" s="549"/>
      <c r="AK1066" s="549"/>
      <c r="AL1066" s="549"/>
      <c r="AM1066" s="549"/>
      <c r="AN1066" s="549"/>
      <c r="AO1066" s="549"/>
      <c r="AP1066" s="549"/>
      <c r="AQ1066" s="549"/>
      <c r="AR1066" s="549"/>
      <c r="AS1066" s="549"/>
      <c r="AT1066" s="549"/>
      <c r="AU1066" s="549"/>
      <c r="AV1066" s="549"/>
      <c r="AW1066" s="549"/>
      <c r="AX1066" s="549"/>
      <c r="AY1066" s="549"/>
      <c r="AZ1066" s="549"/>
      <c r="BA1066" s="549"/>
      <c r="BB1066" s="549"/>
      <c r="BC1066" s="549"/>
      <c r="BD1066" s="549"/>
      <c r="BE1066" s="549"/>
      <c r="BF1066" s="549"/>
      <c r="BG1066" s="549"/>
      <c r="BH1066" s="549"/>
      <c r="BI1066" s="549"/>
    </row>
    <row r="1067" spans="16:61" s="254" customFormat="1" ht="9.9">
      <c r="P1067" s="549"/>
      <c r="Q1067" s="549"/>
      <c r="R1067" s="549"/>
      <c r="S1067" s="549"/>
      <c r="T1067" s="549"/>
      <c r="U1067" s="549"/>
      <c r="V1067" s="549"/>
      <c r="W1067" s="549"/>
      <c r="X1067" s="549"/>
      <c r="Y1067" s="549"/>
      <c r="Z1067" s="549"/>
      <c r="AA1067" s="549"/>
      <c r="AB1067" s="549"/>
      <c r="AC1067" s="549"/>
      <c r="AD1067" s="549"/>
      <c r="AE1067" s="549"/>
      <c r="AF1067" s="549"/>
      <c r="AG1067" s="549"/>
      <c r="AH1067" s="549"/>
      <c r="AI1067" s="549"/>
      <c r="AJ1067" s="549"/>
      <c r="AK1067" s="549"/>
      <c r="AL1067" s="549"/>
      <c r="AM1067" s="549"/>
      <c r="AN1067" s="549"/>
      <c r="AO1067" s="549"/>
      <c r="AP1067" s="549"/>
      <c r="AQ1067" s="549"/>
      <c r="AR1067" s="549"/>
      <c r="AS1067" s="549"/>
      <c r="AT1067" s="549"/>
      <c r="AU1067" s="549"/>
      <c r="AV1067" s="549"/>
      <c r="AW1067" s="549"/>
      <c r="AX1067" s="549"/>
      <c r="AY1067" s="549"/>
      <c r="AZ1067" s="549"/>
      <c r="BA1067" s="549"/>
      <c r="BB1067" s="549"/>
      <c r="BC1067" s="549"/>
      <c r="BD1067" s="549"/>
      <c r="BE1067" s="549"/>
      <c r="BF1067" s="549"/>
      <c r="BG1067" s="549"/>
      <c r="BH1067" s="549"/>
      <c r="BI1067" s="549"/>
    </row>
    <row r="1068" spans="16:61" s="254" customFormat="1" ht="9.9">
      <c r="P1068" s="549"/>
      <c r="Q1068" s="549"/>
      <c r="R1068" s="549"/>
      <c r="S1068" s="549"/>
      <c r="T1068" s="549"/>
      <c r="U1068" s="549"/>
      <c r="V1068" s="549"/>
      <c r="W1068" s="549"/>
      <c r="X1068" s="549"/>
      <c r="Y1068" s="549"/>
      <c r="Z1068" s="549"/>
      <c r="AA1068" s="549"/>
      <c r="AB1068" s="549"/>
      <c r="AC1068" s="549"/>
      <c r="AD1068" s="549"/>
      <c r="AE1068" s="549"/>
      <c r="AF1068" s="549"/>
      <c r="AG1068" s="549"/>
      <c r="AH1068" s="549"/>
      <c r="AI1068" s="549"/>
      <c r="AJ1068" s="549"/>
      <c r="AK1068" s="549"/>
      <c r="AL1068" s="549"/>
      <c r="AM1068" s="549"/>
      <c r="AN1068" s="549"/>
      <c r="AO1068" s="549"/>
      <c r="AP1068" s="549"/>
      <c r="AQ1068" s="549"/>
      <c r="AR1068" s="549"/>
      <c r="AS1068" s="549"/>
      <c r="AT1068" s="549"/>
      <c r="AU1068" s="549"/>
      <c r="AV1068" s="549"/>
      <c r="AW1068" s="549"/>
      <c r="AX1068" s="549"/>
      <c r="AY1068" s="549"/>
      <c r="AZ1068" s="549"/>
      <c r="BA1068" s="549"/>
      <c r="BB1068" s="549"/>
      <c r="BC1068" s="549"/>
      <c r="BD1068" s="549"/>
      <c r="BE1068" s="549"/>
      <c r="BF1068" s="549"/>
      <c r="BG1068" s="549"/>
      <c r="BH1068" s="549"/>
      <c r="BI1068" s="549"/>
    </row>
    <row r="1069" spans="16:61" s="254" customFormat="1" ht="9.9">
      <c r="P1069" s="549"/>
      <c r="Q1069" s="549"/>
      <c r="R1069" s="549"/>
      <c r="S1069" s="549"/>
      <c r="T1069" s="549"/>
      <c r="U1069" s="549"/>
      <c r="V1069" s="549"/>
      <c r="W1069" s="549"/>
      <c r="X1069" s="549"/>
      <c r="Y1069" s="549"/>
      <c r="Z1069" s="549"/>
      <c r="AA1069" s="549"/>
      <c r="AB1069" s="549"/>
      <c r="AC1069" s="549"/>
      <c r="AD1069" s="549"/>
      <c r="AE1069" s="549"/>
      <c r="AF1069" s="549"/>
      <c r="AG1069" s="549"/>
      <c r="AH1069" s="549"/>
      <c r="AI1069" s="549"/>
      <c r="AJ1069" s="549"/>
      <c r="AK1069" s="549"/>
      <c r="AL1069" s="549"/>
      <c r="AM1069" s="549"/>
      <c r="AN1069" s="549"/>
      <c r="AO1069" s="549"/>
      <c r="AP1069" s="549"/>
      <c r="AQ1069" s="549"/>
      <c r="AR1069" s="549"/>
      <c r="AS1069" s="549"/>
      <c r="AT1069" s="549"/>
      <c r="AU1069" s="549"/>
      <c r="AV1069" s="549"/>
      <c r="AW1069" s="549"/>
      <c r="AX1069" s="549"/>
      <c r="AY1069" s="549"/>
      <c r="AZ1069" s="549"/>
      <c r="BA1069" s="549"/>
      <c r="BB1069" s="549"/>
      <c r="BC1069" s="549"/>
      <c r="BD1069" s="549"/>
      <c r="BE1069" s="549"/>
      <c r="BF1069" s="549"/>
      <c r="BG1069" s="549"/>
      <c r="BH1069" s="549"/>
      <c r="BI1069" s="549"/>
    </row>
    <row r="1070" spans="16:61" s="254" customFormat="1" ht="9.9">
      <c r="P1070" s="549"/>
      <c r="Q1070" s="549"/>
      <c r="R1070" s="549"/>
      <c r="S1070" s="549"/>
      <c r="T1070" s="549"/>
      <c r="U1070" s="549"/>
      <c r="V1070" s="549"/>
      <c r="W1070" s="549"/>
      <c r="X1070" s="549"/>
      <c r="Y1070" s="549"/>
      <c r="Z1070" s="549"/>
      <c r="AA1070" s="549"/>
      <c r="AB1070" s="549"/>
      <c r="AC1070" s="549"/>
      <c r="AD1070" s="549"/>
      <c r="AE1070" s="549"/>
      <c r="AF1070" s="549"/>
      <c r="AG1070" s="549"/>
      <c r="AH1070" s="549"/>
      <c r="AI1070" s="549"/>
      <c r="AJ1070" s="549"/>
      <c r="AK1070" s="549"/>
      <c r="AL1070" s="549"/>
      <c r="AM1070" s="549"/>
      <c r="AN1070" s="549"/>
      <c r="AO1070" s="549"/>
      <c r="AP1070" s="549"/>
      <c r="AQ1070" s="549"/>
      <c r="AR1070" s="549"/>
      <c r="AS1070" s="549"/>
      <c r="AT1070" s="549"/>
      <c r="AU1070" s="549"/>
      <c r="AV1070" s="549"/>
      <c r="AW1070" s="549"/>
      <c r="AX1070" s="549"/>
      <c r="AY1070" s="549"/>
      <c r="AZ1070" s="549"/>
      <c r="BA1070" s="549"/>
      <c r="BB1070" s="549"/>
      <c r="BC1070" s="549"/>
      <c r="BD1070" s="549"/>
      <c r="BE1070" s="549"/>
      <c r="BF1070" s="549"/>
      <c r="BG1070" s="549"/>
      <c r="BH1070" s="549"/>
      <c r="BI1070" s="549"/>
    </row>
    <row r="1071" spans="16:61" s="254" customFormat="1" ht="9.9">
      <c r="P1071" s="549"/>
      <c r="Q1071" s="549"/>
      <c r="R1071" s="549"/>
      <c r="S1071" s="549"/>
      <c r="T1071" s="549"/>
      <c r="U1071" s="549"/>
      <c r="V1071" s="549"/>
      <c r="W1071" s="549"/>
      <c r="X1071" s="549"/>
      <c r="Y1071" s="549"/>
      <c r="Z1071" s="549"/>
      <c r="AA1071" s="549"/>
      <c r="AB1071" s="549"/>
      <c r="AC1071" s="549"/>
      <c r="AD1071" s="549"/>
      <c r="AE1071" s="549"/>
      <c r="AF1071" s="549"/>
      <c r="AG1071" s="549"/>
      <c r="AH1071" s="549"/>
      <c r="AI1071" s="549"/>
      <c r="AJ1071" s="549"/>
      <c r="AK1071" s="549"/>
      <c r="AL1071" s="549"/>
      <c r="AM1071" s="549"/>
      <c r="AN1071" s="549"/>
      <c r="AO1071" s="549"/>
      <c r="AP1071" s="549"/>
      <c r="AQ1071" s="549"/>
      <c r="AR1071" s="549"/>
      <c r="AS1071" s="549"/>
      <c r="AT1071" s="549"/>
      <c r="AU1071" s="549"/>
      <c r="AV1071" s="549"/>
      <c r="AW1071" s="549"/>
      <c r="AX1071" s="549"/>
      <c r="AY1071" s="549"/>
      <c r="AZ1071" s="549"/>
      <c r="BA1071" s="549"/>
      <c r="BB1071" s="549"/>
      <c r="BC1071" s="549"/>
      <c r="BD1071" s="549"/>
      <c r="BE1071" s="549"/>
      <c r="BF1071" s="549"/>
      <c r="BG1071" s="549"/>
      <c r="BH1071" s="549"/>
      <c r="BI1071" s="549"/>
    </row>
    <row r="1072" spans="16:61" s="254" customFormat="1" ht="9.9">
      <c r="P1072" s="549"/>
      <c r="Q1072" s="549"/>
      <c r="R1072" s="549"/>
      <c r="S1072" s="549"/>
      <c r="T1072" s="549"/>
      <c r="U1072" s="549"/>
      <c r="V1072" s="549"/>
      <c r="W1072" s="549"/>
      <c r="X1072" s="549"/>
      <c r="Y1072" s="549"/>
      <c r="Z1072" s="549"/>
      <c r="AA1072" s="549"/>
      <c r="AB1072" s="549"/>
      <c r="AC1072" s="549"/>
      <c r="AD1072" s="549"/>
      <c r="AE1072" s="549"/>
      <c r="AF1072" s="549"/>
      <c r="AG1072" s="549"/>
      <c r="AH1072" s="549"/>
      <c r="AI1072" s="549"/>
      <c r="AJ1072" s="549"/>
      <c r="AK1072" s="549"/>
      <c r="AL1072" s="549"/>
      <c r="AM1072" s="549"/>
      <c r="AN1072" s="549"/>
      <c r="AO1072" s="549"/>
      <c r="AP1072" s="549"/>
      <c r="AQ1072" s="549"/>
      <c r="AR1072" s="549"/>
      <c r="AS1072" s="549"/>
      <c r="AT1072" s="549"/>
      <c r="AU1072" s="549"/>
      <c r="AV1072" s="549"/>
      <c r="AW1072" s="549"/>
      <c r="AX1072" s="549"/>
      <c r="AY1072" s="549"/>
      <c r="AZ1072" s="549"/>
      <c r="BA1072" s="549"/>
      <c r="BB1072" s="549"/>
      <c r="BC1072" s="549"/>
      <c r="BD1072" s="549"/>
      <c r="BE1072" s="549"/>
      <c r="BF1072" s="549"/>
      <c r="BG1072" s="549"/>
      <c r="BH1072" s="549"/>
      <c r="BI1072" s="549"/>
    </row>
    <row r="1073" spans="16:61" s="254" customFormat="1" ht="9.9">
      <c r="P1073" s="549"/>
      <c r="Q1073" s="549"/>
      <c r="R1073" s="549"/>
      <c r="S1073" s="549"/>
      <c r="T1073" s="549"/>
      <c r="U1073" s="549"/>
      <c r="V1073" s="549"/>
      <c r="W1073" s="549"/>
      <c r="X1073" s="549"/>
      <c r="Y1073" s="549"/>
      <c r="Z1073" s="549"/>
      <c r="AA1073" s="549"/>
      <c r="AB1073" s="549"/>
      <c r="AC1073" s="549"/>
      <c r="AD1073" s="549"/>
      <c r="AE1073" s="549"/>
      <c r="AF1073" s="549"/>
      <c r="AG1073" s="549"/>
      <c r="AH1073" s="549"/>
      <c r="AI1073" s="549"/>
      <c r="AJ1073" s="549"/>
      <c r="AK1073" s="549"/>
      <c r="AL1073" s="549"/>
      <c r="AM1073" s="549"/>
      <c r="AN1073" s="549"/>
      <c r="AO1073" s="549"/>
      <c r="AP1073" s="549"/>
      <c r="AQ1073" s="549"/>
      <c r="AR1073" s="549"/>
      <c r="AS1073" s="549"/>
      <c r="AT1073" s="549"/>
      <c r="AU1073" s="549"/>
      <c r="AV1073" s="549"/>
      <c r="AW1073" s="549"/>
      <c r="AX1073" s="549"/>
      <c r="AY1073" s="549"/>
      <c r="AZ1073" s="549"/>
      <c r="BA1073" s="549"/>
      <c r="BB1073" s="549"/>
      <c r="BC1073" s="549"/>
      <c r="BD1073" s="549"/>
      <c r="BE1073" s="549"/>
      <c r="BF1073" s="549"/>
      <c r="BG1073" s="549"/>
      <c r="BH1073" s="549"/>
      <c r="BI1073" s="549"/>
    </row>
    <row r="1074" spans="16:61" s="254" customFormat="1" ht="9.9">
      <c r="P1074" s="549"/>
      <c r="Q1074" s="549"/>
      <c r="R1074" s="549"/>
      <c r="S1074" s="549"/>
      <c r="T1074" s="549"/>
      <c r="U1074" s="549"/>
      <c r="V1074" s="549"/>
      <c r="W1074" s="549"/>
      <c r="X1074" s="549"/>
      <c r="Y1074" s="549"/>
      <c r="Z1074" s="549"/>
      <c r="AA1074" s="549"/>
      <c r="AB1074" s="549"/>
      <c r="AC1074" s="549"/>
      <c r="AD1074" s="549"/>
      <c r="AE1074" s="549"/>
      <c r="AF1074" s="549"/>
      <c r="AG1074" s="549"/>
      <c r="AH1074" s="549"/>
      <c r="AI1074" s="549"/>
      <c r="AJ1074" s="549"/>
      <c r="AK1074" s="549"/>
      <c r="AL1074" s="549"/>
      <c r="AM1074" s="549"/>
      <c r="AN1074" s="549"/>
      <c r="AO1074" s="549"/>
      <c r="AP1074" s="549"/>
      <c r="AQ1074" s="549"/>
      <c r="AR1074" s="549"/>
      <c r="AS1074" s="549"/>
      <c r="AT1074" s="549"/>
      <c r="AU1074" s="549"/>
      <c r="AV1074" s="549"/>
      <c r="AW1074" s="549"/>
      <c r="AX1074" s="549"/>
      <c r="AY1074" s="549"/>
      <c r="AZ1074" s="549"/>
      <c r="BA1074" s="549"/>
      <c r="BB1074" s="549"/>
      <c r="BC1074" s="549"/>
      <c r="BD1074" s="549"/>
      <c r="BE1074" s="549"/>
      <c r="BF1074" s="549"/>
      <c r="BG1074" s="549"/>
      <c r="BH1074" s="549"/>
      <c r="BI1074" s="549"/>
    </row>
    <row r="1075" spans="16:61" s="254" customFormat="1" ht="9.9">
      <c r="P1075" s="549"/>
      <c r="Q1075" s="549"/>
      <c r="R1075" s="549"/>
      <c r="S1075" s="549"/>
      <c r="T1075" s="549"/>
      <c r="U1075" s="549"/>
      <c r="V1075" s="549"/>
      <c r="W1075" s="549"/>
      <c r="X1075" s="549"/>
      <c r="Y1075" s="549"/>
      <c r="Z1075" s="549"/>
      <c r="AA1075" s="549"/>
      <c r="AB1075" s="549"/>
      <c r="AC1075" s="549"/>
      <c r="AD1075" s="549"/>
      <c r="AE1075" s="549"/>
      <c r="AF1075" s="549"/>
      <c r="AG1075" s="549"/>
      <c r="AH1075" s="549"/>
      <c r="AI1075" s="549"/>
      <c r="AJ1075" s="549"/>
      <c r="AK1075" s="549"/>
      <c r="AL1075" s="549"/>
      <c r="AM1075" s="549"/>
      <c r="AN1075" s="549"/>
      <c r="AO1075" s="549"/>
      <c r="AP1075" s="549"/>
      <c r="AQ1075" s="549"/>
      <c r="AR1075" s="549"/>
      <c r="AS1075" s="549"/>
      <c r="AT1075" s="549"/>
      <c r="AU1075" s="549"/>
      <c r="AV1075" s="549"/>
      <c r="AW1075" s="549"/>
      <c r="AX1075" s="549"/>
      <c r="AY1075" s="549"/>
      <c r="AZ1075" s="549"/>
      <c r="BA1075" s="549"/>
      <c r="BB1075" s="549"/>
      <c r="BC1075" s="549"/>
      <c r="BD1075" s="549"/>
      <c r="BE1075" s="549"/>
      <c r="BF1075" s="549"/>
      <c r="BG1075" s="549"/>
      <c r="BH1075" s="549"/>
      <c r="BI1075" s="549"/>
    </row>
    <row r="1076" spans="16:61" s="254" customFormat="1" ht="9.9">
      <c r="P1076" s="549"/>
      <c r="Q1076" s="549"/>
      <c r="R1076" s="549"/>
      <c r="S1076" s="549"/>
      <c r="T1076" s="549"/>
      <c r="U1076" s="549"/>
      <c r="V1076" s="549"/>
      <c r="W1076" s="549"/>
      <c r="X1076" s="549"/>
      <c r="Y1076" s="549"/>
      <c r="Z1076" s="549"/>
      <c r="AA1076" s="549"/>
      <c r="AB1076" s="549"/>
      <c r="AC1076" s="549"/>
      <c r="AD1076" s="549"/>
      <c r="AE1076" s="549"/>
      <c r="AF1076" s="549"/>
      <c r="AG1076" s="549"/>
      <c r="AH1076" s="549"/>
      <c r="AI1076" s="549"/>
      <c r="AJ1076" s="549"/>
      <c r="AK1076" s="549"/>
      <c r="AL1076" s="549"/>
      <c r="AM1076" s="549"/>
      <c r="AN1076" s="549"/>
      <c r="AO1076" s="549"/>
      <c r="AP1076" s="549"/>
      <c r="AQ1076" s="549"/>
      <c r="AR1076" s="549"/>
      <c r="AS1076" s="549"/>
      <c r="AT1076" s="549"/>
      <c r="AU1076" s="549"/>
      <c r="AV1076" s="549"/>
      <c r="AW1076" s="549"/>
      <c r="AX1076" s="549"/>
      <c r="AY1076" s="549"/>
      <c r="AZ1076" s="549"/>
      <c r="BA1076" s="549"/>
      <c r="BB1076" s="549"/>
      <c r="BC1076" s="549"/>
      <c r="BD1076" s="549"/>
      <c r="BE1076" s="549"/>
      <c r="BF1076" s="549"/>
      <c r="BG1076" s="549"/>
      <c r="BH1076" s="549"/>
      <c r="BI1076" s="549"/>
    </row>
    <row r="1077" spans="16:61" s="254" customFormat="1" ht="9.9">
      <c r="P1077" s="549"/>
      <c r="Q1077" s="549"/>
      <c r="R1077" s="549"/>
      <c r="S1077" s="549"/>
      <c r="T1077" s="549"/>
      <c r="U1077" s="549"/>
      <c r="V1077" s="549"/>
      <c r="W1077" s="549"/>
      <c r="X1077" s="549"/>
      <c r="Y1077" s="549"/>
      <c r="Z1077" s="549"/>
      <c r="AA1077" s="549"/>
      <c r="AB1077" s="549"/>
      <c r="AC1077" s="549"/>
      <c r="AD1077" s="549"/>
      <c r="AE1077" s="549"/>
      <c r="AF1077" s="549"/>
      <c r="AG1077" s="549"/>
      <c r="AH1077" s="549"/>
      <c r="AI1077" s="549"/>
      <c r="AJ1077" s="549"/>
      <c r="AK1077" s="549"/>
      <c r="AL1077" s="549"/>
      <c r="AM1077" s="549"/>
      <c r="AN1077" s="549"/>
      <c r="AO1077" s="549"/>
      <c r="AP1077" s="549"/>
      <c r="AQ1077" s="549"/>
      <c r="AR1077" s="549"/>
      <c r="AS1077" s="549"/>
      <c r="AT1077" s="549"/>
      <c r="AU1077" s="549"/>
      <c r="AV1077" s="549"/>
      <c r="AW1077" s="549"/>
      <c r="AX1077" s="549"/>
      <c r="AY1077" s="549"/>
      <c r="AZ1077" s="549"/>
      <c r="BA1077" s="549"/>
      <c r="BB1077" s="549"/>
      <c r="BC1077" s="549"/>
      <c r="BD1077" s="549"/>
      <c r="BE1077" s="549"/>
      <c r="BF1077" s="549"/>
      <c r="BG1077" s="549"/>
      <c r="BH1077" s="549"/>
      <c r="BI1077" s="549"/>
    </row>
    <row r="1078" spans="16:61" s="254" customFormat="1" ht="9.9">
      <c r="P1078" s="549"/>
      <c r="Q1078" s="549"/>
      <c r="R1078" s="549"/>
      <c r="S1078" s="549"/>
      <c r="T1078" s="549"/>
      <c r="U1078" s="549"/>
      <c r="V1078" s="549"/>
      <c r="W1078" s="549"/>
      <c r="X1078" s="549"/>
      <c r="Y1078" s="549"/>
      <c r="Z1078" s="549"/>
      <c r="AA1078" s="549"/>
      <c r="AB1078" s="549"/>
      <c r="AC1078" s="549"/>
      <c r="AD1078" s="549"/>
      <c r="AE1078" s="549"/>
      <c r="AF1078" s="549"/>
      <c r="AG1078" s="549"/>
      <c r="AH1078" s="549"/>
      <c r="AI1078" s="549"/>
      <c r="AJ1078" s="549"/>
      <c r="AK1078" s="549"/>
      <c r="AL1078" s="549"/>
      <c r="AM1078" s="549"/>
      <c r="AN1078" s="549"/>
      <c r="AO1078" s="549"/>
      <c r="AP1078" s="549"/>
      <c r="AQ1078" s="549"/>
      <c r="AR1078" s="549"/>
      <c r="AS1078" s="549"/>
      <c r="AT1078" s="549"/>
      <c r="AU1078" s="549"/>
      <c r="AV1078" s="549"/>
      <c r="AW1078" s="549"/>
      <c r="AX1078" s="549"/>
      <c r="AY1078" s="549"/>
      <c r="AZ1078" s="549"/>
      <c r="BA1078" s="549"/>
      <c r="BB1078" s="549"/>
      <c r="BC1078" s="549"/>
      <c r="BD1078" s="549"/>
      <c r="BE1078" s="549"/>
      <c r="BF1078" s="549"/>
      <c r="BG1078" s="549"/>
      <c r="BH1078" s="549"/>
      <c r="BI1078" s="549"/>
    </row>
    <row r="1079" spans="16:61" s="254" customFormat="1" ht="9.9">
      <c r="P1079" s="549"/>
      <c r="Q1079" s="549"/>
      <c r="R1079" s="549"/>
      <c r="S1079" s="549"/>
      <c r="T1079" s="549"/>
      <c r="U1079" s="549"/>
      <c r="V1079" s="549"/>
      <c r="W1079" s="549"/>
      <c r="X1079" s="549"/>
      <c r="Y1079" s="549"/>
      <c r="Z1079" s="549"/>
      <c r="AA1079" s="549"/>
      <c r="AB1079" s="549"/>
      <c r="AC1079" s="549"/>
      <c r="AD1079" s="549"/>
      <c r="AE1079" s="549"/>
      <c r="AF1079" s="549"/>
      <c r="AG1079" s="549"/>
      <c r="AH1079" s="549"/>
      <c r="AI1079" s="549"/>
      <c r="AJ1079" s="549"/>
      <c r="AK1079" s="549"/>
      <c r="AL1079" s="549"/>
      <c r="AM1079" s="549"/>
      <c r="AN1079" s="549"/>
      <c r="AO1079" s="549"/>
      <c r="AP1079" s="549"/>
      <c r="AQ1079" s="549"/>
      <c r="AR1079" s="549"/>
      <c r="AS1079" s="549"/>
      <c r="AT1079" s="549"/>
      <c r="AU1079" s="549"/>
      <c r="AV1079" s="549"/>
      <c r="AW1079" s="549"/>
      <c r="AX1079" s="549"/>
      <c r="AY1079" s="549"/>
      <c r="AZ1079" s="549"/>
      <c r="BA1079" s="549"/>
      <c r="BB1079" s="549"/>
      <c r="BC1079" s="549"/>
      <c r="BD1079" s="549"/>
      <c r="BE1079" s="549"/>
      <c r="BF1079" s="549"/>
      <c r="BG1079" s="549"/>
      <c r="BH1079" s="549"/>
      <c r="BI1079" s="549"/>
    </row>
    <row r="1080" spans="16:61" s="254" customFormat="1" ht="9.9">
      <c r="P1080" s="549"/>
      <c r="Q1080" s="549"/>
      <c r="R1080" s="549"/>
      <c r="S1080" s="549"/>
      <c r="T1080" s="549"/>
      <c r="U1080" s="549"/>
      <c r="V1080" s="549"/>
      <c r="W1080" s="549"/>
      <c r="X1080" s="549"/>
      <c r="Y1080" s="549"/>
      <c r="Z1080" s="549"/>
      <c r="AA1080" s="549"/>
      <c r="AB1080" s="549"/>
      <c r="AC1080" s="549"/>
      <c r="AD1080" s="549"/>
      <c r="AE1080" s="549"/>
      <c r="AF1080" s="549"/>
      <c r="AG1080" s="549"/>
      <c r="AH1080" s="549"/>
      <c r="AI1080" s="549"/>
      <c r="AJ1080" s="549"/>
      <c r="AK1080" s="549"/>
      <c r="AL1080" s="549"/>
      <c r="AM1080" s="549"/>
      <c r="AN1080" s="549"/>
      <c r="AO1080" s="549"/>
      <c r="AP1080" s="549"/>
      <c r="AQ1080" s="549"/>
      <c r="AR1080" s="549"/>
      <c r="AS1080" s="549"/>
      <c r="AT1080" s="549"/>
      <c r="AU1080" s="549"/>
      <c r="AV1080" s="549"/>
      <c r="AW1080" s="549"/>
      <c r="AX1080" s="549"/>
      <c r="AY1080" s="549"/>
      <c r="AZ1080" s="549"/>
      <c r="BA1080" s="549"/>
      <c r="BB1080" s="549"/>
      <c r="BC1080" s="549"/>
      <c r="BD1080" s="549"/>
      <c r="BE1080" s="549"/>
      <c r="BF1080" s="549"/>
      <c r="BG1080" s="549"/>
      <c r="BH1080" s="549"/>
      <c r="BI1080" s="549"/>
    </row>
    <row r="1081" spans="16:61" s="254" customFormat="1" ht="9.9">
      <c r="P1081" s="549"/>
      <c r="Q1081" s="549"/>
      <c r="R1081" s="549"/>
      <c r="S1081" s="549"/>
      <c r="T1081" s="549"/>
      <c r="U1081" s="549"/>
      <c r="V1081" s="549"/>
      <c r="W1081" s="549"/>
      <c r="X1081" s="549"/>
      <c r="Y1081" s="549"/>
      <c r="Z1081" s="549"/>
      <c r="AA1081" s="549"/>
      <c r="AB1081" s="549"/>
      <c r="AC1081" s="549"/>
      <c r="AD1081" s="549"/>
      <c r="AE1081" s="549"/>
      <c r="AF1081" s="549"/>
      <c r="AG1081" s="549"/>
      <c r="AH1081" s="549"/>
      <c r="AI1081" s="549"/>
      <c r="AJ1081" s="549"/>
      <c r="AK1081" s="549"/>
      <c r="AL1081" s="549"/>
      <c r="AM1081" s="549"/>
      <c r="AN1081" s="549"/>
      <c r="AO1081" s="549"/>
      <c r="AP1081" s="549"/>
      <c r="AQ1081" s="549"/>
      <c r="AR1081" s="549"/>
      <c r="AS1081" s="549"/>
      <c r="AT1081" s="549"/>
      <c r="AU1081" s="549"/>
      <c r="AV1081" s="549"/>
      <c r="AW1081" s="549"/>
      <c r="AX1081" s="549"/>
      <c r="AY1081" s="549"/>
      <c r="AZ1081" s="549"/>
      <c r="BA1081" s="549"/>
      <c r="BB1081" s="549"/>
      <c r="BC1081" s="549"/>
      <c r="BD1081" s="549"/>
      <c r="BE1081" s="549"/>
      <c r="BF1081" s="549"/>
      <c r="BG1081" s="549"/>
      <c r="BH1081" s="549"/>
      <c r="BI1081" s="549"/>
    </row>
    <row r="1082" spans="16:61" s="254" customFormat="1" ht="9.9">
      <c r="P1082" s="549"/>
      <c r="Q1082" s="549"/>
      <c r="R1082" s="549"/>
      <c r="S1082" s="549"/>
      <c r="T1082" s="549"/>
      <c r="U1082" s="549"/>
      <c r="V1082" s="549"/>
      <c r="W1082" s="549"/>
      <c r="X1082" s="549"/>
      <c r="Y1082" s="549"/>
      <c r="Z1082" s="549"/>
      <c r="AA1082" s="549"/>
      <c r="AB1082" s="549"/>
      <c r="AC1082" s="549"/>
      <c r="AD1082" s="549"/>
      <c r="AE1082" s="549"/>
      <c r="AF1082" s="549"/>
      <c r="AG1082" s="549"/>
      <c r="AH1082" s="549"/>
      <c r="AI1082" s="549"/>
      <c r="AJ1082" s="549"/>
      <c r="AK1082" s="549"/>
      <c r="AL1082" s="549"/>
      <c r="AM1082" s="549"/>
      <c r="AN1082" s="549"/>
      <c r="AO1082" s="549"/>
      <c r="AP1082" s="549"/>
      <c r="AQ1082" s="549"/>
      <c r="AR1082" s="549"/>
      <c r="AS1082" s="549"/>
      <c r="AT1082" s="549"/>
      <c r="AU1082" s="549"/>
      <c r="AV1082" s="549"/>
      <c r="AW1082" s="549"/>
      <c r="AX1082" s="549"/>
      <c r="AY1082" s="549"/>
      <c r="AZ1082" s="549"/>
      <c r="BA1082" s="549"/>
      <c r="BB1082" s="549"/>
      <c r="BC1082" s="549"/>
      <c r="BD1082" s="549"/>
      <c r="BE1082" s="549"/>
      <c r="BF1082" s="549"/>
      <c r="BG1082" s="549"/>
      <c r="BH1082" s="549"/>
      <c r="BI1082" s="549"/>
    </row>
    <row r="1083" spans="16:61" s="254" customFormat="1" ht="9.9">
      <c r="P1083" s="549"/>
      <c r="Q1083" s="549"/>
      <c r="R1083" s="549"/>
      <c r="S1083" s="549"/>
      <c r="T1083" s="549"/>
      <c r="U1083" s="549"/>
      <c r="V1083" s="549"/>
      <c r="W1083" s="549"/>
      <c r="X1083" s="549"/>
      <c r="Y1083" s="549"/>
      <c r="Z1083" s="549"/>
      <c r="AA1083" s="549"/>
      <c r="AB1083" s="549"/>
      <c r="AC1083" s="549"/>
      <c r="AD1083" s="549"/>
      <c r="AE1083" s="549"/>
      <c r="AF1083" s="549"/>
      <c r="AG1083" s="549"/>
      <c r="AH1083" s="549"/>
      <c r="AI1083" s="549"/>
      <c r="AJ1083" s="549"/>
      <c r="AK1083" s="549"/>
      <c r="AL1083" s="549"/>
      <c r="AM1083" s="549"/>
      <c r="AN1083" s="549"/>
      <c r="AO1083" s="549"/>
      <c r="AP1083" s="549"/>
      <c r="AQ1083" s="549"/>
      <c r="AR1083" s="549"/>
      <c r="AS1083" s="549"/>
      <c r="AT1083" s="549"/>
      <c r="AU1083" s="549"/>
      <c r="AV1083" s="549"/>
      <c r="AW1083" s="549"/>
      <c r="AX1083" s="549"/>
      <c r="AY1083" s="549"/>
      <c r="AZ1083" s="549"/>
      <c r="BA1083" s="549"/>
      <c r="BB1083" s="549"/>
      <c r="BC1083" s="549"/>
      <c r="BD1083" s="549"/>
      <c r="BE1083" s="549"/>
      <c r="BF1083" s="549"/>
      <c r="BG1083" s="549"/>
      <c r="BH1083" s="549"/>
      <c r="BI1083" s="549"/>
    </row>
    <row r="1084" spans="16:61" s="254" customFormat="1" ht="9.9">
      <c r="P1084" s="549"/>
      <c r="Q1084" s="549"/>
      <c r="R1084" s="549"/>
      <c r="S1084" s="549"/>
      <c r="T1084" s="549"/>
      <c r="U1084" s="549"/>
      <c r="V1084" s="549"/>
      <c r="W1084" s="549"/>
      <c r="X1084" s="549"/>
      <c r="Y1084" s="549"/>
      <c r="Z1084" s="549"/>
      <c r="AA1084" s="549"/>
      <c r="AB1084" s="549"/>
      <c r="AC1084" s="549"/>
      <c r="AD1084" s="549"/>
      <c r="AE1084" s="549"/>
      <c r="AF1084" s="549"/>
      <c r="AG1084" s="549"/>
      <c r="AH1084" s="549"/>
      <c r="AI1084" s="549"/>
      <c r="AJ1084" s="549"/>
      <c r="AK1084" s="549"/>
      <c r="AL1084" s="549"/>
      <c r="AM1084" s="549"/>
      <c r="AN1084" s="549"/>
      <c r="AO1084" s="549"/>
      <c r="AP1084" s="549"/>
      <c r="AQ1084" s="549"/>
      <c r="AR1084" s="549"/>
      <c r="AS1084" s="549"/>
      <c r="AT1084" s="549"/>
      <c r="AU1084" s="549"/>
      <c r="AV1084" s="549"/>
      <c r="AW1084" s="549"/>
      <c r="AX1084" s="549"/>
      <c r="AY1084" s="549"/>
      <c r="AZ1084" s="549"/>
      <c r="BA1084" s="549"/>
      <c r="BB1084" s="549"/>
      <c r="BC1084" s="549"/>
      <c r="BD1084" s="549"/>
      <c r="BE1084" s="549"/>
      <c r="BF1084" s="549"/>
      <c r="BG1084" s="549"/>
      <c r="BH1084" s="549"/>
      <c r="BI1084" s="549"/>
    </row>
    <row r="1085" spans="16:61" s="254" customFormat="1" ht="9.9">
      <c r="P1085" s="549"/>
      <c r="Q1085" s="549"/>
      <c r="R1085" s="549"/>
      <c r="S1085" s="549"/>
      <c r="T1085" s="549"/>
      <c r="U1085" s="549"/>
      <c r="V1085" s="549"/>
      <c r="W1085" s="549"/>
      <c r="X1085" s="549"/>
      <c r="Y1085" s="549"/>
      <c r="Z1085" s="549"/>
      <c r="AA1085" s="549"/>
      <c r="AB1085" s="549"/>
      <c r="AC1085" s="549"/>
      <c r="AD1085" s="549"/>
      <c r="AE1085" s="549"/>
      <c r="AF1085" s="549"/>
      <c r="AG1085" s="549"/>
      <c r="AH1085" s="549"/>
      <c r="AI1085" s="549"/>
      <c r="AJ1085" s="549"/>
      <c r="AK1085" s="549"/>
      <c r="AL1085" s="549"/>
      <c r="AM1085" s="549"/>
      <c r="AN1085" s="549"/>
      <c r="AO1085" s="549"/>
      <c r="AP1085" s="549"/>
      <c r="AQ1085" s="549"/>
      <c r="AR1085" s="549"/>
      <c r="AS1085" s="549"/>
      <c r="AT1085" s="549"/>
      <c r="AU1085" s="549"/>
      <c r="AV1085" s="549"/>
      <c r="AW1085" s="549"/>
      <c r="AX1085" s="549"/>
      <c r="AY1085" s="549"/>
      <c r="AZ1085" s="549"/>
      <c r="BA1085" s="549"/>
      <c r="BB1085" s="549"/>
      <c r="BC1085" s="549"/>
      <c r="BD1085" s="549"/>
      <c r="BE1085" s="549"/>
      <c r="BF1085" s="549"/>
      <c r="BG1085" s="549"/>
      <c r="BH1085" s="549"/>
      <c r="BI1085" s="549"/>
    </row>
    <row r="1086" spans="16:61" s="254" customFormat="1" ht="9.9">
      <c r="P1086" s="549"/>
      <c r="Q1086" s="549"/>
      <c r="R1086" s="549"/>
      <c r="S1086" s="549"/>
      <c r="T1086" s="549"/>
      <c r="U1086" s="549"/>
      <c r="V1086" s="549"/>
      <c r="W1086" s="549"/>
      <c r="X1086" s="549"/>
      <c r="Y1086" s="549"/>
      <c r="Z1086" s="549"/>
      <c r="AA1086" s="549"/>
      <c r="AB1086" s="549"/>
      <c r="AC1086" s="549"/>
      <c r="AD1086" s="549"/>
      <c r="AE1086" s="549"/>
      <c r="AF1086" s="549"/>
      <c r="AG1086" s="549"/>
      <c r="AH1086" s="549"/>
      <c r="AI1086" s="549"/>
      <c r="AJ1086" s="549"/>
      <c r="AK1086" s="549"/>
      <c r="AL1086" s="549"/>
      <c r="AM1086" s="549"/>
      <c r="AN1086" s="549"/>
      <c r="AO1086" s="549"/>
      <c r="AP1086" s="549"/>
      <c r="AQ1086" s="549"/>
      <c r="AR1086" s="549"/>
      <c r="AS1086" s="549"/>
      <c r="AT1086" s="549"/>
      <c r="AU1086" s="549"/>
      <c r="AV1086" s="549"/>
      <c r="AW1086" s="549"/>
      <c r="AX1086" s="549"/>
      <c r="AY1086" s="549"/>
      <c r="AZ1086" s="549"/>
      <c r="BA1086" s="549"/>
      <c r="BB1086" s="549"/>
      <c r="BC1086" s="549"/>
      <c r="BD1086" s="549"/>
      <c r="BE1086" s="549"/>
      <c r="BF1086" s="549"/>
      <c r="BG1086" s="549"/>
      <c r="BH1086" s="549"/>
      <c r="BI1086" s="549"/>
    </row>
    <row r="1087" spans="16:61" s="254" customFormat="1" ht="9.9">
      <c r="P1087" s="549"/>
      <c r="Q1087" s="549"/>
      <c r="R1087" s="549"/>
      <c r="S1087" s="549"/>
      <c r="T1087" s="549"/>
      <c r="U1087" s="549"/>
      <c r="V1087" s="549"/>
      <c r="W1087" s="549"/>
      <c r="X1087" s="549"/>
      <c r="Y1087" s="549"/>
      <c r="Z1087" s="549"/>
      <c r="AA1087" s="549"/>
      <c r="AB1087" s="549"/>
      <c r="AC1087" s="549"/>
      <c r="AD1087" s="549"/>
      <c r="AE1087" s="549"/>
      <c r="AF1087" s="549"/>
      <c r="AG1087" s="549"/>
      <c r="AH1087" s="549"/>
      <c r="AI1087" s="549"/>
      <c r="AJ1087" s="549"/>
      <c r="AK1087" s="549"/>
      <c r="AL1087" s="549"/>
      <c r="AM1087" s="549"/>
      <c r="AN1087" s="549"/>
      <c r="AO1087" s="549"/>
      <c r="AP1087" s="549"/>
      <c r="AQ1087" s="549"/>
      <c r="AR1087" s="549"/>
      <c r="AS1087" s="549"/>
      <c r="AT1087" s="549"/>
      <c r="AU1087" s="549"/>
      <c r="AV1087" s="549"/>
      <c r="AW1087" s="549"/>
      <c r="AX1087" s="549"/>
      <c r="AY1087" s="549"/>
      <c r="AZ1087" s="549"/>
      <c r="BA1087" s="549"/>
      <c r="BB1087" s="549"/>
      <c r="BC1087" s="549"/>
      <c r="BD1087" s="549"/>
      <c r="BE1087" s="549"/>
      <c r="BF1087" s="549"/>
      <c r="BG1087" s="549"/>
      <c r="BH1087" s="549"/>
      <c r="BI1087" s="549"/>
    </row>
    <row r="1088" spans="16:61" s="254" customFormat="1" ht="9.9">
      <c r="P1088" s="549"/>
      <c r="Q1088" s="549"/>
      <c r="R1088" s="549"/>
      <c r="S1088" s="549"/>
      <c r="T1088" s="549"/>
      <c r="U1088" s="549"/>
      <c r="V1088" s="549"/>
      <c r="W1088" s="549"/>
      <c r="X1088" s="549"/>
      <c r="Y1088" s="549"/>
      <c r="Z1088" s="549"/>
      <c r="AA1088" s="549"/>
      <c r="AB1088" s="549"/>
      <c r="AC1088" s="549"/>
      <c r="AD1088" s="549"/>
      <c r="AE1088" s="549"/>
      <c r="AF1088" s="549"/>
      <c r="AG1088" s="549"/>
      <c r="AH1088" s="549"/>
      <c r="AI1088" s="549"/>
      <c r="AJ1088" s="549"/>
      <c r="AK1088" s="549"/>
      <c r="AL1088" s="549"/>
      <c r="AM1088" s="549"/>
      <c r="AN1088" s="549"/>
      <c r="AO1088" s="549"/>
      <c r="AP1088" s="549"/>
      <c r="AQ1088" s="549"/>
      <c r="AR1088" s="549"/>
      <c r="AS1088" s="549"/>
      <c r="AT1088" s="549"/>
      <c r="AU1088" s="549"/>
      <c r="AV1088" s="549"/>
      <c r="AW1088" s="549"/>
      <c r="AX1088" s="549"/>
      <c r="AY1088" s="549"/>
      <c r="AZ1088" s="549"/>
      <c r="BA1088" s="549"/>
      <c r="BB1088" s="549"/>
      <c r="BC1088" s="549"/>
      <c r="BD1088" s="549"/>
      <c r="BE1088" s="549"/>
      <c r="BF1088" s="549"/>
      <c r="BG1088" s="549"/>
      <c r="BH1088" s="549"/>
      <c r="BI1088" s="549"/>
    </row>
    <row r="1089" spans="16:61" s="254" customFormat="1" ht="9.9">
      <c r="P1089" s="549"/>
      <c r="Q1089" s="549"/>
      <c r="R1089" s="549"/>
      <c r="S1089" s="549"/>
      <c r="T1089" s="549"/>
      <c r="U1089" s="549"/>
      <c r="V1089" s="549"/>
      <c r="W1089" s="549"/>
      <c r="X1089" s="549"/>
      <c r="Y1089" s="549"/>
      <c r="Z1089" s="549"/>
      <c r="AA1089" s="549"/>
      <c r="AB1089" s="549"/>
      <c r="AC1089" s="549"/>
      <c r="AD1089" s="549"/>
      <c r="AE1089" s="549"/>
      <c r="AF1089" s="549"/>
      <c r="AG1089" s="549"/>
      <c r="AH1089" s="549"/>
      <c r="AI1089" s="549"/>
      <c r="AJ1089" s="549"/>
      <c r="AK1089" s="549"/>
      <c r="AL1089" s="549"/>
      <c r="AM1089" s="549"/>
      <c r="AN1089" s="549"/>
      <c r="AO1089" s="549"/>
      <c r="AP1089" s="549"/>
      <c r="AQ1089" s="549"/>
      <c r="AR1089" s="549"/>
      <c r="AS1089" s="549"/>
      <c r="AT1089" s="549"/>
      <c r="AU1089" s="549"/>
      <c r="AV1089" s="549"/>
      <c r="AW1089" s="549"/>
      <c r="AX1089" s="549"/>
      <c r="AY1089" s="549"/>
      <c r="AZ1089" s="549"/>
      <c r="BA1089" s="549"/>
      <c r="BB1089" s="549"/>
      <c r="BC1089" s="549"/>
      <c r="BD1089" s="549"/>
      <c r="BE1089" s="549"/>
      <c r="BF1089" s="549"/>
      <c r="BG1089" s="549"/>
      <c r="BH1089" s="549"/>
      <c r="BI1089" s="549"/>
    </row>
    <row r="1090" spans="16:61" s="254" customFormat="1" ht="9.9">
      <c r="P1090" s="549"/>
      <c r="Q1090" s="549"/>
      <c r="R1090" s="549"/>
      <c r="S1090" s="549"/>
      <c r="T1090" s="549"/>
      <c r="U1090" s="549"/>
      <c r="V1090" s="549"/>
      <c r="W1090" s="549"/>
      <c r="X1090" s="549"/>
      <c r="Y1090" s="549"/>
      <c r="Z1090" s="549"/>
      <c r="AA1090" s="549"/>
      <c r="AB1090" s="549"/>
      <c r="AC1090" s="549"/>
      <c r="AD1090" s="549"/>
      <c r="AE1090" s="549"/>
      <c r="AF1090" s="549"/>
      <c r="AG1090" s="549"/>
      <c r="AH1090" s="549"/>
      <c r="AI1090" s="549"/>
      <c r="AJ1090" s="549"/>
      <c r="AK1090" s="549"/>
      <c r="AL1090" s="549"/>
      <c r="AM1090" s="549"/>
      <c r="AN1090" s="549"/>
      <c r="AO1090" s="549"/>
      <c r="AP1090" s="549"/>
      <c r="AQ1090" s="549"/>
      <c r="AR1090" s="549"/>
      <c r="AS1090" s="549"/>
      <c r="AT1090" s="549"/>
      <c r="AU1090" s="549"/>
      <c r="AV1090" s="549"/>
      <c r="AW1090" s="549"/>
      <c r="AX1090" s="549"/>
      <c r="AY1090" s="549"/>
      <c r="AZ1090" s="549"/>
      <c r="BA1090" s="549"/>
      <c r="BB1090" s="549"/>
      <c r="BC1090" s="549"/>
      <c r="BD1090" s="549"/>
      <c r="BE1090" s="549"/>
      <c r="BF1090" s="549"/>
      <c r="BG1090" s="549"/>
      <c r="BH1090" s="549"/>
      <c r="BI1090" s="549"/>
    </row>
    <row r="1091" spans="16:61" s="254" customFormat="1" ht="9.9">
      <c r="P1091" s="549"/>
      <c r="Q1091" s="549"/>
      <c r="R1091" s="549"/>
      <c r="S1091" s="549"/>
      <c r="T1091" s="549"/>
      <c r="U1091" s="549"/>
      <c r="V1091" s="549"/>
      <c r="W1091" s="549"/>
      <c r="X1091" s="549"/>
      <c r="Y1091" s="549"/>
      <c r="Z1091" s="549"/>
      <c r="AA1091" s="549"/>
      <c r="AB1091" s="549"/>
      <c r="AC1091" s="549"/>
      <c r="AD1091" s="549"/>
      <c r="AE1091" s="549"/>
      <c r="AF1091" s="549"/>
      <c r="AG1091" s="549"/>
      <c r="AH1091" s="549"/>
      <c r="AI1091" s="549"/>
      <c r="AJ1091" s="549"/>
      <c r="AK1091" s="549"/>
      <c r="AL1091" s="549"/>
      <c r="AM1091" s="549"/>
      <c r="AN1091" s="549"/>
      <c r="AO1091" s="549"/>
      <c r="AP1091" s="549"/>
      <c r="AQ1091" s="549"/>
      <c r="AR1091" s="549"/>
      <c r="AS1091" s="549"/>
      <c r="AT1091" s="549"/>
      <c r="AU1091" s="549"/>
      <c r="AV1091" s="549"/>
      <c r="AW1091" s="549"/>
      <c r="AX1091" s="549"/>
      <c r="AY1091" s="549"/>
      <c r="AZ1091" s="549"/>
      <c r="BA1091" s="549"/>
      <c r="BB1091" s="549"/>
      <c r="BC1091" s="549"/>
      <c r="BD1091" s="549"/>
      <c r="BE1091" s="549"/>
      <c r="BF1091" s="549"/>
      <c r="BG1091" s="549"/>
      <c r="BH1091" s="549"/>
      <c r="BI1091" s="549"/>
    </row>
    <row r="1092" spans="16:61" s="254" customFormat="1" ht="9.9">
      <c r="P1092" s="549"/>
      <c r="Q1092" s="549"/>
      <c r="R1092" s="549"/>
      <c r="S1092" s="549"/>
      <c r="T1092" s="549"/>
      <c r="U1092" s="549"/>
      <c r="V1092" s="549"/>
      <c r="W1092" s="549"/>
      <c r="X1092" s="549"/>
      <c r="Y1092" s="549"/>
      <c r="Z1092" s="549"/>
      <c r="AA1092" s="549"/>
      <c r="AB1092" s="549"/>
      <c r="AC1092" s="549"/>
      <c r="AD1092" s="549"/>
      <c r="AE1092" s="549"/>
      <c r="AF1092" s="549"/>
      <c r="AG1092" s="549"/>
      <c r="AH1092" s="549"/>
      <c r="AI1092" s="549"/>
      <c r="AJ1092" s="549"/>
      <c r="AK1092" s="549"/>
      <c r="AL1092" s="549"/>
      <c r="AM1092" s="549"/>
      <c r="AN1092" s="549"/>
      <c r="AO1092" s="549"/>
      <c r="AP1092" s="549"/>
      <c r="AQ1092" s="549"/>
      <c r="AR1092" s="549"/>
      <c r="AS1092" s="549"/>
      <c r="AT1092" s="549"/>
      <c r="AU1092" s="549"/>
      <c r="AV1092" s="549"/>
      <c r="AW1092" s="549"/>
      <c r="AX1092" s="549"/>
      <c r="AY1092" s="549"/>
      <c r="AZ1092" s="549"/>
      <c r="BA1092" s="549"/>
      <c r="BB1092" s="549"/>
      <c r="BC1092" s="549"/>
      <c r="BD1092" s="549"/>
      <c r="BE1092" s="549"/>
      <c r="BF1092" s="549"/>
      <c r="BG1092" s="549"/>
      <c r="BH1092" s="549"/>
      <c r="BI1092" s="549"/>
    </row>
    <row r="1093" spans="16:61" s="254" customFormat="1" ht="9.9">
      <c r="P1093" s="549"/>
      <c r="Q1093" s="549"/>
      <c r="R1093" s="549"/>
      <c r="S1093" s="549"/>
      <c r="T1093" s="549"/>
      <c r="U1093" s="549"/>
      <c r="V1093" s="549"/>
      <c r="W1093" s="549"/>
      <c r="X1093" s="549"/>
      <c r="Y1093" s="549"/>
      <c r="Z1093" s="549"/>
      <c r="AA1093" s="549"/>
      <c r="AB1093" s="549"/>
      <c r="AC1093" s="549"/>
      <c r="AD1093" s="549"/>
      <c r="AE1093" s="549"/>
      <c r="AF1093" s="549"/>
      <c r="AG1093" s="549"/>
      <c r="AH1093" s="549"/>
      <c r="AI1093" s="549"/>
      <c r="AJ1093" s="549"/>
      <c r="AK1093" s="549"/>
      <c r="AL1093" s="549"/>
      <c r="AM1093" s="549"/>
      <c r="AN1093" s="549"/>
      <c r="AO1093" s="549"/>
      <c r="AP1093" s="549"/>
      <c r="AQ1093" s="549"/>
      <c r="AR1093" s="549"/>
      <c r="AS1093" s="549"/>
      <c r="AT1093" s="549"/>
      <c r="AU1093" s="549"/>
      <c r="AV1093" s="549"/>
      <c r="AW1093" s="549"/>
      <c r="AX1093" s="549"/>
      <c r="AY1093" s="549"/>
      <c r="AZ1093" s="549"/>
      <c r="BA1093" s="549"/>
      <c r="BB1093" s="549"/>
      <c r="BC1093" s="549"/>
      <c r="BD1093" s="549"/>
      <c r="BE1093" s="549"/>
      <c r="BF1093" s="549"/>
      <c r="BG1093" s="549"/>
      <c r="BH1093" s="549"/>
      <c r="BI1093" s="549"/>
    </row>
    <row r="1094" spans="16:61" s="254" customFormat="1" ht="9.9">
      <c r="P1094" s="549"/>
      <c r="Q1094" s="549"/>
      <c r="R1094" s="549"/>
      <c r="S1094" s="549"/>
      <c r="T1094" s="549"/>
      <c r="U1094" s="549"/>
      <c r="V1094" s="549"/>
      <c r="W1094" s="549"/>
      <c r="X1094" s="549"/>
      <c r="Y1094" s="549"/>
      <c r="Z1094" s="549"/>
      <c r="AA1094" s="549"/>
      <c r="AB1094" s="549"/>
      <c r="AC1094" s="549"/>
      <c r="AD1094" s="549"/>
      <c r="AE1094" s="549"/>
      <c r="AF1094" s="549"/>
      <c r="AG1094" s="549"/>
      <c r="AH1094" s="549"/>
      <c r="AI1094" s="549"/>
      <c r="AJ1094" s="549"/>
      <c r="AK1094" s="549"/>
      <c r="AL1094" s="549"/>
      <c r="AM1094" s="549"/>
      <c r="AN1094" s="549"/>
      <c r="AO1094" s="549"/>
      <c r="AP1094" s="549"/>
      <c r="AQ1094" s="549"/>
      <c r="AR1094" s="549"/>
      <c r="AS1094" s="549"/>
      <c r="AT1094" s="549"/>
      <c r="AU1094" s="549"/>
      <c r="AV1094" s="549"/>
      <c r="AW1094" s="549"/>
      <c r="AX1094" s="549"/>
      <c r="AY1094" s="549"/>
      <c r="AZ1094" s="549"/>
      <c r="BA1094" s="549"/>
      <c r="BB1094" s="549"/>
      <c r="BC1094" s="549"/>
      <c r="BD1094" s="549"/>
      <c r="BE1094" s="549"/>
      <c r="BF1094" s="549"/>
      <c r="BG1094" s="549"/>
      <c r="BH1094" s="549"/>
      <c r="BI1094" s="549"/>
    </row>
    <row r="1095" spans="16:61" s="254" customFormat="1" ht="9.9">
      <c r="P1095" s="549"/>
      <c r="Q1095" s="549"/>
      <c r="R1095" s="549"/>
      <c r="S1095" s="549"/>
      <c r="T1095" s="549"/>
      <c r="U1095" s="549"/>
      <c r="V1095" s="549"/>
      <c r="W1095" s="549"/>
      <c r="X1095" s="549"/>
      <c r="Y1095" s="549"/>
      <c r="Z1095" s="549"/>
      <c r="AA1095" s="549"/>
      <c r="AB1095" s="549"/>
      <c r="AC1095" s="549"/>
      <c r="AD1095" s="549"/>
      <c r="AE1095" s="549"/>
      <c r="AF1095" s="549"/>
      <c r="AG1095" s="549"/>
      <c r="AH1095" s="549"/>
      <c r="AI1095" s="549"/>
      <c r="AJ1095" s="549"/>
      <c r="AK1095" s="549"/>
      <c r="AL1095" s="549"/>
      <c r="AM1095" s="549"/>
      <c r="AN1095" s="549"/>
      <c r="AO1095" s="549"/>
      <c r="AP1095" s="549"/>
      <c r="AQ1095" s="549"/>
      <c r="AR1095" s="549"/>
      <c r="AS1095" s="549"/>
      <c r="AT1095" s="549"/>
      <c r="AU1095" s="549"/>
      <c r="AV1095" s="549"/>
      <c r="AW1095" s="549"/>
      <c r="AX1095" s="549"/>
      <c r="AY1095" s="549"/>
      <c r="AZ1095" s="549"/>
      <c r="BA1095" s="549"/>
      <c r="BB1095" s="549"/>
      <c r="BC1095" s="549"/>
      <c r="BD1095" s="549"/>
      <c r="BE1095" s="549"/>
      <c r="BF1095" s="549"/>
      <c r="BG1095" s="549"/>
      <c r="BH1095" s="549"/>
      <c r="BI1095" s="549"/>
    </row>
    <row r="1096" spans="16:61" s="254" customFormat="1" ht="9.9">
      <c r="P1096" s="549"/>
      <c r="Q1096" s="549"/>
      <c r="R1096" s="549"/>
      <c r="S1096" s="549"/>
      <c r="T1096" s="549"/>
      <c r="U1096" s="549"/>
      <c r="V1096" s="549"/>
      <c r="W1096" s="549"/>
      <c r="X1096" s="549"/>
      <c r="Y1096" s="549"/>
      <c r="Z1096" s="549"/>
      <c r="AA1096" s="549"/>
      <c r="AB1096" s="549"/>
      <c r="AC1096" s="549"/>
      <c r="AD1096" s="549"/>
      <c r="AE1096" s="549"/>
      <c r="AF1096" s="549"/>
      <c r="AG1096" s="549"/>
      <c r="AH1096" s="549"/>
      <c r="AI1096" s="549"/>
      <c r="AJ1096" s="549"/>
      <c r="AK1096" s="549"/>
      <c r="AL1096" s="549"/>
      <c r="AM1096" s="549"/>
      <c r="AN1096" s="549"/>
      <c r="AO1096" s="549"/>
      <c r="AP1096" s="549"/>
      <c r="AQ1096" s="549"/>
      <c r="AR1096" s="549"/>
      <c r="AS1096" s="549"/>
      <c r="AT1096" s="549"/>
      <c r="AU1096" s="549"/>
      <c r="AV1096" s="549"/>
      <c r="AW1096" s="549"/>
      <c r="AX1096" s="549"/>
      <c r="AY1096" s="549"/>
      <c r="AZ1096" s="549"/>
      <c r="BA1096" s="549"/>
      <c r="BB1096" s="549"/>
      <c r="BC1096" s="549"/>
      <c r="BD1096" s="549"/>
      <c r="BE1096" s="549"/>
      <c r="BF1096" s="549"/>
      <c r="BG1096" s="549"/>
      <c r="BH1096" s="549"/>
      <c r="BI1096" s="549"/>
    </row>
    <row r="1097" spans="16:61" s="254" customFormat="1" ht="9.9">
      <c r="P1097" s="549"/>
      <c r="Q1097" s="549"/>
      <c r="R1097" s="549"/>
      <c r="S1097" s="549"/>
      <c r="T1097" s="549"/>
      <c r="U1097" s="549"/>
      <c r="V1097" s="549"/>
      <c r="W1097" s="549"/>
      <c r="X1097" s="549"/>
      <c r="Y1097" s="549"/>
      <c r="Z1097" s="549"/>
      <c r="AA1097" s="549"/>
      <c r="AB1097" s="549"/>
      <c r="AC1097" s="549"/>
      <c r="AD1097" s="549"/>
      <c r="AE1097" s="549"/>
      <c r="AF1097" s="549"/>
      <c r="AG1097" s="549"/>
      <c r="AH1097" s="549"/>
      <c r="AI1097" s="549"/>
      <c r="AJ1097" s="549"/>
      <c r="AK1097" s="549"/>
      <c r="AL1097" s="549"/>
      <c r="AM1097" s="549"/>
      <c r="AN1097" s="549"/>
      <c r="AO1097" s="549"/>
      <c r="AP1097" s="549"/>
      <c r="AQ1097" s="549"/>
      <c r="AR1097" s="549"/>
      <c r="AS1097" s="549"/>
      <c r="AT1097" s="549"/>
      <c r="AU1097" s="549"/>
      <c r="AV1097" s="549"/>
      <c r="AW1097" s="549"/>
      <c r="AX1097" s="549"/>
      <c r="AY1097" s="549"/>
      <c r="AZ1097" s="549"/>
      <c r="BA1097" s="549"/>
      <c r="BB1097" s="549"/>
      <c r="BC1097" s="549"/>
      <c r="BD1097" s="549"/>
      <c r="BE1097" s="549"/>
      <c r="BF1097" s="549"/>
      <c r="BG1097" s="549"/>
      <c r="BH1097" s="549"/>
      <c r="BI1097" s="549"/>
    </row>
    <row r="1098" spans="16:61" s="254" customFormat="1" ht="9.9">
      <c r="P1098" s="549"/>
      <c r="Q1098" s="549"/>
      <c r="R1098" s="549"/>
      <c r="S1098" s="549"/>
      <c r="T1098" s="549"/>
      <c r="U1098" s="549"/>
      <c r="V1098" s="549"/>
      <c r="W1098" s="549"/>
      <c r="X1098" s="549"/>
      <c r="Y1098" s="549"/>
      <c r="Z1098" s="549"/>
      <c r="AA1098" s="549"/>
      <c r="AB1098" s="549"/>
      <c r="AC1098" s="549"/>
      <c r="AD1098" s="549"/>
      <c r="AE1098" s="549"/>
      <c r="AF1098" s="549"/>
      <c r="AG1098" s="549"/>
      <c r="AH1098" s="549"/>
      <c r="AI1098" s="549"/>
      <c r="AJ1098" s="549"/>
      <c r="AK1098" s="549"/>
      <c r="AL1098" s="549"/>
      <c r="AM1098" s="549"/>
      <c r="AN1098" s="549"/>
      <c r="AO1098" s="549"/>
      <c r="AP1098" s="549"/>
      <c r="AQ1098" s="549"/>
      <c r="AR1098" s="549"/>
      <c r="AS1098" s="549"/>
      <c r="AT1098" s="549"/>
      <c r="AU1098" s="549"/>
      <c r="AV1098" s="549"/>
      <c r="AW1098" s="549"/>
      <c r="AX1098" s="549"/>
      <c r="AY1098" s="549"/>
      <c r="AZ1098" s="549"/>
      <c r="BA1098" s="549"/>
      <c r="BB1098" s="549"/>
      <c r="BC1098" s="549"/>
      <c r="BD1098" s="549"/>
      <c r="BE1098" s="549"/>
      <c r="BF1098" s="549"/>
      <c r="BG1098" s="549"/>
      <c r="BH1098" s="549"/>
      <c r="BI1098" s="549"/>
    </row>
    <row r="1099" spans="16:61" s="254" customFormat="1" ht="9.9">
      <c r="P1099" s="549"/>
      <c r="Q1099" s="549"/>
      <c r="R1099" s="549"/>
      <c r="S1099" s="549"/>
      <c r="T1099" s="549"/>
      <c r="U1099" s="549"/>
      <c r="V1099" s="549"/>
      <c r="W1099" s="549"/>
      <c r="X1099" s="549"/>
      <c r="Y1099" s="549"/>
      <c r="Z1099" s="549"/>
      <c r="AA1099" s="549"/>
      <c r="AB1099" s="549"/>
      <c r="AC1099" s="549"/>
      <c r="AD1099" s="549"/>
      <c r="AE1099" s="549"/>
      <c r="AF1099" s="549"/>
      <c r="AG1099" s="549"/>
      <c r="AH1099" s="549"/>
      <c r="AI1099" s="549"/>
      <c r="AJ1099" s="549"/>
      <c r="AK1099" s="549"/>
      <c r="AL1099" s="549"/>
      <c r="AM1099" s="549"/>
      <c r="AN1099" s="549"/>
      <c r="AO1099" s="549"/>
      <c r="AP1099" s="549"/>
      <c r="AQ1099" s="549"/>
      <c r="AR1099" s="549"/>
      <c r="AS1099" s="549"/>
      <c r="AT1099" s="549"/>
      <c r="AU1099" s="549"/>
      <c r="AV1099" s="549"/>
      <c r="AW1099" s="549"/>
      <c r="AX1099" s="549"/>
      <c r="AY1099" s="549"/>
      <c r="AZ1099" s="549"/>
      <c r="BA1099" s="549"/>
      <c r="BB1099" s="549"/>
      <c r="BC1099" s="549"/>
      <c r="BD1099" s="549"/>
      <c r="BE1099" s="549"/>
      <c r="BF1099" s="549"/>
      <c r="BG1099" s="549"/>
      <c r="BH1099" s="549"/>
      <c r="BI1099" s="549"/>
    </row>
    <row r="1100" spans="16:61" s="254" customFormat="1" ht="9.9">
      <c r="P1100" s="549"/>
      <c r="Q1100" s="549"/>
      <c r="R1100" s="549"/>
      <c r="S1100" s="549"/>
      <c r="T1100" s="549"/>
      <c r="U1100" s="549"/>
      <c r="V1100" s="549"/>
      <c r="W1100" s="549"/>
      <c r="X1100" s="549"/>
      <c r="Y1100" s="549"/>
      <c r="Z1100" s="549"/>
      <c r="AA1100" s="549"/>
      <c r="AB1100" s="549"/>
      <c r="AC1100" s="549"/>
      <c r="AD1100" s="549"/>
      <c r="AE1100" s="549"/>
      <c r="AF1100" s="549"/>
      <c r="AG1100" s="549"/>
      <c r="AH1100" s="549"/>
      <c r="AI1100" s="549"/>
      <c r="AJ1100" s="549"/>
      <c r="AK1100" s="549"/>
      <c r="AL1100" s="549"/>
      <c r="AM1100" s="549"/>
      <c r="AN1100" s="549"/>
      <c r="AO1100" s="549"/>
      <c r="AP1100" s="549"/>
      <c r="AQ1100" s="549"/>
      <c r="AR1100" s="549"/>
      <c r="AS1100" s="549"/>
      <c r="AT1100" s="549"/>
      <c r="AU1100" s="549"/>
      <c r="AV1100" s="549"/>
      <c r="AW1100" s="549"/>
      <c r="AX1100" s="549"/>
      <c r="AY1100" s="549"/>
      <c r="AZ1100" s="549"/>
      <c r="BA1100" s="549"/>
      <c r="BB1100" s="549"/>
      <c r="BC1100" s="549"/>
      <c r="BD1100" s="549"/>
      <c r="BE1100" s="549"/>
      <c r="BF1100" s="549"/>
      <c r="BG1100" s="549"/>
      <c r="BH1100" s="549"/>
      <c r="BI1100" s="549"/>
    </row>
    <row r="1101" spans="16:61" s="254" customFormat="1" ht="9.9">
      <c r="P1101" s="549"/>
      <c r="Q1101" s="549"/>
      <c r="R1101" s="549"/>
      <c r="S1101" s="549"/>
      <c r="T1101" s="549"/>
      <c r="U1101" s="549"/>
      <c r="V1101" s="549"/>
      <c r="W1101" s="549"/>
      <c r="X1101" s="549"/>
      <c r="Y1101" s="549"/>
      <c r="Z1101" s="549"/>
      <c r="AA1101" s="549"/>
      <c r="AB1101" s="549"/>
      <c r="AC1101" s="549"/>
      <c r="AD1101" s="549"/>
      <c r="AE1101" s="549"/>
      <c r="AF1101" s="549"/>
      <c r="AG1101" s="549"/>
      <c r="AH1101" s="549"/>
      <c r="AI1101" s="549"/>
      <c r="AJ1101" s="549"/>
      <c r="AK1101" s="549"/>
      <c r="AL1101" s="549"/>
      <c r="AM1101" s="549"/>
      <c r="AN1101" s="549"/>
      <c r="AO1101" s="549"/>
      <c r="AP1101" s="549"/>
      <c r="AQ1101" s="549"/>
      <c r="AR1101" s="549"/>
      <c r="AS1101" s="549"/>
      <c r="AT1101" s="549"/>
      <c r="AU1101" s="549"/>
      <c r="AV1101" s="549"/>
      <c r="AW1101" s="549"/>
      <c r="AX1101" s="549"/>
      <c r="AY1101" s="549"/>
      <c r="AZ1101" s="549"/>
      <c r="BA1101" s="549"/>
      <c r="BB1101" s="549"/>
      <c r="BC1101" s="549"/>
      <c r="BD1101" s="549"/>
      <c r="BE1101" s="549"/>
      <c r="BF1101" s="549"/>
      <c r="BG1101" s="549"/>
      <c r="BH1101" s="549"/>
      <c r="BI1101" s="549"/>
    </row>
    <row r="1102" spans="16:61" s="254" customFormat="1" ht="9.9">
      <c r="P1102" s="549"/>
      <c r="Q1102" s="549"/>
      <c r="R1102" s="549"/>
      <c r="S1102" s="549"/>
      <c r="T1102" s="549"/>
      <c r="U1102" s="549"/>
      <c r="V1102" s="549"/>
      <c r="W1102" s="549"/>
      <c r="X1102" s="549"/>
      <c r="Y1102" s="549"/>
      <c r="Z1102" s="549"/>
      <c r="AA1102" s="549"/>
      <c r="AB1102" s="549"/>
      <c r="AC1102" s="549"/>
      <c r="AD1102" s="549"/>
      <c r="AE1102" s="549"/>
      <c r="AF1102" s="549"/>
      <c r="AG1102" s="549"/>
      <c r="AH1102" s="549"/>
      <c r="AI1102" s="549"/>
      <c r="AJ1102" s="549"/>
      <c r="AK1102" s="549"/>
      <c r="AL1102" s="549"/>
      <c r="AM1102" s="549"/>
      <c r="AN1102" s="549"/>
      <c r="AO1102" s="549"/>
      <c r="AP1102" s="549"/>
      <c r="AQ1102" s="549"/>
      <c r="AR1102" s="549"/>
      <c r="AS1102" s="549"/>
      <c r="AT1102" s="549"/>
      <c r="AU1102" s="549"/>
      <c r="AV1102" s="549"/>
      <c r="AW1102" s="549"/>
      <c r="AX1102" s="549"/>
      <c r="AY1102" s="549"/>
      <c r="AZ1102" s="549"/>
      <c r="BA1102" s="549"/>
      <c r="BB1102" s="549"/>
      <c r="BC1102" s="549"/>
      <c r="BD1102" s="549"/>
      <c r="BE1102" s="549"/>
      <c r="BF1102" s="549"/>
      <c r="BG1102" s="549"/>
      <c r="BH1102" s="549"/>
      <c r="BI1102" s="549"/>
    </row>
    <row r="1103" spans="16:61" s="254" customFormat="1" ht="9.9">
      <c r="P1103" s="549"/>
      <c r="Q1103" s="549"/>
      <c r="R1103" s="549"/>
      <c r="S1103" s="549"/>
      <c r="T1103" s="549"/>
      <c r="U1103" s="549"/>
      <c r="V1103" s="549"/>
      <c r="W1103" s="549"/>
      <c r="X1103" s="549"/>
      <c r="Y1103" s="549"/>
      <c r="Z1103" s="549"/>
      <c r="AA1103" s="549"/>
      <c r="AB1103" s="549"/>
      <c r="AC1103" s="549"/>
      <c r="AD1103" s="549"/>
      <c r="AE1103" s="549"/>
      <c r="AF1103" s="549"/>
      <c r="AG1103" s="549"/>
      <c r="AH1103" s="549"/>
      <c r="AI1103" s="549"/>
      <c r="AJ1103" s="549"/>
      <c r="AK1103" s="549"/>
      <c r="AL1103" s="549"/>
      <c r="AM1103" s="549"/>
      <c r="AN1103" s="549"/>
      <c r="AO1103" s="549"/>
      <c r="AP1103" s="549"/>
      <c r="AQ1103" s="549"/>
      <c r="AR1103" s="549"/>
      <c r="AS1103" s="549"/>
      <c r="AT1103" s="549"/>
      <c r="AU1103" s="549"/>
      <c r="AV1103" s="549"/>
      <c r="AW1103" s="549"/>
      <c r="AX1103" s="549"/>
      <c r="AY1103" s="549"/>
      <c r="AZ1103" s="549"/>
      <c r="BA1103" s="549"/>
      <c r="BB1103" s="549"/>
      <c r="BC1103" s="549"/>
      <c r="BD1103" s="549"/>
      <c r="BE1103" s="549"/>
      <c r="BF1103" s="549"/>
      <c r="BG1103" s="549"/>
      <c r="BH1103" s="549"/>
      <c r="BI1103" s="549"/>
    </row>
    <row r="1104" spans="16:61" s="254" customFormat="1" ht="9.9">
      <c r="P1104" s="549"/>
      <c r="Q1104" s="549"/>
      <c r="R1104" s="549"/>
      <c r="S1104" s="549"/>
      <c r="T1104" s="549"/>
      <c r="U1104" s="549"/>
      <c r="V1104" s="549"/>
      <c r="W1104" s="549"/>
      <c r="X1104" s="549"/>
      <c r="Y1104" s="549"/>
      <c r="Z1104" s="549"/>
      <c r="AA1104" s="549"/>
      <c r="AB1104" s="549"/>
      <c r="AC1104" s="549"/>
      <c r="AD1104" s="549"/>
      <c r="AE1104" s="549"/>
      <c r="AF1104" s="549"/>
      <c r="AG1104" s="549"/>
      <c r="AH1104" s="549"/>
      <c r="AI1104" s="549"/>
      <c r="AJ1104" s="549"/>
      <c r="AK1104" s="549"/>
      <c r="AL1104" s="549"/>
      <c r="AM1104" s="549"/>
      <c r="AN1104" s="549"/>
      <c r="AO1104" s="549"/>
      <c r="AP1104" s="549"/>
      <c r="AQ1104" s="549"/>
      <c r="AR1104" s="549"/>
      <c r="AS1104" s="549"/>
      <c r="AT1104" s="549"/>
      <c r="AU1104" s="549"/>
      <c r="AV1104" s="549"/>
      <c r="AW1104" s="549"/>
      <c r="AX1104" s="549"/>
      <c r="AY1104" s="549"/>
      <c r="AZ1104" s="549"/>
      <c r="BA1104" s="549"/>
      <c r="BB1104" s="549"/>
      <c r="BC1104" s="549"/>
      <c r="BD1104" s="549"/>
      <c r="BE1104" s="549"/>
      <c r="BF1104" s="549"/>
      <c r="BG1104" s="549"/>
      <c r="BH1104" s="549"/>
      <c r="BI1104" s="549"/>
    </row>
    <row r="1105" spans="16:61" s="254" customFormat="1" ht="9.9">
      <c r="P1105" s="549"/>
      <c r="Q1105" s="549"/>
      <c r="R1105" s="549"/>
      <c r="S1105" s="549"/>
      <c r="T1105" s="549"/>
      <c r="U1105" s="549"/>
      <c r="V1105" s="549"/>
      <c r="W1105" s="549"/>
      <c r="X1105" s="549"/>
      <c r="Y1105" s="549"/>
      <c r="Z1105" s="549"/>
      <c r="AA1105" s="549"/>
      <c r="AB1105" s="549"/>
      <c r="AC1105" s="549"/>
      <c r="AD1105" s="549"/>
      <c r="AE1105" s="549"/>
      <c r="AF1105" s="549"/>
      <c r="AG1105" s="549"/>
      <c r="AH1105" s="549"/>
      <c r="AI1105" s="549"/>
      <c r="AJ1105" s="549"/>
      <c r="AK1105" s="549"/>
      <c r="AL1105" s="549"/>
      <c r="AM1105" s="549"/>
      <c r="AN1105" s="549"/>
      <c r="AO1105" s="549"/>
      <c r="AP1105" s="549"/>
      <c r="AQ1105" s="549"/>
      <c r="AR1105" s="549"/>
      <c r="AS1105" s="549"/>
      <c r="AT1105" s="549"/>
      <c r="AU1105" s="549"/>
      <c r="AV1105" s="549"/>
      <c r="AW1105" s="549"/>
      <c r="AX1105" s="549"/>
      <c r="AY1105" s="549"/>
      <c r="AZ1105" s="549"/>
      <c r="BA1105" s="549"/>
      <c r="BB1105" s="549"/>
      <c r="BC1105" s="549"/>
      <c r="BD1105" s="549"/>
      <c r="BE1105" s="549"/>
      <c r="BF1105" s="549"/>
      <c r="BG1105" s="549"/>
      <c r="BH1105" s="549"/>
      <c r="BI1105" s="549"/>
    </row>
    <row r="1106" spans="16:61" s="254" customFormat="1" ht="9.9">
      <c r="P1106" s="549"/>
      <c r="Q1106" s="549"/>
      <c r="R1106" s="549"/>
      <c r="S1106" s="549"/>
      <c r="T1106" s="549"/>
      <c r="U1106" s="549"/>
      <c r="V1106" s="549"/>
      <c r="W1106" s="549"/>
      <c r="X1106" s="549"/>
      <c r="Y1106" s="549"/>
      <c r="Z1106" s="549"/>
      <c r="AA1106" s="549"/>
      <c r="AB1106" s="549"/>
      <c r="AC1106" s="549"/>
      <c r="AD1106" s="549"/>
      <c r="AE1106" s="549"/>
      <c r="AF1106" s="549"/>
      <c r="AG1106" s="549"/>
      <c r="AH1106" s="549"/>
      <c r="AI1106" s="549"/>
      <c r="AJ1106" s="549"/>
      <c r="AK1106" s="549"/>
      <c r="AL1106" s="549"/>
      <c r="AM1106" s="549"/>
      <c r="AN1106" s="549"/>
      <c r="AO1106" s="549"/>
      <c r="AP1106" s="549"/>
      <c r="AQ1106" s="549"/>
      <c r="AR1106" s="549"/>
      <c r="AS1106" s="549"/>
      <c r="AT1106" s="549"/>
      <c r="AU1106" s="549"/>
      <c r="AV1106" s="549"/>
      <c r="AW1106" s="549"/>
      <c r="AX1106" s="549"/>
      <c r="AY1106" s="549"/>
      <c r="AZ1106" s="549"/>
      <c r="BA1106" s="549"/>
      <c r="BB1106" s="549"/>
      <c r="BC1106" s="549"/>
      <c r="BD1106" s="549"/>
      <c r="BE1106" s="549"/>
      <c r="BF1106" s="549"/>
      <c r="BG1106" s="549"/>
      <c r="BH1106" s="549"/>
      <c r="BI1106" s="549"/>
    </row>
    <row r="1107" spans="16:61" s="254" customFormat="1" ht="9.9">
      <c r="P1107" s="549"/>
      <c r="Q1107" s="549"/>
      <c r="R1107" s="549"/>
      <c r="S1107" s="549"/>
      <c r="T1107" s="549"/>
      <c r="U1107" s="549"/>
      <c r="V1107" s="549"/>
      <c r="W1107" s="549"/>
      <c r="X1107" s="549"/>
      <c r="Y1107" s="549"/>
      <c r="Z1107" s="549"/>
      <c r="AA1107" s="549"/>
      <c r="AB1107" s="549"/>
      <c r="AC1107" s="549"/>
      <c r="AD1107" s="549"/>
      <c r="AE1107" s="549"/>
      <c r="AF1107" s="549"/>
      <c r="AG1107" s="549"/>
      <c r="AH1107" s="549"/>
      <c r="AI1107" s="549"/>
      <c r="AJ1107" s="549"/>
      <c r="AK1107" s="549"/>
      <c r="AL1107" s="549"/>
      <c r="AM1107" s="549"/>
      <c r="AN1107" s="549"/>
      <c r="AO1107" s="549"/>
      <c r="AP1107" s="549"/>
      <c r="AQ1107" s="549"/>
      <c r="AR1107" s="549"/>
      <c r="AS1107" s="549"/>
      <c r="AT1107" s="549"/>
      <c r="AU1107" s="549"/>
      <c r="AV1107" s="549"/>
      <c r="AW1107" s="549"/>
      <c r="AX1107" s="549"/>
      <c r="AY1107" s="549"/>
      <c r="AZ1107" s="549"/>
      <c r="BA1107" s="549"/>
      <c r="BB1107" s="549"/>
      <c r="BC1107" s="549"/>
      <c r="BD1107" s="549"/>
      <c r="BE1107" s="549"/>
      <c r="BF1107" s="549"/>
      <c r="BG1107" s="549"/>
      <c r="BH1107" s="549"/>
      <c r="BI1107" s="549"/>
    </row>
    <row r="1108" spans="16:61" s="254" customFormat="1" ht="9.9">
      <c r="P1108" s="549"/>
      <c r="Q1108" s="549"/>
      <c r="R1108" s="549"/>
      <c r="S1108" s="549"/>
      <c r="T1108" s="549"/>
      <c r="U1108" s="549"/>
      <c r="V1108" s="549"/>
      <c r="W1108" s="549"/>
      <c r="X1108" s="549"/>
      <c r="Y1108" s="549"/>
      <c r="Z1108" s="549"/>
      <c r="AA1108" s="549"/>
      <c r="AB1108" s="549"/>
      <c r="AC1108" s="549"/>
      <c r="AD1108" s="549"/>
      <c r="AE1108" s="549"/>
      <c r="AF1108" s="549"/>
      <c r="AG1108" s="549"/>
      <c r="AH1108" s="549"/>
      <c r="AI1108" s="549"/>
      <c r="AJ1108" s="549"/>
      <c r="AK1108" s="549"/>
      <c r="AL1108" s="549"/>
      <c r="AM1108" s="549"/>
      <c r="AN1108" s="549"/>
      <c r="AO1108" s="549"/>
      <c r="AP1108" s="549"/>
      <c r="AQ1108" s="549"/>
      <c r="AR1108" s="549"/>
      <c r="AS1108" s="549"/>
      <c r="AT1108" s="549"/>
      <c r="AU1108" s="549"/>
      <c r="AV1108" s="549"/>
      <c r="AW1108" s="549"/>
      <c r="AX1108" s="549"/>
      <c r="AY1108" s="549"/>
      <c r="AZ1108" s="549"/>
      <c r="BA1108" s="549"/>
      <c r="BB1108" s="549"/>
      <c r="BC1108" s="549"/>
      <c r="BD1108" s="549"/>
      <c r="BE1108" s="549"/>
      <c r="BF1108" s="549"/>
      <c r="BG1108" s="549"/>
      <c r="BH1108" s="549"/>
      <c r="BI1108" s="549"/>
    </row>
    <row r="1109" spans="16:61" s="254" customFormat="1" ht="9.9">
      <c r="P1109" s="549"/>
      <c r="Q1109" s="549"/>
      <c r="R1109" s="549"/>
      <c r="S1109" s="549"/>
      <c r="T1109" s="549"/>
      <c r="U1109" s="549"/>
      <c r="V1109" s="549"/>
      <c r="W1109" s="549"/>
      <c r="X1109" s="549"/>
      <c r="Y1109" s="549"/>
      <c r="Z1109" s="549"/>
      <c r="AA1109" s="549"/>
      <c r="AB1109" s="549"/>
      <c r="AC1109" s="549"/>
      <c r="AD1109" s="549"/>
      <c r="AE1109" s="549"/>
      <c r="AF1109" s="549"/>
      <c r="AG1109" s="549"/>
      <c r="AH1109" s="549"/>
      <c r="AI1109" s="549"/>
      <c r="AJ1109" s="549"/>
      <c r="AK1109" s="549"/>
      <c r="AL1109" s="549"/>
      <c r="AM1109" s="549"/>
      <c r="AN1109" s="549"/>
      <c r="AO1109" s="549"/>
      <c r="AP1109" s="549"/>
      <c r="AQ1109" s="549"/>
      <c r="AR1109" s="549"/>
      <c r="AS1109" s="549"/>
      <c r="AT1109" s="549"/>
      <c r="AU1109" s="549"/>
      <c r="AV1109" s="549"/>
      <c r="AW1109" s="549"/>
      <c r="AX1109" s="549"/>
      <c r="AY1109" s="549"/>
      <c r="AZ1109" s="549"/>
      <c r="BA1109" s="549"/>
      <c r="BB1109" s="549"/>
      <c r="BC1109" s="549"/>
      <c r="BD1109" s="549"/>
      <c r="BE1109" s="549"/>
      <c r="BF1109" s="549"/>
      <c r="BG1109" s="549"/>
      <c r="BH1109" s="549"/>
      <c r="BI1109" s="549"/>
    </row>
    <row r="1110" spans="16:61" s="254" customFormat="1" ht="9.9">
      <c r="P1110" s="549"/>
      <c r="Q1110" s="549"/>
      <c r="R1110" s="549"/>
      <c r="S1110" s="549"/>
      <c r="T1110" s="549"/>
      <c r="U1110" s="549"/>
      <c r="V1110" s="549"/>
      <c r="W1110" s="549"/>
      <c r="X1110" s="549"/>
      <c r="Y1110" s="549"/>
      <c r="Z1110" s="549"/>
      <c r="AA1110" s="549"/>
      <c r="AB1110" s="549"/>
      <c r="AC1110" s="549"/>
      <c r="AD1110" s="549"/>
      <c r="AE1110" s="549"/>
      <c r="AF1110" s="549"/>
      <c r="AG1110" s="549"/>
      <c r="AH1110" s="549"/>
      <c r="AI1110" s="549"/>
      <c r="AJ1110" s="549"/>
      <c r="AK1110" s="549"/>
      <c r="AL1110" s="549"/>
      <c r="AM1110" s="549"/>
      <c r="AN1110" s="549"/>
      <c r="AO1110" s="549"/>
      <c r="AP1110" s="549"/>
      <c r="AQ1110" s="549"/>
      <c r="AR1110" s="549"/>
      <c r="AS1110" s="549"/>
      <c r="AT1110" s="549"/>
      <c r="AU1110" s="549"/>
      <c r="AV1110" s="549"/>
      <c r="AW1110" s="549"/>
      <c r="AX1110" s="549"/>
      <c r="AY1110" s="549"/>
      <c r="AZ1110" s="549"/>
      <c r="BA1110" s="549"/>
      <c r="BB1110" s="549"/>
      <c r="BC1110" s="549"/>
      <c r="BD1110" s="549"/>
      <c r="BE1110" s="549"/>
      <c r="BF1110" s="549"/>
      <c r="BG1110" s="549"/>
      <c r="BH1110" s="549"/>
      <c r="BI1110" s="549"/>
    </row>
    <row r="1111" spans="16:61" s="254" customFormat="1" ht="9.9">
      <c r="P1111" s="549"/>
      <c r="Q1111" s="549"/>
      <c r="R1111" s="549"/>
      <c r="S1111" s="549"/>
      <c r="T1111" s="549"/>
      <c r="U1111" s="549"/>
      <c r="V1111" s="549"/>
      <c r="W1111" s="549"/>
      <c r="X1111" s="549"/>
      <c r="Y1111" s="549"/>
      <c r="Z1111" s="549"/>
      <c r="AA1111" s="549"/>
      <c r="AB1111" s="549"/>
      <c r="AC1111" s="549"/>
      <c r="AD1111" s="549"/>
      <c r="AE1111" s="549"/>
      <c r="AF1111" s="549"/>
      <c r="AG1111" s="549"/>
      <c r="AH1111" s="549"/>
      <c r="AI1111" s="549"/>
      <c r="AJ1111" s="549"/>
      <c r="AK1111" s="549"/>
      <c r="AL1111" s="549"/>
      <c r="AM1111" s="549"/>
      <c r="AN1111" s="549"/>
      <c r="AO1111" s="549"/>
      <c r="AP1111" s="549"/>
      <c r="AQ1111" s="549"/>
      <c r="AR1111" s="549"/>
      <c r="AS1111" s="549"/>
      <c r="AT1111" s="549"/>
      <c r="AU1111" s="549"/>
      <c r="AV1111" s="549"/>
      <c r="AW1111" s="549"/>
      <c r="AX1111" s="549"/>
      <c r="AY1111" s="549"/>
      <c r="AZ1111" s="549"/>
      <c r="BA1111" s="549"/>
      <c r="BB1111" s="549"/>
      <c r="BC1111" s="549"/>
      <c r="BD1111" s="549"/>
      <c r="BE1111" s="549"/>
      <c r="BF1111" s="549"/>
      <c r="BG1111" s="549"/>
      <c r="BH1111" s="549"/>
      <c r="BI1111" s="549"/>
    </row>
    <row r="1112" spans="16:61" s="254" customFormat="1" ht="9.9">
      <c r="P1112" s="549"/>
      <c r="Q1112" s="549"/>
      <c r="R1112" s="549"/>
      <c r="S1112" s="549"/>
      <c r="T1112" s="549"/>
      <c r="U1112" s="549"/>
      <c r="V1112" s="549"/>
      <c r="W1112" s="549"/>
      <c r="X1112" s="549"/>
      <c r="Y1112" s="549"/>
      <c r="Z1112" s="549"/>
      <c r="AA1112" s="549"/>
      <c r="AB1112" s="549"/>
      <c r="AC1112" s="549"/>
      <c r="AD1112" s="549"/>
      <c r="AE1112" s="549"/>
      <c r="AF1112" s="549"/>
      <c r="AG1112" s="549"/>
      <c r="AH1112" s="549"/>
      <c r="AI1112" s="549"/>
      <c r="AJ1112" s="549"/>
      <c r="AK1112" s="549"/>
      <c r="AL1112" s="549"/>
      <c r="AM1112" s="549"/>
      <c r="AN1112" s="549"/>
      <c r="AO1112" s="549"/>
      <c r="AP1112" s="549"/>
      <c r="AQ1112" s="549"/>
      <c r="AR1112" s="549"/>
      <c r="AS1112" s="549"/>
      <c r="AT1112" s="549"/>
      <c r="AU1112" s="549"/>
      <c r="AV1112" s="549"/>
      <c r="AW1112" s="549"/>
      <c r="AX1112" s="549"/>
      <c r="AY1112" s="549"/>
      <c r="AZ1112" s="549"/>
      <c r="BA1112" s="549"/>
      <c r="BB1112" s="549"/>
      <c r="BC1112" s="549"/>
      <c r="BD1112" s="549"/>
      <c r="BE1112" s="549"/>
      <c r="BF1112" s="549"/>
      <c r="BG1112" s="549"/>
      <c r="BH1112" s="549"/>
      <c r="BI1112" s="549"/>
    </row>
    <row r="1113" spans="16:61" s="254" customFormat="1" ht="9.9">
      <c r="P1113" s="549"/>
      <c r="Q1113" s="549"/>
      <c r="R1113" s="549"/>
      <c r="S1113" s="549"/>
      <c r="T1113" s="549"/>
      <c r="U1113" s="549"/>
      <c r="V1113" s="549"/>
      <c r="W1113" s="549"/>
      <c r="X1113" s="549"/>
      <c r="Y1113" s="549"/>
      <c r="Z1113" s="549"/>
      <c r="AA1113" s="549"/>
      <c r="AB1113" s="549"/>
      <c r="AC1113" s="549"/>
      <c r="AD1113" s="549"/>
      <c r="AE1113" s="549"/>
      <c r="AF1113" s="549"/>
      <c r="AG1113" s="549"/>
      <c r="AH1113" s="549"/>
      <c r="AI1113" s="549"/>
      <c r="AJ1113" s="549"/>
      <c r="AK1113" s="549"/>
      <c r="AL1113" s="549"/>
      <c r="AM1113" s="549"/>
      <c r="AN1113" s="549"/>
      <c r="AO1113" s="549"/>
      <c r="AP1113" s="549"/>
      <c r="AQ1113" s="549"/>
      <c r="AR1113" s="549"/>
      <c r="AS1113" s="549"/>
      <c r="AT1113" s="549"/>
      <c r="AU1113" s="549"/>
      <c r="AV1113" s="549"/>
      <c r="AW1113" s="549"/>
      <c r="AX1113" s="549"/>
      <c r="AY1113" s="549"/>
      <c r="AZ1113" s="549"/>
      <c r="BA1113" s="549"/>
      <c r="BB1113" s="549"/>
      <c r="BC1113" s="549"/>
      <c r="BD1113" s="549"/>
      <c r="BE1113" s="549"/>
      <c r="BF1113" s="549"/>
      <c r="BG1113" s="549"/>
      <c r="BH1113" s="549"/>
      <c r="BI1113" s="549"/>
    </row>
    <row r="1114" spans="16:61" s="254" customFormat="1" ht="9.9">
      <c r="P1114" s="549"/>
      <c r="Q1114" s="549"/>
      <c r="R1114" s="549"/>
      <c r="S1114" s="549"/>
      <c r="T1114" s="549"/>
      <c r="U1114" s="549"/>
      <c r="V1114" s="549"/>
      <c r="W1114" s="549"/>
      <c r="X1114" s="549"/>
      <c r="Y1114" s="549"/>
      <c r="Z1114" s="549"/>
      <c r="AA1114" s="549"/>
      <c r="AB1114" s="549"/>
      <c r="AC1114" s="549"/>
      <c r="AD1114" s="549"/>
      <c r="AE1114" s="549"/>
      <c r="AF1114" s="549"/>
      <c r="AG1114" s="549"/>
      <c r="AH1114" s="549"/>
      <c r="AI1114" s="549"/>
      <c r="AJ1114" s="549"/>
      <c r="AK1114" s="549"/>
      <c r="AL1114" s="549"/>
      <c r="AM1114" s="549"/>
      <c r="AN1114" s="549"/>
      <c r="AO1114" s="549"/>
      <c r="AP1114" s="549"/>
      <c r="AQ1114" s="549"/>
      <c r="AR1114" s="549"/>
      <c r="AS1114" s="549"/>
      <c r="AT1114" s="549"/>
      <c r="AU1114" s="549"/>
      <c r="AV1114" s="549"/>
      <c r="AW1114" s="549"/>
      <c r="AX1114" s="549"/>
      <c r="AY1114" s="549"/>
      <c r="AZ1114" s="549"/>
      <c r="BA1114" s="549"/>
      <c r="BB1114" s="549"/>
      <c r="BC1114" s="549"/>
      <c r="BD1114" s="549"/>
      <c r="BE1114" s="549"/>
      <c r="BF1114" s="549"/>
      <c r="BG1114" s="549"/>
      <c r="BH1114" s="549"/>
      <c r="BI1114" s="549"/>
    </row>
    <row r="1115" spans="16:61" s="254" customFormat="1" ht="9.9">
      <c r="P1115" s="549"/>
      <c r="Q1115" s="549"/>
      <c r="R1115" s="549"/>
      <c r="S1115" s="549"/>
      <c r="T1115" s="549"/>
      <c r="U1115" s="549"/>
      <c r="V1115" s="549"/>
      <c r="W1115" s="549"/>
      <c r="X1115" s="549"/>
      <c r="Y1115" s="549"/>
      <c r="Z1115" s="549"/>
      <c r="AA1115" s="549"/>
      <c r="AB1115" s="549"/>
      <c r="AC1115" s="549"/>
      <c r="AD1115" s="549"/>
      <c r="AE1115" s="549"/>
      <c r="AF1115" s="549"/>
      <c r="AG1115" s="549"/>
      <c r="AH1115" s="549"/>
      <c r="AI1115" s="549"/>
      <c r="AJ1115" s="549"/>
      <c r="AK1115" s="549"/>
      <c r="AL1115" s="549"/>
      <c r="AM1115" s="549"/>
      <c r="AN1115" s="549"/>
      <c r="AO1115" s="549"/>
      <c r="AP1115" s="549"/>
      <c r="AQ1115" s="549"/>
      <c r="AR1115" s="549"/>
      <c r="AS1115" s="549"/>
      <c r="AT1115" s="549"/>
      <c r="AU1115" s="549"/>
      <c r="AV1115" s="549"/>
      <c r="AW1115" s="549"/>
      <c r="AX1115" s="549"/>
      <c r="AY1115" s="549"/>
      <c r="AZ1115" s="549"/>
      <c r="BA1115" s="549"/>
      <c r="BB1115" s="549"/>
      <c r="BC1115" s="549"/>
      <c r="BD1115" s="549"/>
      <c r="BE1115" s="549"/>
      <c r="BF1115" s="549"/>
      <c r="BG1115" s="549"/>
      <c r="BH1115" s="549"/>
      <c r="BI1115" s="549"/>
    </row>
    <row r="1116" spans="16:61" s="254" customFormat="1" ht="9.9">
      <c r="P1116" s="549"/>
      <c r="Q1116" s="549"/>
      <c r="R1116" s="549"/>
      <c r="S1116" s="549"/>
      <c r="T1116" s="549"/>
      <c r="U1116" s="549"/>
      <c r="V1116" s="549"/>
      <c r="W1116" s="549"/>
      <c r="X1116" s="549"/>
      <c r="Y1116" s="549"/>
      <c r="Z1116" s="549"/>
      <c r="AA1116" s="549"/>
      <c r="AB1116" s="549"/>
      <c r="AC1116" s="549"/>
      <c r="AD1116" s="549"/>
      <c r="AE1116" s="549"/>
      <c r="AF1116" s="549"/>
      <c r="AG1116" s="549"/>
      <c r="AH1116" s="549"/>
      <c r="AI1116" s="549"/>
      <c r="AJ1116" s="549"/>
      <c r="AK1116" s="549"/>
      <c r="AL1116" s="549"/>
      <c r="AM1116" s="549"/>
      <c r="AN1116" s="549"/>
      <c r="AO1116" s="549"/>
      <c r="AP1116" s="549"/>
      <c r="AQ1116" s="549"/>
      <c r="AR1116" s="549"/>
      <c r="AS1116" s="549"/>
      <c r="AT1116" s="549"/>
      <c r="AU1116" s="549"/>
      <c r="AV1116" s="549"/>
      <c r="AW1116" s="549"/>
      <c r="AX1116" s="549"/>
      <c r="AY1116" s="549"/>
      <c r="AZ1116" s="549"/>
      <c r="BA1116" s="549"/>
      <c r="BB1116" s="549"/>
      <c r="BC1116" s="549"/>
      <c r="BD1116" s="549"/>
      <c r="BE1116" s="549"/>
      <c r="BF1116" s="549"/>
      <c r="BG1116" s="549"/>
      <c r="BH1116" s="549"/>
      <c r="BI1116" s="549"/>
    </row>
    <row r="1117" spans="16:61" s="254" customFormat="1" ht="9.9">
      <c r="P1117" s="549"/>
      <c r="Q1117" s="549"/>
      <c r="R1117" s="549"/>
      <c r="S1117" s="549"/>
      <c r="T1117" s="549"/>
      <c r="U1117" s="549"/>
      <c r="V1117" s="549"/>
      <c r="W1117" s="549"/>
      <c r="X1117" s="549"/>
      <c r="Y1117" s="549"/>
      <c r="Z1117" s="549"/>
      <c r="AA1117" s="549"/>
      <c r="AB1117" s="549"/>
      <c r="AC1117" s="549"/>
      <c r="AD1117" s="549"/>
      <c r="AE1117" s="549"/>
      <c r="AF1117" s="549"/>
      <c r="AG1117" s="549"/>
      <c r="AH1117" s="549"/>
      <c r="AI1117" s="549"/>
      <c r="AJ1117" s="549"/>
      <c r="AK1117" s="549"/>
      <c r="AL1117" s="549"/>
      <c r="AM1117" s="549"/>
      <c r="AN1117" s="549"/>
      <c r="AO1117" s="549"/>
      <c r="AP1117" s="549"/>
      <c r="AQ1117" s="549"/>
      <c r="AR1117" s="549"/>
      <c r="AS1117" s="549"/>
      <c r="AT1117" s="549"/>
      <c r="AU1117" s="549"/>
      <c r="AV1117" s="549"/>
      <c r="AW1117" s="549"/>
      <c r="AX1117" s="549"/>
      <c r="AY1117" s="549"/>
      <c r="AZ1117" s="549"/>
      <c r="BA1117" s="549"/>
      <c r="BB1117" s="549"/>
      <c r="BC1117" s="549"/>
      <c r="BD1117" s="549"/>
      <c r="BE1117" s="549"/>
      <c r="BF1117" s="549"/>
      <c r="BG1117" s="549"/>
      <c r="BH1117" s="549"/>
      <c r="BI1117" s="549"/>
    </row>
    <row r="1118" spans="16:61" s="254" customFormat="1" ht="9.9">
      <c r="P1118" s="549"/>
      <c r="Q1118" s="549"/>
      <c r="R1118" s="549"/>
      <c r="S1118" s="549"/>
      <c r="T1118" s="549"/>
      <c r="U1118" s="549"/>
      <c r="V1118" s="549"/>
      <c r="W1118" s="549"/>
      <c r="X1118" s="549"/>
      <c r="Y1118" s="549"/>
      <c r="Z1118" s="549"/>
      <c r="AA1118" s="549"/>
      <c r="AB1118" s="549"/>
      <c r="AC1118" s="549"/>
      <c r="AD1118" s="549"/>
      <c r="AE1118" s="549"/>
      <c r="AF1118" s="549"/>
      <c r="AG1118" s="549"/>
      <c r="AH1118" s="549"/>
      <c r="AI1118" s="549"/>
      <c r="AJ1118" s="549"/>
      <c r="AK1118" s="549"/>
      <c r="AL1118" s="549"/>
      <c r="AM1118" s="549"/>
      <c r="AN1118" s="549"/>
      <c r="AO1118" s="549"/>
      <c r="AP1118" s="549"/>
      <c r="AQ1118" s="549"/>
      <c r="AR1118" s="549"/>
      <c r="AS1118" s="549"/>
      <c r="AT1118" s="549"/>
      <c r="AU1118" s="549"/>
      <c r="AV1118" s="549"/>
      <c r="AW1118" s="549"/>
      <c r="AX1118" s="549"/>
      <c r="AY1118" s="549"/>
      <c r="AZ1118" s="549"/>
      <c r="BA1118" s="549"/>
      <c r="BB1118" s="549"/>
      <c r="BC1118" s="549"/>
      <c r="BD1118" s="549"/>
      <c r="BE1118" s="549"/>
      <c r="BF1118" s="549"/>
      <c r="BG1118" s="549"/>
      <c r="BH1118" s="549"/>
      <c r="BI1118" s="549"/>
    </row>
    <row r="1119" spans="16:61" s="254" customFormat="1" ht="9.9">
      <c r="P1119" s="549"/>
      <c r="Q1119" s="549"/>
      <c r="R1119" s="549"/>
      <c r="S1119" s="549"/>
      <c r="T1119" s="549"/>
      <c r="U1119" s="549"/>
      <c r="V1119" s="549"/>
      <c r="W1119" s="549"/>
      <c r="X1119" s="549"/>
      <c r="Y1119" s="549"/>
      <c r="Z1119" s="549"/>
      <c r="AA1119" s="549"/>
      <c r="AB1119" s="549"/>
      <c r="AC1119" s="549"/>
      <c r="AD1119" s="549"/>
      <c r="AE1119" s="549"/>
      <c r="AF1119" s="549"/>
      <c r="AG1119" s="549"/>
      <c r="AH1119" s="549"/>
      <c r="AI1119" s="549"/>
      <c r="AJ1119" s="549"/>
      <c r="AK1119" s="549"/>
      <c r="AL1119" s="549"/>
      <c r="AM1119" s="549"/>
      <c r="AN1119" s="549"/>
      <c r="AO1119" s="549"/>
      <c r="AP1119" s="549"/>
      <c r="AQ1119" s="549"/>
      <c r="AR1119" s="549"/>
      <c r="AS1119" s="549"/>
      <c r="AT1119" s="549"/>
      <c r="AU1119" s="549"/>
      <c r="AV1119" s="549"/>
      <c r="AW1119" s="549"/>
      <c r="AX1119" s="549"/>
      <c r="AY1119" s="549"/>
      <c r="AZ1119" s="549"/>
      <c r="BA1119" s="549"/>
      <c r="BB1119" s="549"/>
      <c r="BC1119" s="549"/>
      <c r="BD1119" s="549"/>
      <c r="BE1119" s="549"/>
      <c r="BF1119" s="549"/>
      <c r="BG1119" s="549"/>
      <c r="BH1119" s="549"/>
      <c r="BI1119" s="549"/>
    </row>
    <row r="1120" spans="16:61" s="254" customFormat="1" ht="9.9">
      <c r="P1120" s="549"/>
      <c r="Q1120" s="549"/>
      <c r="R1120" s="549"/>
      <c r="S1120" s="549"/>
      <c r="T1120" s="549"/>
      <c r="U1120" s="549"/>
      <c r="V1120" s="549"/>
      <c r="W1120" s="549"/>
      <c r="X1120" s="549"/>
      <c r="Y1120" s="549"/>
      <c r="Z1120" s="549"/>
      <c r="AA1120" s="549"/>
      <c r="AB1120" s="549"/>
      <c r="AC1120" s="549"/>
      <c r="AD1120" s="549"/>
      <c r="AE1120" s="549"/>
      <c r="AF1120" s="549"/>
      <c r="AG1120" s="549"/>
      <c r="AH1120" s="549"/>
      <c r="AI1120" s="549"/>
      <c r="AJ1120" s="549"/>
      <c r="AK1120" s="549"/>
      <c r="AL1120" s="549"/>
      <c r="AM1120" s="549"/>
      <c r="AN1120" s="549"/>
      <c r="AO1120" s="549"/>
      <c r="AP1120" s="549"/>
      <c r="AQ1120" s="549"/>
      <c r="AR1120" s="549"/>
      <c r="AS1120" s="549"/>
      <c r="AT1120" s="549"/>
      <c r="AU1120" s="549"/>
      <c r="AV1120" s="549"/>
      <c r="AW1120" s="549"/>
      <c r="AX1120" s="549"/>
      <c r="AY1120" s="549"/>
      <c r="AZ1120" s="549"/>
      <c r="BA1120" s="549"/>
      <c r="BB1120" s="549"/>
      <c r="BC1120" s="549"/>
      <c r="BD1120" s="549"/>
      <c r="BE1120" s="549"/>
      <c r="BF1120" s="549"/>
      <c r="BG1120" s="549"/>
      <c r="BH1120" s="549"/>
      <c r="BI1120" s="549"/>
    </row>
    <row r="1121" spans="16:61" s="254" customFormat="1" ht="9.9">
      <c r="P1121" s="549"/>
      <c r="Q1121" s="549"/>
      <c r="R1121" s="549"/>
      <c r="S1121" s="549"/>
      <c r="T1121" s="549"/>
      <c r="U1121" s="549"/>
      <c r="V1121" s="549"/>
      <c r="W1121" s="549"/>
      <c r="X1121" s="549"/>
      <c r="Y1121" s="549"/>
      <c r="Z1121" s="549"/>
      <c r="AA1121" s="549"/>
      <c r="AB1121" s="549"/>
      <c r="AC1121" s="549"/>
      <c r="AD1121" s="549"/>
      <c r="AE1121" s="549"/>
      <c r="AF1121" s="549"/>
      <c r="AG1121" s="549"/>
      <c r="AH1121" s="549"/>
      <c r="AI1121" s="549"/>
      <c r="AJ1121" s="549"/>
      <c r="AK1121" s="549"/>
      <c r="AL1121" s="549"/>
      <c r="AM1121" s="549"/>
      <c r="AN1121" s="549"/>
      <c r="AO1121" s="549"/>
      <c r="AP1121" s="549"/>
      <c r="AQ1121" s="549"/>
      <c r="AR1121" s="549"/>
      <c r="AS1121" s="549"/>
      <c r="AT1121" s="549"/>
      <c r="AU1121" s="549"/>
      <c r="AV1121" s="549"/>
      <c r="AW1121" s="549"/>
      <c r="AX1121" s="549"/>
      <c r="AY1121" s="549"/>
      <c r="AZ1121" s="549"/>
      <c r="BA1121" s="549"/>
      <c r="BB1121" s="549"/>
      <c r="BC1121" s="549"/>
      <c r="BD1121" s="549"/>
      <c r="BE1121" s="549"/>
      <c r="BF1121" s="549"/>
      <c r="BG1121" s="549"/>
      <c r="BH1121" s="549"/>
      <c r="BI1121" s="549"/>
    </row>
    <row r="1122" spans="16:61" s="254" customFormat="1" ht="9.9">
      <c r="P1122" s="549"/>
      <c r="Q1122" s="549"/>
      <c r="R1122" s="549"/>
      <c r="S1122" s="549"/>
      <c r="T1122" s="549"/>
      <c r="U1122" s="549"/>
      <c r="V1122" s="549"/>
      <c r="W1122" s="549"/>
      <c r="X1122" s="549"/>
      <c r="Y1122" s="549"/>
      <c r="Z1122" s="549"/>
      <c r="AA1122" s="549"/>
      <c r="AB1122" s="549"/>
      <c r="AC1122" s="549"/>
      <c r="AD1122" s="549"/>
      <c r="AE1122" s="549"/>
      <c r="AF1122" s="549"/>
      <c r="AG1122" s="549"/>
      <c r="AH1122" s="549"/>
      <c r="AI1122" s="549"/>
      <c r="AJ1122" s="549"/>
      <c r="AK1122" s="549"/>
      <c r="AL1122" s="549"/>
      <c r="AM1122" s="549"/>
      <c r="AN1122" s="549"/>
      <c r="AO1122" s="549"/>
      <c r="AP1122" s="549"/>
      <c r="AQ1122" s="549"/>
      <c r="AR1122" s="549"/>
      <c r="AS1122" s="549"/>
      <c r="AT1122" s="549"/>
      <c r="AU1122" s="549"/>
      <c r="AV1122" s="549"/>
      <c r="AW1122" s="549"/>
      <c r="AX1122" s="549"/>
      <c r="AY1122" s="549"/>
      <c r="AZ1122" s="549"/>
      <c r="BA1122" s="549"/>
      <c r="BB1122" s="549"/>
      <c r="BC1122" s="549"/>
      <c r="BD1122" s="549"/>
      <c r="BE1122" s="549"/>
      <c r="BF1122" s="549"/>
      <c r="BG1122" s="549"/>
      <c r="BH1122" s="549"/>
      <c r="BI1122" s="549"/>
    </row>
    <row r="1123" spans="16:61" s="254" customFormat="1" ht="9.9">
      <c r="P1123" s="549"/>
      <c r="Q1123" s="549"/>
      <c r="R1123" s="549"/>
      <c r="S1123" s="549"/>
      <c r="T1123" s="549"/>
      <c r="U1123" s="549"/>
      <c r="V1123" s="549"/>
      <c r="W1123" s="549"/>
      <c r="X1123" s="549"/>
      <c r="Y1123" s="549"/>
      <c r="Z1123" s="549"/>
      <c r="AA1123" s="549"/>
      <c r="AB1123" s="549"/>
      <c r="AC1123" s="549"/>
      <c r="AD1123" s="549"/>
      <c r="AE1123" s="549"/>
      <c r="AF1123" s="549"/>
      <c r="AG1123" s="549"/>
      <c r="AH1123" s="549"/>
      <c r="AI1123" s="549"/>
      <c r="AJ1123" s="549"/>
      <c r="AK1123" s="549"/>
      <c r="AL1123" s="549"/>
      <c r="AM1123" s="549"/>
      <c r="AN1123" s="549"/>
      <c r="AO1123" s="549"/>
      <c r="AP1123" s="549"/>
      <c r="AQ1123" s="549"/>
      <c r="AR1123" s="549"/>
      <c r="AS1123" s="549"/>
      <c r="AT1123" s="549"/>
      <c r="AU1123" s="549"/>
      <c r="AV1123" s="549"/>
      <c r="AW1123" s="549"/>
      <c r="AX1123" s="549"/>
      <c r="AY1123" s="549"/>
      <c r="AZ1123" s="549"/>
      <c r="BA1123" s="549"/>
      <c r="BB1123" s="549"/>
      <c r="BC1123" s="549"/>
      <c r="BD1123" s="549"/>
      <c r="BE1123" s="549"/>
      <c r="BF1123" s="549"/>
      <c r="BG1123" s="549"/>
      <c r="BH1123" s="549"/>
      <c r="BI1123" s="549"/>
    </row>
    <row r="1124" spans="16:61" s="254" customFormat="1" ht="9.9">
      <c r="P1124" s="549"/>
      <c r="Q1124" s="549"/>
      <c r="R1124" s="549"/>
      <c r="S1124" s="549"/>
      <c r="T1124" s="549"/>
      <c r="U1124" s="549"/>
      <c r="V1124" s="549"/>
      <c r="W1124" s="549"/>
      <c r="X1124" s="549"/>
      <c r="Y1124" s="549"/>
      <c r="Z1124" s="549"/>
      <c r="AA1124" s="549"/>
      <c r="AB1124" s="549"/>
      <c r="AC1124" s="549"/>
      <c r="AD1124" s="549"/>
      <c r="AE1124" s="549"/>
      <c r="AF1124" s="549"/>
      <c r="AG1124" s="549"/>
      <c r="AH1124" s="549"/>
      <c r="AI1124" s="549"/>
      <c r="AJ1124" s="549"/>
      <c r="AK1124" s="549"/>
      <c r="AL1124" s="549"/>
      <c r="AM1124" s="549"/>
      <c r="AN1124" s="549"/>
      <c r="AO1124" s="549"/>
      <c r="AP1124" s="549"/>
      <c r="AQ1124" s="549"/>
      <c r="AR1124" s="549"/>
      <c r="AS1124" s="549"/>
      <c r="AT1124" s="549"/>
      <c r="AU1124" s="549"/>
      <c r="AV1124" s="549"/>
      <c r="AW1124" s="549"/>
      <c r="AX1124" s="549"/>
      <c r="AY1124" s="549"/>
      <c r="AZ1124" s="549"/>
      <c r="BA1124" s="549"/>
      <c r="BB1124" s="549"/>
      <c r="BC1124" s="549"/>
      <c r="BD1124" s="549"/>
      <c r="BE1124" s="549"/>
      <c r="BF1124" s="549"/>
      <c r="BG1124" s="549"/>
      <c r="BH1124" s="549"/>
      <c r="BI1124" s="549"/>
    </row>
    <row r="1125" spans="16:61" s="254" customFormat="1" ht="9.9">
      <c r="P1125" s="549"/>
      <c r="Q1125" s="549"/>
      <c r="R1125" s="549"/>
      <c r="S1125" s="549"/>
      <c r="T1125" s="549"/>
      <c r="U1125" s="549"/>
      <c r="V1125" s="549"/>
      <c r="W1125" s="549"/>
      <c r="X1125" s="549"/>
      <c r="Y1125" s="549"/>
      <c r="Z1125" s="549"/>
      <c r="AA1125" s="549"/>
      <c r="AB1125" s="549"/>
      <c r="AC1125" s="549"/>
      <c r="AD1125" s="549"/>
      <c r="AE1125" s="549"/>
      <c r="AF1125" s="549"/>
      <c r="AG1125" s="549"/>
      <c r="AH1125" s="549"/>
      <c r="AI1125" s="549"/>
      <c r="AJ1125" s="549"/>
      <c r="AK1125" s="549"/>
      <c r="AL1125" s="549"/>
      <c r="AM1125" s="549"/>
      <c r="AN1125" s="549"/>
      <c r="AO1125" s="549"/>
      <c r="AP1125" s="549"/>
      <c r="AQ1125" s="549"/>
      <c r="AR1125" s="549"/>
      <c r="AS1125" s="549"/>
      <c r="AT1125" s="549"/>
      <c r="AU1125" s="549"/>
      <c r="AV1125" s="549"/>
      <c r="AW1125" s="549"/>
      <c r="AX1125" s="549"/>
      <c r="AY1125" s="549"/>
      <c r="AZ1125" s="549"/>
      <c r="BA1125" s="549"/>
      <c r="BB1125" s="549"/>
      <c r="BC1125" s="549"/>
      <c r="BD1125" s="549"/>
      <c r="BE1125" s="549"/>
      <c r="BF1125" s="549"/>
      <c r="BG1125" s="549"/>
      <c r="BH1125" s="549"/>
      <c r="BI1125" s="549"/>
    </row>
    <row r="1126" spans="16:61" s="254" customFormat="1" ht="9.9">
      <c r="P1126" s="549"/>
      <c r="Q1126" s="549"/>
      <c r="R1126" s="549"/>
      <c r="S1126" s="549"/>
      <c r="T1126" s="549"/>
      <c r="U1126" s="549"/>
      <c r="V1126" s="549"/>
      <c r="W1126" s="549"/>
      <c r="X1126" s="549"/>
      <c r="Y1126" s="549"/>
      <c r="Z1126" s="549"/>
      <c r="AA1126" s="549"/>
      <c r="AB1126" s="549"/>
      <c r="AC1126" s="549"/>
      <c r="AD1126" s="549"/>
      <c r="AE1126" s="549"/>
      <c r="AF1126" s="549"/>
      <c r="AG1126" s="549"/>
      <c r="AH1126" s="549"/>
      <c r="AI1126" s="549"/>
      <c r="AJ1126" s="549"/>
      <c r="AK1126" s="549"/>
      <c r="AL1126" s="549"/>
      <c r="AM1126" s="549"/>
      <c r="AN1126" s="549"/>
      <c r="AO1126" s="549"/>
      <c r="AP1126" s="549"/>
      <c r="AQ1126" s="549"/>
      <c r="AR1126" s="549"/>
      <c r="AS1126" s="549"/>
      <c r="AT1126" s="549"/>
      <c r="AU1126" s="549"/>
      <c r="AV1126" s="549"/>
      <c r="AW1126" s="549"/>
      <c r="AX1126" s="549"/>
      <c r="AY1126" s="549"/>
      <c r="AZ1126" s="549"/>
      <c r="BA1126" s="549"/>
      <c r="BB1126" s="549"/>
      <c r="BC1126" s="549"/>
      <c r="BD1126" s="549"/>
      <c r="BE1126" s="549"/>
      <c r="BF1126" s="549"/>
      <c r="BG1126" s="549"/>
      <c r="BH1126" s="549"/>
      <c r="BI1126" s="549"/>
    </row>
    <row r="1127" spans="16:61" s="254" customFormat="1" ht="9.9">
      <c r="P1127" s="549"/>
      <c r="Q1127" s="549"/>
      <c r="R1127" s="549"/>
      <c r="S1127" s="549"/>
      <c r="T1127" s="549"/>
      <c r="U1127" s="549"/>
      <c r="V1127" s="549"/>
      <c r="W1127" s="549"/>
      <c r="X1127" s="549"/>
      <c r="Y1127" s="549"/>
      <c r="Z1127" s="549"/>
      <c r="AA1127" s="549"/>
      <c r="AB1127" s="549"/>
      <c r="AC1127" s="549"/>
      <c r="AD1127" s="549"/>
      <c r="AE1127" s="549"/>
      <c r="AF1127" s="549"/>
      <c r="AG1127" s="549"/>
      <c r="AH1127" s="549"/>
      <c r="AI1127" s="549"/>
      <c r="AJ1127" s="549"/>
      <c r="AK1127" s="549"/>
      <c r="AL1127" s="549"/>
      <c r="AM1127" s="549"/>
      <c r="AN1127" s="549"/>
      <c r="AO1127" s="549"/>
      <c r="AP1127" s="549"/>
      <c r="AQ1127" s="549"/>
      <c r="AR1127" s="549"/>
      <c r="AS1127" s="549"/>
      <c r="AT1127" s="549"/>
      <c r="AU1127" s="549"/>
      <c r="AV1127" s="549"/>
      <c r="AW1127" s="549"/>
      <c r="AX1127" s="549"/>
      <c r="AY1127" s="549"/>
      <c r="AZ1127" s="549"/>
      <c r="BA1127" s="549"/>
      <c r="BB1127" s="549"/>
      <c r="BC1127" s="549"/>
      <c r="BD1127" s="549"/>
      <c r="BE1127" s="549"/>
      <c r="BF1127" s="549"/>
      <c r="BG1127" s="549"/>
      <c r="BH1127" s="549"/>
      <c r="BI1127" s="549"/>
    </row>
    <row r="1128" spans="16:61" s="254" customFormat="1" ht="9.9">
      <c r="P1128" s="549"/>
      <c r="Q1128" s="549"/>
      <c r="R1128" s="549"/>
      <c r="S1128" s="549"/>
      <c r="T1128" s="549"/>
      <c r="U1128" s="549"/>
      <c r="V1128" s="549"/>
      <c r="W1128" s="549"/>
      <c r="X1128" s="549"/>
      <c r="Y1128" s="549"/>
      <c r="Z1128" s="549"/>
      <c r="AA1128" s="549"/>
      <c r="AB1128" s="549"/>
      <c r="AC1128" s="549"/>
      <c r="AD1128" s="549"/>
      <c r="AE1128" s="549"/>
      <c r="AF1128" s="549"/>
      <c r="AG1128" s="549"/>
      <c r="AH1128" s="549"/>
      <c r="AI1128" s="549"/>
      <c r="AJ1128" s="549"/>
      <c r="AK1128" s="549"/>
      <c r="AL1128" s="549"/>
      <c r="AM1128" s="549"/>
      <c r="AN1128" s="549"/>
      <c r="AO1128" s="549"/>
      <c r="AP1128" s="549"/>
      <c r="AQ1128" s="549"/>
      <c r="AR1128" s="549"/>
      <c r="AS1128" s="549"/>
      <c r="AT1128" s="549"/>
      <c r="AU1128" s="549"/>
      <c r="AV1128" s="549"/>
      <c r="AW1128" s="549"/>
      <c r="AX1128" s="549"/>
      <c r="AY1128" s="549"/>
      <c r="AZ1128" s="549"/>
      <c r="BA1128" s="549"/>
      <c r="BB1128" s="549"/>
      <c r="BC1128" s="549"/>
      <c r="BD1128" s="549"/>
      <c r="BE1128" s="549"/>
      <c r="BF1128" s="549"/>
      <c r="BG1128" s="549"/>
      <c r="BH1128" s="549"/>
      <c r="BI1128" s="549"/>
    </row>
    <row r="1129" spans="16:61" s="254" customFormat="1" ht="9.9">
      <c r="P1129" s="549"/>
      <c r="Q1129" s="549"/>
      <c r="R1129" s="549"/>
      <c r="S1129" s="549"/>
      <c r="T1129" s="549"/>
      <c r="U1129" s="549"/>
      <c r="V1129" s="549"/>
      <c r="W1129" s="549"/>
      <c r="X1129" s="549"/>
      <c r="Y1129" s="549"/>
      <c r="Z1129" s="549"/>
      <c r="AA1129" s="549"/>
      <c r="AB1129" s="549"/>
      <c r="AC1129" s="549"/>
      <c r="AD1129" s="549"/>
      <c r="AE1129" s="549"/>
      <c r="AF1129" s="549"/>
      <c r="AG1129" s="549"/>
      <c r="AH1129" s="549"/>
      <c r="AI1129" s="549"/>
      <c r="AJ1129" s="549"/>
      <c r="AK1129" s="549"/>
      <c r="AL1129" s="549"/>
      <c r="AM1129" s="549"/>
      <c r="AN1129" s="549"/>
      <c r="AO1129" s="549"/>
      <c r="AP1129" s="549"/>
      <c r="AQ1129" s="549"/>
      <c r="AR1129" s="549"/>
      <c r="AS1129" s="549"/>
      <c r="AT1129" s="549"/>
      <c r="AU1129" s="549"/>
      <c r="AV1129" s="549"/>
      <c r="AW1129" s="549"/>
      <c r="AX1129" s="549"/>
      <c r="AY1129" s="549"/>
      <c r="AZ1129" s="549"/>
      <c r="BA1129" s="549"/>
      <c r="BB1129" s="549"/>
      <c r="BC1129" s="549"/>
      <c r="BD1129" s="549"/>
      <c r="BE1129" s="549"/>
      <c r="BF1129" s="549"/>
      <c r="BG1129" s="549"/>
      <c r="BH1129" s="549"/>
      <c r="BI1129" s="549"/>
    </row>
    <row r="1130" spans="16:61" s="254" customFormat="1" ht="9.9">
      <c r="P1130" s="549"/>
      <c r="Q1130" s="549"/>
      <c r="R1130" s="549"/>
      <c r="S1130" s="549"/>
      <c r="T1130" s="549"/>
      <c r="U1130" s="549"/>
      <c r="V1130" s="549"/>
      <c r="W1130" s="549"/>
      <c r="X1130" s="549"/>
      <c r="Y1130" s="549"/>
      <c r="Z1130" s="549"/>
      <c r="AA1130" s="549"/>
      <c r="AB1130" s="549"/>
      <c r="AC1130" s="549"/>
      <c r="AD1130" s="549"/>
      <c r="AE1130" s="549"/>
      <c r="AF1130" s="549"/>
      <c r="AG1130" s="549"/>
      <c r="AH1130" s="549"/>
      <c r="AI1130" s="549"/>
      <c r="AJ1130" s="549"/>
      <c r="AK1130" s="549"/>
      <c r="AL1130" s="549"/>
      <c r="AM1130" s="549"/>
      <c r="AN1130" s="549"/>
      <c r="AO1130" s="549"/>
      <c r="AP1130" s="549"/>
      <c r="AQ1130" s="549"/>
      <c r="AR1130" s="549"/>
      <c r="AS1130" s="549"/>
      <c r="AT1130" s="549"/>
      <c r="AU1130" s="549"/>
      <c r="AV1130" s="549"/>
      <c r="AW1130" s="549"/>
      <c r="AX1130" s="549"/>
      <c r="AY1130" s="549"/>
      <c r="AZ1130" s="549"/>
      <c r="BA1130" s="549"/>
      <c r="BB1130" s="549"/>
      <c r="BC1130" s="549"/>
      <c r="BD1130" s="549"/>
      <c r="BE1130" s="549"/>
      <c r="BF1130" s="549"/>
      <c r="BG1130" s="549"/>
      <c r="BH1130" s="549"/>
      <c r="BI1130" s="549"/>
    </row>
    <row r="1131" spans="16:61" s="254" customFormat="1" ht="9.9">
      <c r="P1131" s="549"/>
      <c r="Q1131" s="549"/>
      <c r="R1131" s="549"/>
      <c r="S1131" s="549"/>
      <c r="T1131" s="549"/>
      <c r="U1131" s="549"/>
      <c r="V1131" s="549"/>
      <c r="W1131" s="549"/>
      <c r="X1131" s="549"/>
      <c r="Y1131" s="549"/>
      <c r="Z1131" s="549"/>
      <c r="AA1131" s="549"/>
      <c r="AB1131" s="549"/>
      <c r="AC1131" s="549"/>
      <c r="AD1131" s="549"/>
      <c r="AE1131" s="549"/>
      <c r="AF1131" s="549"/>
      <c r="AG1131" s="549"/>
      <c r="AH1131" s="549"/>
      <c r="AI1131" s="549"/>
      <c r="AJ1131" s="549"/>
      <c r="AK1131" s="549"/>
      <c r="AL1131" s="549"/>
      <c r="AM1131" s="549"/>
      <c r="AN1131" s="549"/>
      <c r="AO1131" s="549"/>
      <c r="AP1131" s="549"/>
      <c r="AQ1131" s="549"/>
      <c r="AR1131" s="549"/>
      <c r="AS1131" s="549"/>
      <c r="AT1131" s="549"/>
      <c r="AU1131" s="549"/>
      <c r="AV1131" s="549"/>
      <c r="AW1131" s="549"/>
      <c r="AX1131" s="549"/>
      <c r="AY1131" s="549"/>
      <c r="AZ1131" s="549"/>
      <c r="BA1131" s="549"/>
      <c r="BB1131" s="549"/>
      <c r="BC1131" s="549"/>
      <c r="BD1131" s="549"/>
      <c r="BE1131" s="549"/>
      <c r="BF1131" s="549"/>
      <c r="BG1131" s="549"/>
      <c r="BH1131" s="549"/>
      <c r="BI1131" s="549"/>
    </row>
    <row r="1132" spans="16:61" s="254" customFormat="1" ht="9.9">
      <c r="P1132" s="549"/>
      <c r="Q1132" s="549"/>
      <c r="R1132" s="549"/>
      <c r="S1132" s="549"/>
      <c r="T1132" s="549"/>
      <c r="U1132" s="549"/>
      <c r="V1132" s="549"/>
      <c r="W1132" s="549"/>
      <c r="X1132" s="549"/>
      <c r="Y1132" s="549"/>
      <c r="Z1132" s="549"/>
      <c r="AA1132" s="549"/>
      <c r="AB1132" s="549"/>
      <c r="AC1132" s="549"/>
      <c r="AD1132" s="549"/>
      <c r="AE1132" s="549"/>
      <c r="AF1132" s="549"/>
      <c r="AG1132" s="549"/>
      <c r="AH1132" s="549"/>
      <c r="AI1132" s="549"/>
      <c r="AJ1132" s="549"/>
      <c r="AK1132" s="549"/>
      <c r="AL1132" s="549"/>
      <c r="AM1132" s="549"/>
      <c r="AN1132" s="549"/>
      <c r="AO1132" s="549"/>
      <c r="AP1132" s="549"/>
      <c r="AQ1132" s="549"/>
      <c r="AR1132" s="549"/>
      <c r="AS1132" s="549"/>
      <c r="AT1132" s="549"/>
      <c r="AU1132" s="549"/>
      <c r="AV1132" s="549"/>
      <c r="AW1132" s="549"/>
      <c r="AX1132" s="549"/>
      <c r="AY1132" s="549"/>
      <c r="AZ1132" s="549"/>
      <c r="BA1132" s="549"/>
      <c r="BB1132" s="549"/>
      <c r="BC1132" s="549"/>
      <c r="BD1132" s="549"/>
      <c r="BE1132" s="549"/>
      <c r="BF1132" s="549"/>
      <c r="BG1132" s="549"/>
      <c r="BH1132" s="549"/>
      <c r="BI1132" s="549"/>
    </row>
    <row r="1133" spans="16:61" s="254" customFormat="1" ht="9.9">
      <c r="P1133" s="549"/>
      <c r="Q1133" s="549"/>
      <c r="R1133" s="549"/>
      <c r="S1133" s="549"/>
      <c r="T1133" s="549"/>
      <c r="U1133" s="549"/>
      <c r="V1133" s="549"/>
      <c r="W1133" s="549"/>
      <c r="X1133" s="549"/>
      <c r="Y1133" s="549"/>
      <c r="Z1133" s="549"/>
      <c r="AA1133" s="549"/>
      <c r="AB1133" s="549"/>
      <c r="AC1133" s="549"/>
      <c r="AD1133" s="549"/>
      <c r="AE1133" s="549"/>
      <c r="AF1133" s="549"/>
      <c r="AG1133" s="549"/>
      <c r="AH1133" s="549"/>
      <c r="AI1133" s="549"/>
      <c r="AJ1133" s="549"/>
      <c r="AK1133" s="549"/>
      <c r="AL1133" s="549"/>
      <c r="AM1133" s="549"/>
      <c r="AN1133" s="549"/>
      <c r="AO1133" s="549"/>
      <c r="AP1133" s="549"/>
      <c r="AQ1133" s="549"/>
      <c r="AR1133" s="549"/>
      <c r="AS1133" s="549"/>
      <c r="AT1133" s="549"/>
      <c r="AU1133" s="549"/>
      <c r="AV1133" s="549"/>
      <c r="AW1133" s="549"/>
      <c r="AX1133" s="549"/>
      <c r="AY1133" s="549"/>
      <c r="AZ1133" s="549"/>
      <c r="BA1133" s="549"/>
      <c r="BB1133" s="549"/>
      <c r="BC1133" s="549"/>
      <c r="BD1133" s="549"/>
      <c r="BE1133" s="549"/>
      <c r="BF1133" s="549"/>
      <c r="BG1133" s="549"/>
      <c r="BH1133" s="549"/>
      <c r="BI1133" s="549"/>
    </row>
    <row r="1134" spans="16:61" s="254" customFormat="1" ht="9.9">
      <c r="P1134" s="549"/>
      <c r="Q1134" s="549"/>
      <c r="R1134" s="549"/>
      <c r="S1134" s="549"/>
      <c r="T1134" s="549"/>
      <c r="U1134" s="549"/>
      <c r="V1134" s="549"/>
      <c r="W1134" s="549"/>
      <c r="X1134" s="549"/>
      <c r="Y1134" s="549"/>
      <c r="Z1134" s="549"/>
      <c r="AA1134" s="549"/>
      <c r="AB1134" s="549"/>
      <c r="AC1134" s="549"/>
      <c r="AD1134" s="549"/>
      <c r="AE1134" s="549"/>
      <c r="AF1134" s="549"/>
      <c r="AG1134" s="549"/>
      <c r="AH1134" s="549"/>
      <c r="AI1134" s="549"/>
      <c r="AJ1134" s="549"/>
      <c r="AK1134" s="549"/>
      <c r="AL1134" s="549"/>
      <c r="AM1134" s="549"/>
      <c r="AN1134" s="549"/>
      <c r="AO1134" s="549"/>
      <c r="AP1134" s="549"/>
      <c r="AQ1134" s="549"/>
      <c r="AR1134" s="549"/>
      <c r="AS1134" s="549"/>
      <c r="AT1134" s="549"/>
      <c r="AU1134" s="549"/>
      <c r="AV1134" s="549"/>
      <c r="AW1134" s="549"/>
      <c r="AX1134" s="549"/>
      <c r="AY1134" s="549"/>
      <c r="AZ1134" s="549"/>
      <c r="BA1134" s="549"/>
      <c r="BB1134" s="549"/>
      <c r="BC1134" s="549"/>
      <c r="BD1134" s="549"/>
      <c r="BE1134" s="549"/>
      <c r="BF1134" s="549"/>
      <c r="BG1134" s="549"/>
      <c r="BH1134" s="549"/>
      <c r="BI1134" s="549"/>
    </row>
    <row r="1135" spans="16:61" s="254" customFormat="1" ht="9.9">
      <c r="P1135" s="549"/>
      <c r="Q1135" s="549"/>
      <c r="R1135" s="549"/>
      <c r="S1135" s="549"/>
      <c r="T1135" s="549"/>
      <c r="U1135" s="549"/>
      <c r="V1135" s="549"/>
      <c r="W1135" s="549"/>
      <c r="X1135" s="549"/>
      <c r="Y1135" s="549"/>
      <c r="Z1135" s="549"/>
      <c r="AA1135" s="549"/>
      <c r="AB1135" s="549"/>
      <c r="AC1135" s="549"/>
      <c r="AD1135" s="549"/>
      <c r="AE1135" s="549"/>
      <c r="AF1135" s="549"/>
      <c r="AG1135" s="549"/>
      <c r="AH1135" s="549"/>
      <c r="AI1135" s="549"/>
      <c r="AJ1135" s="549"/>
      <c r="AK1135" s="549"/>
      <c r="AL1135" s="549"/>
      <c r="AM1135" s="549"/>
      <c r="AN1135" s="549"/>
      <c r="AO1135" s="549"/>
      <c r="AP1135" s="549"/>
      <c r="AQ1135" s="549"/>
      <c r="AR1135" s="549"/>
      <c r="AS1135" s="549"/>
      <c r="AT1135" s="549"/>
      <c r="AU1135" s="549"/>
      <c r="AV1135" s="549"/>
      <c r="AW1135" s="549"/>
      <c r="AX1135" s="549"/>
      <c r="AY1135" s="549"/>
      <c r="AZ1135" s="549"/>
      <c r="BA1135" s="549"/>
      <c r="BB1135" s="549"/>
      <c r="BC1135" s="549"/>
      <c r="BD1135" s="549"/>
      <c r="BE1135" s="549"/>
      <c r="BF1135" s="549"/>
      <c r="BG1135" s="549"/>
      <c r="BH1135" s="549"/>
      <c r="BI1135" s="549"/>
    </row>
    <row r="1136" spans="16:61" s="254" customFormat="1" ht="9.9">
      <c r="P1136" s="549"/>
      <c r="Q1136" s="549"/>
      <c r="R1136" s="549"/>
      <c r="S1136" s="549"/>
      <c r="T1136" s="549"/>
      <c r="U1136" s="549"/>
      <c r="V1136" s="549"/>
      <c r="W1136" s="549"/>
      <c r="X1136" s="549"/>
      <c r="Y1136" s="549"/>
      <c r="Z1136" s="549"/>
      <c r="AA1136" s="549"/>
      <c r="AB1136" s="549"/>
      <c r="AC1136" s="549"/>
      <c r="AD1136" s="549"/>
      <c r="AE1136" s="549"/>
      <c r="AF1136" s="549"/>
      <c r="AG1136" s="549"/>
      <c r="AH1136" s="549"/>
      <c r="AI1136" s="549"/>
      <c r="AJ1136" s="549"/>
      <c r="AK1136" s="549"/>
      <c r="AL1136" s="549"/>
      <c r="AM1136" s="549"/>
      <c r="AN1136" s="549"/>
      <c r="AO1136" s="549"/>
      <c r="AP1136" s="549"/>
      <c r="AQ1136" s="549"/>
      <c r="AR1136" s="549"/>
      <c r="AS1136" s="549"/>
      <c r="AT1136" s="549"/>
      <c r="AU1136" s="549"/>
      <c r="AV1136" s="549"/>
      <c r="AW1136" s="549"/>
      <c r="AX1136" s="549"/>
      <c r="AY1136" s="549"/>
      <c r="AZ1136" s="549"/>
      <c r="BA1136" s="549"/>
      <c r="BB1136" s="549"/>
      <c r="BC1136" s="549"/>
      <c r="BD1136" s="549"/>
      <c r="BE1136" s="549"/>
      <c r="BF1136" s="549"/>
      <c r="BG1136" s="549"/>
      <c r="BH1136" s="549"/>
      <c r="BI1136" s="549"/>
    </row>
    <row r="1137" spans="16:61" s="254" customFormat="1" ht="9.9">
      <c r="P1137" s="549"/>
      <c r="Q1137" s="549"/>
      <c r="R1137" s="549"/>
      <c r="S1137" s="549"/>
      <c r="T1137" s="549"/>
      <c r="U1137" s="549"/>
      <c r="V1137" s="549"/>
      <c r="W1137" s="549"/>
      <c r="X1137" s="549"/>
      <c r="Y1137" s="549"/>
      <c r="Z1137" s="549"/>
      <c r="AA1137" s="549"/>
      <c r="AB1137" s="549"/>
      <c r="AC1137" s="549"/>
      <c r="AD1137" s="549"/>
      <c r="AE1137" s="549"/>
      <c r="AF1137" s="549"/>
      <c r="AG1137" s="549"/>
      <c r="AH1137" s="549"/>
      <c r="AI1137" s="549"/>
      <c r="AJ1137" s="549"/>
      <c r="AK1137" s="549"/>
      <c r="AL1137" s="549"/>
      <c r="AM1137" s="549"/>
      <c r="AN1137" s="549"/>
      <c r="AO1137" s="549"/>
      <c r="AP1137" s="549"/>
      <c r="AQ1137" s="549"/>
      <c r="AR1137" s="549"/>
      <c r="AS1137" s="549"/>
      <c r="AT1137" s="549"/>
      <c r="AU1137" s="549"/>
      <c r="AV1137" s="549"/>
      <c r="AW1137" s="549"/>
      <c r="AX1137" s="549"/>
      <c r="AY1137" s="549"/>
      <c r="AZ1137" s="549"/>
      <c r="BA1137" s="549"/>
      <c r="BB1137" s="549"/>
      <c r="BC1137" s="549"/>
      <c r="BD1137" s="549"/>
      <c r="BE1137" s="549"/>
      <c r="BF1137" s="549"/>
      <c r="BG1137" s="549"/>
      <c r="BH1137" s="549"/>
      <c r="BI1137" s="549"/>
    </row>
    <row r="1138" spans="16:61" s="254" customFormat="1" ht="9.9">
      <c r="P1138" s="549"/>
      <c r="Q1138" s="549"/>
      <c r="R1138" s="549"/>
      <c r="S1138" s="549"/>
      <c r="T1138" s="549"/>
      <c r="U1138" s="549"/>
      <c r="V1138" s="549"/>
      <c r="W1138" s="549"/>
      <c r="X1138" s="549"/>
      <c r="Y1138" s="549"/>
      <c r="Z1138" s="549"/>
      <c r="AA1138" s="549"/>
      <c r="AB1138" s="549"/>
      <c r="AC1138" s="549"/>
      <c r="AD1138" s="549"/>
      <c r="AE1138" s="549"/>
      <c r="AF1138" s="549"/>
      <c r="AG1138" s="549"/>
      <c r="AH1138" s="549"/>
      <c r="AI1138" s="549"/>
      <c r="AJ1138" s="549"/>
      <c r="AK1138" s="549"/>
      <c r="AL1138" s="549"/>
      <c r="AM1138" s="549"/>
      <c r="AN1138" s="549"/>
      <c r="AO1138" s="549"/>
      <c r="AP1138" s="549"/>
      <c r="AQ1138" s="549"/>
      <c r="AR1138" s="549"/>
      <c r="AS1138" s="549"/>
      <c r="AT1138" s="549"/>
      <c r="AU1138" s="549"/>
      <c r="AV1138" s="549"/>
      <c r="AW1138" s="549"/>
      <c r="AX1138" s="549"/>
      <c r="AY1138" s="549"/>
      <c r="AZ1138" s="549"/>
      <c r="BA1138" s="549"/>
      <c r="BB1138" s="549"/>
      <c r="BC1138" s="549"/>
      <c r="BD1138" s="549"/>
      <c r="BE1138" s="549"/>
      <c r="BF1138" s="549"/>
      <c r="BG1138" s="549"/>
      <c r="BH1138" s="549"/>
      <c r="BI1138" s="549"/>
    </row>
    <row r="1139" spans="16:61" s="254" customFormat="1" ht="9.9">
      <c r="P1139" s="549"/>
      <c r="Q1139" s="549"/>
      <c r="R1139" s="549"/>
      <c r="S1139" s="549"/>
      <c r="T1139" s="549"/>
      <c r="U1139" s="549"/>
      <c r="V1139" s="549"/>
      <c r="W1139" s="549"/>
      <c r="X1139" s="549"/>
      <c r="Y1139" s="549"/>
      <c r="Z1139" s="549"/>
      <c r="AA1139" s="549"/>
      <c r="AB1139" s="549"/>
      <c r="AC1139" s="549"/>
      <c r="AD1139" s="549"/>
      <c r="AE1139" s="549"/>
      <c r="AF1139" s="549"/>
      <c r="AG1139" s="549"/>
      <c r="AH1139" s="549"/>
      <c r="AI1139" s="549"/>
      <c r="AJ1139" s="549"/>
      <c r="AK1139" s="549"/>
      <c r="AL1139" s="549"/>
      <c r="AM1139" s="549"/>
      <c r="AN1139" s="549"/>
      <c r="AO1139" s="549"/>
      <c r="AP1139" s="549"/>
      <c r="AQ1139" s="549"/>
      <c r="AR1139" s="549"/>
      <c r="AS1139" s="549"/>
      <c r="AT1139" s="549"/>
      <c r="AU1139" s="549"/>
      <c r="AV1139" s="549"/>
      <c r="AW1139" s="549"/>
      <c r="AX1139" s="549"/>
      <c r="AY1139" s="549"/>
      <c r="AZ1139" s="549"/>
      <c r="BA1139" s="549"/>
      <c r="BB1139" s="549"/>
      <c r="BC1139" s="549"/>
      <c r="BD1139" s="549"/>
      <c r="BE1139" s="549"/>
      <c r="BF1139" s="549"/>
      <c r="BG1139" s="549"/>
      <c r="BH1139" s="549"/>
      <c r="BI1139" s="549"/>
    </row>
    <row r="1140" spans="16:61" s="254" customFormat="1" ht="9.9">
      <c r="P1140" s="549"/>
      <c r="Q1140" s="549"/>
      <c r="R1140" s="549"/>
      <c r="S1140" s="549"/>
      <c r="T1140" s="549"/>
      <c r="U1140" s="549"/>
      <c r="V1140" s="549"/>
      <c r="W1140" s="549"/>
      <c r="X1140" s="549"/>
      <c r="Y1140" s="549"/>
      <c r="Z1140" s="549"/>
      <c r="AA1140" s="549"/>
      <c r="AB1140" s="549"/>
      <c r="AC1140" s="549"/>
      <c r="AD1140" s="549"/>
      <c r="AE1140" s="549"/>
      <c r="AF1140" s="549"/>
      <c r="AG1140" s="549"/>
      <c r="AH1140" s="549"/>
      <c r="AI1140" s="549"/>
      <c r="AJ1140" s="549"/>
      <c r="AK1140" s="549"/>
      <c r="AL1140" s="549"/>
      <c r="AM1140" s="549"/>
      <c r="AN1140" s="549"/>
      <c r="AO1140" s="549"/>
      <c r="AP1140" s="549"/>
      <c r="AQ1140" s="549"/>
      <c r="AR1140" s="549"/>
      <c r="AS1140" s="549"/>
      <c r="AT1140" s="549"/>
      <c r="AU1140" s="549"/>
      <c r="AV1140" s="549"/>
      <c r="AW1140" s="549"/>
      <c r="AX1140" s="549"/>
      <c r="AY1140" s="549"/>
      <c r="AZ1140" s="549"/>
      <c r="BA1140" s="549"/>
      <c r="BB1140" s="549"/>
      <c r="BC1140" s="549"/>
      <c r="BD1140" s="549"/>
      <c r="BE1140" s="549"/>
      <c r="BF1140" s="549"/>
      <c r="BG1140" s="549"/>
      <c r="BH1140" s="549"/>
      <c r="BI1140" s="549"/>
    </row>
    <row r="1141" spans="16:61" s="254" customFormat="1" ht="9.9">
      <c r="P1141" s="549"/>
      <c r="Q1141" s="549"/>
      <c r="R1141" s="549"/>
      <c r="S1141" s="549"/>
      <c r="T1141" s="549"/>
      <c r="U1141" s="549"/>
      <c r="V1141" s="549"/>
      <c r="W1141" s="549"/>
      <c r="X1141" s="549"/>
      <c r="Y1141" s="549"/>
      <c r="Z1141" s="549"/>
      <c r="AA1141" s="549"/>
      <c r="AB1141" s="549"/>
      <c r="AC1141" s="549"/>
      <c r="AD1141" s="549"/>
      <c r="AE1141" s="549"/>
      <c r="AF1141" s="549"/>
      <c r="AG1141" s="549"/>
      <c r="AH1141" s="549"/>
      <c r="AI1141" s="549"/>
      <c r="AJ1141" s="549"/>
      <c r="AK1141" s="549"/>
      <c r="AL1141" s="549"/>
      <c r="AM1141" s="549"/>
      <c r="AN1141" s="549"/>
      <c r="AO1141" s="549"/>
      <c r="AP1141" s="549"/>
      <c r="AQ1141" s="549"/>
      <c r="AR1141" s="549"/>
      <c r="AS1141" s="549"/>
      <c r="AT1141" s="549"/>
      <c r="AU1141" s="549"/>
      <c r="AV1141" s="549"/>
      <c r="AW1141" s="549"/>
      <c r="AX1141" s="549"/>
      <c r="AY1141" s="549"/>
      <c r="AZ1141" s="549"/>
      <c r="BA1141" s="549"/>
      <c r="BB1141" s="549"/>
      <c r="BC1141" s="549"/>
      <c r="BD1141" s="549"/>
      <c r="BE1141" s="549"/>
      <c r="BF1141" s="549"/>
      <c r="BG1141" s="549"/>
      <c r="BH1141" s="549"/>
      <c r="BI1141" s="549"/>
    </row>
    <row r="1142" spans="16:61" s="254" customFormat="1" ht="9.9">
      <c r="P1142" s="549"/>
      <c r="Q1142" s="549"/>
      <c r="R1142" s="549"/>
      <c r="S1142" s="549"/>
      <c r="T1142" s="549"/>
      <c r="U1142" s="549"/>
      <c r="V1142" s="549"/>
      <c r="W1142" s="549"/>
      <c r="X1142" s="549"/>
      <c r="Y1142" s="549"/>
      <c r="Z1142" s="549"/>
      <c r="AA1142" s="549"/>
      <c r="AB1142" s="549"/>
      <c r="AC1142" s="549"/>
      <c r="AD1142" s="549"/>
      <c r="AE1142" s="549"/>
      <c r="AF1142" s="549"/>
      <c r="AG1142" s="549"/>
      <c r="AH1142" s="549"/>
      <c r="AI1142" s="549"/>
      <c r="AJ1142" s="549"/>
      <c r="AK1142" s="549"/>
      <c r="AL1142" s="549"/>
      <c r="AM1142" s="549"/>
      <c r="AN1142" s="549"/>
      <c r="AO1142" s="549"/>
      <c r="AP1142" s="549"/>
      <c r="AQ1142" s="549"/>
      <c r="AR1142" s="549"/>
      <c r="AS1142" s="549"/>
      <c r="AT1142" s="549"/>
      <c r="AU1142" s="549"/>
      <c r="AV1142" s="549"/>
      <c r="AW1142" s="549"/>
      <c r="AX1142" s="549"/>
      <c r="AY1142" s="549"/>
      <c r="AZ1142" s="549"/>
      <c r="BA1142" s="549"/>
      <c r="BB1142" s="549"/>
      <c r="BC1142" s="549"/>
      <c r="BD1142" s="549"/>
      <c r="BE1142" s="549"/>
      <c r="BF1142" s="549"/>
      <c r="BG1142" s="549"/>
      <c r="BH1142" s="549"/>
      <c r="BI1142" s="549"/>
    </row>
    <row r="1143" spans="16:61" s="254" customFormat="1" ht="9.9">
      <c r="P1143" s="549"/>
      <c r="Q1143" s="549"/>
      <c r="R1143" s="549"/>
      <c r="S1143" s="549"/>
      <c r="T1143" s="549"/>
      <c r="U1143" s="549"/>
      <c r="V1143" s="549"/>
      <c r="W1143" s="549"/>
      <c r="X1143" s="549"/>
      <c r="Y1143" s="549"/>
      <c r="Z1143" s="549"/>
      <c r="AA1143" s="549"/>
      <c r="AB1143" s="549"/>
      <c r="AC1143" s="549"/>
      <c r="AD1143" s="549"/>
      <c r="AE1143" s="549"/>
      <c r="AF1143" s="549"/>
      <c r="AG1143" s="549"/>
      <c r="AH1143" s="549"/>
      <c r="AI1143" s="549"/>
      <c r="AJ1143" s="549"/>
      <c r="AK1143" s="549"/>
      <c r="AL1143" s="549"/>
      <c r="AM1143" s="549"/>
      <c r="AN1143" s="549"/>
      <c r="AO1143" s="549"/>
      <c r="AP1143" s="549"/>
      <c r="AQ1143" s="549"/>
      <c r="AR1143" s="549"/>
      <c r="AS1143" s="549"/>
      <c r="AT1143" s="549"/>
      <c r="AU1143" s="549"/>
      <c r="AV1143" s="549"/>
      <c r="AW1143" s="549"/>
      <c r="AX1143" s="549"/>
      <c r="AY1143" s="549"/>
      <c r="AZ1143" s="549"/>
      <c r="BA1143" s="549"/>
      <c r="BB1143" s="549"/>
      <c r="BC1143" s="549"/>
      <c r="BD1143" s="549"/>
      <c r="BE1143" s="549"/>
      <c r="BF1143" s="549"/>
      <c r="BG1143" s="549"/>
      <c r="BH1143" s="549"/>
      <c r="BI1143" s="549"/>
    </row>
    <row r="1144" spans="16:61" s="254" customFormat="1" ht="9.9">
      <c r="P1144" s="549"/>
      <c r="Q1144" s="549"/>
      <c r="R1144" s="549"/>
      <c r="S1144" s="549"/>
      <c r="T1144" s="549"/>
      <c r="U1144" s="549"/>
      <c r="V1144" s="549"/>
      <c r="W1144" s="549"/>
      <c r="X1144" s="549"/>
      <c r="Y1144" s="549"/>
      <c r="Z1144" s="549"/>
      <c r="AA1144" s="549"/>
      <c r="AB1144" s="549"/>
      <c r="AC1144" s="549"/>
      <c r="AD1144" s="549"/>
      <c r="AE1144" s="549"/>
      <c r="AF1144" s="549"/>
      <c r="AG1144" s="549"/>
      <c r="AH1144" s="549"/>
      <c r="AI1144" s="549"/>
      <c r="AJ1144" s="549"/>
      <c r="AK1144" s="549"/>
      <c r="AL1144" s="549"/>
      <c r="AM1144" s="549"/>
      <c r="AN1144" s="549"/>
      <c r="AO1144" s="549"/>
      <c r="AP1144" s="549"/>
      <c r="AQ1144" s="549"/>
      <c r="AR1144" s="549"/>
      <c r="AS1144" s="549"/>
      <c r="AT1144" s="549"/>
      <c r="AU1144" s="549"/>
      <c r="AV1144" s="549"/>
      <c r="AW1144" s="549"/>
      <c r="AX1144" s="549"/>
      <c r="AY1144" s="549"/>
      <c r="AZ1144" s="549"/>
      <c r="BA1144" s="549"/>
      <c r="BB1144" s="549"/>
      <c r="BC1144" s="549"/>
      <c r="BD1144" s="549"/>
      <c r="BE1144" s="549"/>
      <c r="BF1144" s="549"/>
      <c r="BG1144" s="549"/>
      <c r="BH1144" s="549"/>
      <c r="BI1144" s="549"/>
    </row>
    <row r="1145" spans="16:61" s="254" customFormat="1" ht="9.9">
      <c r="P1145" s="549"/>
      <c r="Q1145" s="549"/>
      <c r="R1145" s="549"/>
      <c r="S1145" s="549"/>
      <c r="T1145" s="549"/>
      <c r="U1145" s="549"/>
      <c r="V1145" s="549"/>
      <c r="W1145" s="549"/>
      <c r="X1145" s="549"/>
      <c r="Y1145" s="549"/>
      <c r="Z1145" s="549"/>
      <c r="AA1145" s="549"/>
      <c r="AB1145" s="549"/>
      <c r="AC1145" s="549"/>
      <c r="AD1145" s="549"/>
      <c r="AE1145" s="549"/>
      <c r="AF1145" s="549"/>
      <c r="AG1145" s="549"/>
      <c r="AH1145" s="549"/>
      <c r="AI1145" s="549"/>
      <c r="AJ1145" s="549"/>
      <c r="AK1145" s="549"/>
      <c r="AL1145" s="549"/>
      <c r="AM1145" s="549"/>
      <c r="AN1145" s="549"/>
      <c r="AO1145" s="549"/>
      <c r="AP1145" s="549"/>
      <c r="AQ1145" s="549"/>
      <c r="AR1145" s="549"/>
      <c r="AS1145" s="549"/>
      <c r="AT1145" s="549"/>
      <c r="AU1145" s="549"/>
      <c r="AV1145" s="549"/>
      <c r="AW1145" s="549"/>
      <c r="AX1145" s="549"/>
      <c r="AY1145" s="549"/>
      <c r="AZ1145" s="549"/>
      <c r="BA1145" s="549"/>
      <c r="BB1145" s="549"/>
      <c r="BC1145" s="549"/>
      <c r="BD1145" s="549"/>
      <c r="BE1145" s="549"/>
      <c r="BF1145" s="549"/>
      <c r="BG1145" s="549"/>
      <c r="BH1145" s="549"/>
      <c r="BI1145" s="549"/>
    </row>
    <row r="1146" spans="16:61" s="254" customFormat="1" ht="9.9">
      <c r="P1146" s="549"/>
      <c r="Q1146" s="549"/>
      <c r="R1146" s="549"/>
      <c r="S1146" s="549"/>
      <c r="T1146" s="549"/>
      <c r="U1146" s="549"/>
      <c r="V1146" s="549"/>
      <c r="W1146" s="549"/>
      <c r="X1146" s="549"/>
      <c r="Y1146" s="549"/>
      <c r="Z1146" s="549"/>
      <c r="AA1146" s="549"/>
      <c r="AB1146" s="549"/>
      <c r="AC1146" s="549"/>
      <c r="AD1146" s="549"/>
      <c r="AE1146" s="549"/>
      <c r="AF1146" s="549"/>
      <c r="AG1146" s="549"/>
      <c r="AH1146" s="549"/>
      <c r="AI1146" s="549"/>
      <c r="AJ1146" s="549"/>
      <c r="AK1146" s="549"/>
      <c r="AL1146" s="549"/>
      <c r="AM1146" s="549"/>
      <c r="AN1146" s="549"/>
      <c r="AO1146" s="549"/>
      <c r="AP1146" s="549"/>
      <c r="AQ1146" s="549"/>
      <c r="AR1146" s="549"/>
      <c r="AS1146" s="549"/>
      <c r="AT1146" s="549"/>
      <c r="AU1146" s="549"/>
      <c r="AV1146" s="549"/>
      <c r="AW1146" s="549"/>
      <c r="AX1146" s="549"/>
      <c r="AY1146" s="549"/>
      <c r="AZ1146" s="549"/>
      <c r="BA1146" s="549"/>
      <c r="BB1146" s="549"/>
      <c r="BC1146" s="549"/>
      <c r="BD1146" s="549"/>
      <c r="BE1146" s="549"/>
      <c r="BF1146" s="549"/>
      <c r="BG1146" s="549"/>
      <c r="BH1146" s="549"/>
      <c r="BI1146" s="549"/>
    </row>
    <row r="1147" spans="16:61" s="254" customFormat="1" ht="9.9">
      <c r="P1147" s="549"/>
      <c r="Q1147" s="549"/>
      <c r="R1147" s="549"/>
      <c r="S1147" s="549"/>
      <c r="T1147" s="549"/>
      <c r="U1147" s="549"/>
      <c r="V1147" s="549"/>
      <c r="W1147" s="549"/>
      <c r="X1147" s="549"/>
      <c r="Y1147" s="549"/>
      <c r="Z1147" s="549"/>
      <c r="AA1147" s="549"/>
      <c r="AB1147" s="549"/>
      <c r="AC1147" s="549"/>
      <c r="AD1147" s="549"/>
      <c r="AE1147" s="549"/>
      <c r="AF1147" s="549"/>
      <c r="AG1147" s="549"/>
      <c r="AH1147" s="549"/>
      <c r="AI1147" s="549"/>
      <c r="AJ1147" s="549"/>
      <c r="AK1147" s="549"/>
      <c r="AL1147" s="549"/>
      <c r="AM1147" s="549"/>
      <c r="AN1147" s="549"/>
      <c r="AO1147" s="549"/>
      <c r="AP1147" s="549"/>
      <c r="AQ1147" s="549"/>
      <c r="AR1147" s="549"/>
      <c r="AS1147" s="549"/>
      <c r="AT1147" s="549"/>
      <c r="AU1147" s="549"/>
      <c r="AV1147" s="549"/>
      <c r="AW1147" s="549"/>
      <c r="AX1147" s="549"/>
      <c r="AY1147" s="549"/>
      <c r="AZ1147" s="549"/>
      <c r="BA1147" s="549"/>
      <c r="BB1147" s="549"/>
      <c r="BC1147" s="549"/>
      <c r="BD1147" s="549"/>
      <c r="BE1147" s="549"/>
      <c r="BF1147" s="549"/>
      <c r="BG1147" s="549"/>
      <c r="BH1147" s="549"/>
      <c r="BI1147" s="549"/>
    </row>
    <row r="1148" spans="16:61" s="254" customFormat="1" ht="9.9">
      <c r="P1148" s="549"/>
      <c r="Q1148" s="549"/>
      <c r="R1148" s="549"/>
      <c r="S1148" s="549"/>
      <c r="T1148" s="549"/>
      <c r="U1148" s="549"/>
      <c r="V1148" s="549"/>
      <c r="W1148" s="549"/>
      <c r="X1148" s="549"/>
      <c r="Y1148" s="549"/>
      <c r="Z1148" s="549"/>
      <c r="AA1148" s="549"/>
      <c r="AB1148" s="549"/>
      <c r="AC1148" s="549"/>
      <c r="AD1148" s="549"/>
      <c r="AE1148" s="549"/>
      <c r="AF1148" s="549"/>
      <c r="AG1148" s="549"/>
      <c r="AH1148" s="549"/>
      <c r="AI1148" s="549"/>
      <c r="AJ1148" s="549"/>
      <c r="AK1148" s="549"/>
      <c r="AL1148" s="549"/>
      <c r="AM1148" s="549"/>
      <c r="AN1148" s="549"/>
      <c r="AO1148" s="549"/>
      <c r="AP1148" s="549"/>
      <c r="AQ1148" s="549"/>
      <c r="AR1148" s="549"/>
      <c r="AS1148" s="549"/>
      <c r="AT1148" s="549"/>
      <c r="AU1148" s="549"/>
      <c r="AV1148" s="549"/>
      <c r="AW1148" s="549"/>
      <c r="AX1148" s="549"/>
      <c r="AY1148" s="549"/>
      <c r="AZ1148" s="549"/>
      <c r="BA1148" s="549"/>
      <c r="BB1148" s="549"/>
      <c r="BC1148" s="549"/>
      <c r="BD1148" s="549"/>
      <c r="BE1148" s="549"/>
      <c r="BF1148" s="549"/>
      <c r="BG1148" s="549"/>
      <c r="BH1148" s="549"/>
      <c r="BI1148" s="549"/>
    </row>
    <row r="1149" spans="16:61" s="254" customFormat="1" ht="9.9">
      <c r="P1149" s="549"/>
      <c r="Q1149" s="549"/>
      <c r="R1149" s="549"/>
      <c r="S1149" s="549"/>
      <c r="T1149" s="549"/>
      <c r="U1149" s="549"/>
      <c r="V1149" s="549"/>
      <c r="W1149" s="549"/>
      <c r="X1149" s="549"/>
      <c r="Y1149" s="549"/>
      <c r="Z1149" s="549"/>
      <c r="AA1149" s="549"/>
      <c r="AB1149" s="549"/>
      <c r="AC1149" s="549"/>
      <c r="AD1149" s="549"/>
      <c r="AE1149" s="549"/>
      <c r="AF1149" s="549"/>
      <c r="AG1149" s="549"/>
      <c r="AH1149" s="549"/>
      <c r="AI1149" s="549"/>
      <c r="AJ1149" s="549"/>
      <c r="AK1149" s="549"/>
      <c r="AL1149" s="549"/>
      <c r="AM1149" s="549"/>
      <c r="AN1149" s="549"/>
      <c r="AO1149" s="549"/>
      <c r="AP1149" s="549"/>
      <c r="AQ1149" s="549"/>
      <c r="AR1149" s="549"/>
      <c r="AS1149" s="549"/>
      <c r="AT1149" s="549"/>
      <c r="AU1149" s="549"/>
      <c r="AV1149" s="549"/>
      <c r="AW1149" s="549"/>
      <c r="AX1149" s="549"/>
      <c r="AY1149" s="549"/>
      <c r="AZ1149" s="549"/>
      <c r="BA1149" s="549"/>
      <c r="BB1149" s="549"/>
      <c r="BC1149" s="549"/>
      <c r="BD1149" s="549"/>
      <c r="BE1149" s="549"/>
      <c r="BF1149" s="549"/>
      <c r="BG1149" s="549"/>
      <c r="BH1149" s="549"/>
      <c r="BI1149" s="549"/>
    </row>
    <row r="1150" spans="16:61" s="254" customFormat="1" ht="9.9">
      <c r="P1150" s="549"/>
      <c r="Q1150" s="549"/>
      <c r="R1150" s="549"/>
      <c r="S1150" s="549"/>
      <c r="T1150" s="549"/>
      <c r="U1150" s="549"/>
      <c r="V1150" s="549"/>
      <c r="W1150" s="549"/>
      <c r="X1150" s="549"/>
      <c r="Y1150" s="549"/>
      <c r="Z1150" s="549"/>
      <c r="AA1150" s="549"/>
      <c r="AB1150" s="549"/>
      <c r="AC1150" s="549"/>
      <c r="AD1150" s="549"/>
      <c r="AE1150" s="549"/>
      <c r="AF1150" s="549"/>
      <c r="AG1150" s="549"/>
      <c r="AH1150" s="549"/>
      <c r="AI1150" s="549"/>
      <c r="AJ1150" s="549"/>
      <c r="AK1150" s="549"/>
      <c r="AL1150" s="549"/>
      <c r="AM1150" s="549"/>
      <c r="AN1150" s="549"/>
      <c r="AO1150" s="549"/>
      <c r="AP1150" s="549"/>
      <c r="AQ1150" s="549"/>
      <c r="AR1150" s="549"/>
      <c r="AS1150" s="549"/>
      <c r="AT1150" s="549"/>
      <c r="AU1150" s="549"/>
      <c r="AV1150" s="549"/>
      <c r="AW1150" s="549"/>
      <c r="AX1150" s="549"/>
      <c r="AY1150" s="549"/>
      <c r="AZ1150" s="549"/>
      <c r="BA1150" s="549"/>
      <c r="BB1150" s="549"/>
      <c r="BC1150" s="549"/>
      <c r="BD1150" s="549"/>
      <c r="BE1150" s="549"/>
      <c r="BF1150" s="549"/>
      <c r="BG1150" s="549"/>
      <c r="BH1150" s="549"/>
      <c r="BI1150" s="549"/>
    </row>
    <row r="1151" spans="16:61" s="254" customFormat="1" ht="9.9">
      <c r="P1151" s="549"/>
      <c r="Q1151" s="549"/>
      <c r="R1151" s="549"/>
      <c r="S1151" s="549"/>
      <c r="T1151" s="549"/>
      <c r="U1151" s="549"/>
      <c r="V1151" s="549"/>
      <c r="W1151" s="549"/>
      <c r="X1151" s="549"/>
      <c r="Y1151" s="549"/>
      <c r="Z1151" s="549"/>
      <c r="AA1151" s="549"/>
      <c r="AB1151" s="549"/>
      <c r="AC1151" s="549"/>
      <c r="AD1151" s="549"/>
      <c r="AE1151" s="549"/>
      <c r="AF1151" s="549"/>
      <c r="AG1151" s="549"/>
      <c r="AH1151" s="549"/>
      <c r="AI1151" s="549"/>
      <c r="AJ1151" s="549"/>
      <c r="AK1151" s="549"/>
      <c r="AL1151" s="549"/>
      <c r="AM1151" s="549"/>
      <c r="AN1151" s="549"/>
      <c r="AO1151" s="549"/>
      <c r="AP1151" s="549"/>
      <c r="AQ1151" s="549"/>
      <c r="AR1151" s="549"/>
      <c r="AS1151" s="549"/>
      <c r="AT1151" s="549"/>
      <c r="AU1151" s="549"/>
      <c r="AV1151" s="549"/>
      <c r="AW1151" s="549"/>
      <c r="AX1151" s="549"/>
      <c r="AY1151" s="549"/>
      <c r="AZ1151" s="549"/>
      <c r="BA1151" s="549"/>
      <c r="BB1151" s="549"/>
      <c r="BC1151" s="549"/>
      <c r="BD1151" s="549"/>
      <c r="BE1151" s="549"/>
      <c r="BF1151" s="549"/>
      <c r="BG1151" s="549"/>
      <c r="BH1151" s="549"/>
      <c r="BI1151" s="549"/>
    </row>
    <row r="1152" spans="16:61" s="254" customFormat="1" ht="9.9">
      <c r="P1152" s="549"/>
      <c r="Q1152" s="549"/>
      <c r="R1152" s="549"/>
      <c r="S1152" s="549"/>
      <c r="T1152" s="549"/>
      <c r="U1152" s="549"/>
      <c r="V1152" s="549"/>
      <c r="W1152" s="549"/>
      <c r="X1152" s="549"/>
      <c r="Y1152" s="549"/>
      <c r="Z1152" s="549"/>
      <c r="AA1152" s="549"/>
      <c r="AB1152" s="549"/>
      <c r="AC1152" s="549"/>
      <c r="AD1152" s="549"/>
      <c r="AE1152" s="549"/>
      <c r="AF1152" s="549"/>
      <c r="AG1152" s="549"/>
      <c r="AH1152" s="549"/>
      <c r="AI1152" s="549"/>
      <c r="AJ1152" s="549"/>
      <c r="AK1152" s="549"/>
      <c r="AL1152" s="549"/>
      <c r="AM1152" s="549"/>
      <c r="AN1152" s="549"/>
      <c r="AO1152" s="549"/>
      <c r="AP1152" s="549"/>
      <c r="AQ1152" s="549"/>
      <c r="AR1152" s="549"/>
      <c r="AS1152" s="549"/>
      <c r="AT1152" s="549"/>
      <c r="AU1152" s="549"/>
      <c r="AV1152" s="549"/>
      <c r="AW1152" s="549"/>
      <c r="AX1152" s="549"/>
      <c r="AY1152" s="549"/>
      <c r="AZ1152" s="549"/>
      <c r="BA1152" s="549"/>
      <c r="BB1152" s="549"/>
      <c r="BC1152" s="549"/>
      <c r="BD1152" s="549"/>
      <c r="BE1152" s="549"/>
      <c r="BF1152" s="549"/>
      <c r="BG1152" s="549"/>
      <c r="BH1152" s="549"/>
      <c r="BI1152" s="549"/>
    </row>
    <row r="1153" spans="16:61" s="254" customFormat="1" ht="9.9">
      <c r="P1153" s="549"/>
      <c r="Q1153" s="549"/>
      <c r="R1153" s="549"/>
      <c r="S1153" s="549"/>
      <c r="T1153" s="549"/>
      <c r="U1153" s="549"/>
      <c r="V1153" s="549"/>
      <c r="W1153" s="549"/>
      <c r="X1153" s="549"/>
      <c r="Y1153" s="549"/>
      <c r="Z1153" s="549"/>
      <c r="AA1153" s="549"/>
      <c r="AB1153" s="549"/>
      <c r="AC1153" s="549"/>
      <c r="AD1153" s="549"/>
      <c r="AE1153" s="549"/>
      <c r="AF1153" s="549"/>
      <c r="AG1153" s="549"/>
      <c r="AH1153" s="549"/>
      <c r="AI1153" s="549"/>
      <c r="AJ1153" s="549"/>
      <c r="AK1153" s="549"/>
      <c r="AL1153" s="549"/>
      <c r="AM1153" s="549"/>
      <c r="AN1153" s="549"/>
      <c r="AO1153" s="549"/>
      <c r="AP1153" s="549"/>
      <c r="AQ1153" s="549"/>
      <c r="AR1153" s="549"/>
      <c r="AS1153" s="549"/>
      <c r="AT1153" s="549"/>
      <c r="AU1153" s="549"/>
      <c r="AV1153" s="549"/>
      <c r="AW1153" s="549"/>
      <c r="AX1153" s="549"/>
      <c r="AY1153" s="549"/>
      <c r="AZ1153" s="549"/>
      <c r="BA1153" s="549"/>
      <c r="BB1153" s="549"/>
      <c r="BC1153" s="549"/>
      <c r="BD1153" s="549"/>
      <c r="BE1153" s="549"/>
      <c r="BF1153" s="549"/>
      <c r="BG1153" s="549"/>
      <c r="BH1153" s="549"/>
      <c r="BI1153" s="549"/>
    </row>
    <row r="1154" spans="16:61" s="254" customFormat="1" ht="9.9">
      <c r="P1154" s="549"/>
      <c r="Q1154" s="549"/>
      <c r="R1154" s="549"/>
      <c r="S1154" s="549"/>
      <c r="T1154" s="549"/>
      <c r="U1154" s="549"/>
      <c r="V1154" s="549"/>
      <c r="W1154" s="549"/>
      <c r="X1154" s="549"/>
      <c r="Y1154" s="549"/>
      <c r="Z1154" s="549"/>
      <c r="AA1154" s="549"/>
      <c r="AB1154" s="549"/>
      <c r="AC1154" s="549"/>
      <c r="AD1154" s="549"/>
      <c r="AE1154" s="549"/>
      <c r="AF1154" s="549"/>
      <c r="AG1154" s="549"/>
      <c r="AH1154" s="549"/>
      <c r="AI1154" s="549"/>
      <c r="AJ1154" s="549"/>
      <c r="AK1154" s="549"/>
      <c r="AL1154" s="549"/>
      <c r="AM1154" s="549"/>
      <c r="AN1154" s="549"/>
      <c r="AO1154" s="549"/>
      <c r="AP1154" s="549"/>
      <c r="AQ1154" s="549"/>
      <c r="AR1154" s="549"/>
      <c r="AS1154" s="549"/>
      <c r="AT1154" s="549"/>
      <c r="AU1154" s="549"/>
      <c r="AV1154" s="549"/>
      <c r="AW1154" s="549"/>
      <c r="AX1154" s="549"/>
      <c r="AY1154" s="549"/>
      <c r="AZ1154" s="549"/>
      <c r="BA1154" s="549"/>
      <c r="BB1154" s="549"/>
      <c r="BC1154" s="549"/>
      <c r="BD1154" s="549"/>
      <c r="BE1154" s="549"/>
      <c r="BF1154" s="549"/>
      <c r="BG1154" s="549"/>
      <c r="BH1154" s="549"/>
      <c r="BI1154" s="549"/>
    </row>
    <row r="1155" spans="16:61" s="254" customFormat="1" ht="9.9">
      <c r="P1155" s="549"/>
      <c r="Q1155" s="549"/>
      <c r="R1155" s="549"/>
      <c r="S1155" s="549"/>
      <c r="T1155" s="549"/>
      <c r="U1155" s="549"/>
      <c r="V1155" s="549"/>
      <c r="W1155" s="549"/>
      <c r="X1155" s="549"/>
      <c r="Y1155" s="549"/>
      <c r="Z1155" s="549"/>
      <c r="AA1155" s="549"/>
      <c r="AB1155" s="549"/>
      <c r="AC1155" s="549"/>
      <c r="AD1155" s="549"/>
      <c r="AE1155" s="549"/>
      <c r="AF1155" s="549"/>
      <c r="AG1155" s="549"/>
      <c r="AH1155" s="549"/>
      <c r="AI1155" s="549"/>
      <c r="AJ1155" s="549"/>
      <c r="AK1155" s="549"/>
      <c r="AL1155" s="549"/>
      <c r="AM1155" s="549"/>
      <c r="AN1155" s="549"/>
      <c r="AO1155" s="549"/>
      <c r="AP1155" s="549"/>
      <c r="AQ1155" s="549"/>
      <c r="AR1155" s="549"/>
      <c r="AS1155" s="549"/>
      <c r="AT1155" s="549"/>
      <c r="AU1155" s="549"/>
      <c r="AV1155" s="549"/>
      <c r="AW1155" s="549"/>
      <c r="AX1155" s="549"/>
      <c r="AY1155" s="549"/>
      <c r="AZ1155" s="549"/>
      <c r="BA1155" s="549"/>
      <c r="BB1155" s="549"/>
      <c r="BC1155" s="549"/>
      <c r="BD1155" s="549"/>
      <c r="BE1155" s="549"/>
      <c r="BF1155" s="549"/>
      <c r="BG1155" s="549"/>
      <c r="BH1155" s="549"/>
      <c r="BI1155" s="549"/>
    </row>
    <row r="1156" spans="16:61" s="254" customFormat="1" ht="9.9">
      <c r="P1156" s="549"/>
      <c r="Q1156" s="549"/>
      <c r="R1156" s="549"/>
      <c r="S1156" s="549"/>
      <c r="T1156" s="549"/>
      <c r="U1156" s="549"/>
      <c r="V1156" s="549"/>
      <c r="W1156" s="549"/>
      <c r="X1156" s="549"/>
      <c r="Y1156" s="549"/>
      <c r="Z1156" s="549"/>
      <c r="AA1156" s="549"/>
      <c r="AB1156" s="549"/>
      <c r="AC1156" s="549"/>
      <c r="AD1156" s="549"/>
      <c r="AE1156" s="549"/>
      <c r="AF1156" s="549"/>
      <c r="AG1156" s="549"/>
      <c r="AH1156" s="549"/>
      <c r="AI1156" s="549"/>
      <c r="AJ1156" s="549"/>
      <c r="AK1156" s="549"/>
      <c r="AL1156" s="549"/>
      <c r="AM1156" s="549"/>
      <c r="AN1156" s="549"/>
      <c r="AO1156" s="549"/>
      <c r="AP1156" s="549"/>
      <c r="AQ1156" s="549"/>
      <c r="AR1156" s="549"/>
      <c r="AS1156" s="549"/>
      <c r="AT1156" s="549"/>
      <c r="AU1156" s="549"/>
      <c r="AV1156" s="549"/>
      <c r="AW1156" s="549"/>
      <c r="AX1156" s="549"/>
      <c r="AY1156" s="549"/>
      <c r="AZ1156" s="549"/>
      <c r="BA1156" s="549"/>
      <c r="BB1156" s="549"/>
      <c r="BC1156" s="549"/>
      <c r="BD1156" s="549"/>
      <c r="BE1156" s="549"/>
      <c r="BF1156" s="549"/>
      <c r="BG1156" s="549"/>
      <c r="BH1156" s="549"/>
      <c r="BI1156" s="549"/>
    </row>
    <row r="1157" spans="16:61" s="254" customFormat="1" ht="9.9">
      <c r="P1157" s="549"/>
      <c r="Q1157" s="549"/>
      <c r="R1157" s="549"/>
      <c r="S1157" s="549"/>
      <c r="T1157" s="549"/>
      <c r="U1157" s="549"/>
      <c r="V1157" s="549"/>
      <c r="W1157" s="549"/>
      <c r="X1157" s="549"/>
      <c r="Y1157" s="549"/>
      <c r="Z1157" s="549"/>
      <c r="AA1157" s="549"/>
      <c r="AB1157" s="549"/>
      <c r="AC1157" s="549"/>
      <c r="AD1157" s="549"/>
      <c r="AE1157" s="549"/>
      <c r="AF1157" s="549"/>
      <c r="AG1157" s="549"/>
      <c r="AH1157" s="549"/>
      <c r="AI1157" s="549"/>
      <c r="AJ1157" s="549"/>
      <c r="AK1157" s="549"/>
      <c r="AL1157" s="549"/>
      <c r="AM1157" s="549"/>
      <c r="AN1157" s="549"/>
      <c r="AO1157" s="549"/>
      <c r="AP1157" s="549"/>
      <c r="AQ1157" s="549"/>
      <c r="AR1157" s="549"/>
      <c r="AS1157" s="549"/>
      <c r="AT1157" s="549"/>
      <c r="AU1157" s="549"/>
      <c r="AV1157" s="549"/>
      <c r="AW1157" s="549"/>
      <c r="AX1157" s="549"/>
      <c r="AY1157" s="549"/>
      <c r="AZ1157" s="549"/>
      <c r="BA1157" s="549"/>
      <c r="BB1157" s="549"/>
      <c r="BC1157" s="549"/>
      <c r="BD1157" s="549"/>
      <c r="BE1157" s="549"/>
      <c r="BF1157" s="549"/>
      <c r="BG1157" s="549"/>
      <c r="BH1157" s="549"/>
      <c r="BI1157" s="549"/>
    </row>
    <row r="1158" spans="16:61" s="254" customFormat="1" ht="9.9">
      <c r="P1158" s="549"/>
      <c r="Q1158" s="549"/>
      <c r="R1158" s="549"/>
      <c r="S1158" s="549"/>
      <c r="T1158" s="549"/>
      <c r="U1158" s="549"/>
      <c r="V1158" s="549"/>
      <c r="W1158" s="549"/>
      <c r="X1158" s="549"/>
      <c r="Y1158" s="549"/>
      <c r="Z1158" s="549"/>
      <c r="AA1158" s="549"/>
      <c r="AB1158" s="549"/>
      <c r="AC1158" s="549"/>
      <c r="AD1158" s="549"/>
      <c r="AE1158" s="549"/>
      <c r="AF1158" s="549"/>
      <c r="AG1158" s="549"/>
      <c r="AH1158" s="549"/>
      <c r="AI1158" s="549"/>
      <c r="AJ1158" s="549"/>
      <c r="AK1158" s="549"/>
      <c r="AL1158" s="549"/>
      <c r="AM1158" s="549"/>
      <c r="AN1158" s="549"/>
      <c r="AO1158" s="549"/>
      <c r="AP1158" s="549"/>
      <c r="AQ1158" s="549"/>
      <c r="AR1158" s="549"/>
      <c r="AS1158" s="549"/>
      <c r="AT1158" s="549"/>
      <c r="AU1158" s="549"/>
      <c r="AV1158" s="549"/>
      <c r="AW1158" s="549"/>
      <c r="AX1158" s="549"/>
      <c r="AY1158" s="549"/>
      <c r="AZ1158" s="549"/>
      <c r="BA1158" s="549"/>
      <c r="BB1158" s="549"/>
      <c r="BC1158" s="549"/>
      <c r="BD1158" s="549"/>
      <c r="BE1158" s="549"/>
      <c r="BF1158" s="549"/>
      <c r="BG1158" s="549"/>
      <c r="BH1158" s="549"/>
      <c r="BI1158" s="549"/>
    </row>
    <row r="1159" spans="16:61" s="254" customFormat="1" ht="9.9">
      <c r="P1159" s="549"/>
      <c r="Q1159" s="549"/>
      <c r="R1159" s="549"/>
      <c r="S1159" s="549"/>
      <c r="T1159" s="549"/>
      <c r="U1159" s="549"/>
      <c r="V1159" s="549"/>
      <c r="W1159" s="549"/>
      <c r="X1159" s="549"/>
      <c r="Y1159" s="549"/>
      <c r="Z1159" s="549"/>
      <c r="AA1159" s="549"/>
      <c r="AB1159" s="549"/>
      <c r="AC1159" s="549"/>
      <c r="AD1159" s="549"/>
      <c r="AE1159" s="549"/>
      <c r="AF1159" s="549"/>
      <c r="AG1159" s="549"/>
      <c r="AH1159" s="549"/>
      <c r="AI1159" s="549"/>
      <c r="AJ1159" s="549"/>
      <c r="AK1159" s="549"/>
      <c r="AL1159" s="549"/>
      <c r="AM1159" s="549"/>
      <c r="AN1159" s="549"/>
      <c r="AO1159" s="549"/>
      <c r="AP1159" s="549"/>
      <c r="AQ1159" s="549"/>
      <c r="AR1159" s="549"/>
      <c r="AS1159" s="549"/>
      <c r="AT1159" s="549"/>
      <c r="AU1159" s="549"/>
      <c r="AV1159" s="549"/>
      <c r="AW1159" s="549"/>
      <c r="AX1159" s="549"/>
      <c r="AY1159" s="549"/>
      <c r="AZ1159" s="549"/>
      <c r="BA1159" s="549"/>
      <c r="BB1159" s="549"/>
      <c r="BC1159" s="549"/>
      <c r="BD1159" s="549"/>
      <c r="BE1159" s="549"/>
      <c r="BF1159" s="549"/>
      <c r="BG1159" s="549"/>
      <c r="BH1159" s="549"/>
      <c r="BI1159" s="549"/>
    </row>
    <row r="1160" spans="16:61" s="254" customFormat="1" ht="9.9">
      <c r="P1160" s="549"/>
      <c r="Q1160" s="549"/>
      <c r="R1160" s="549"/>
      <c r="S1160" s="549"/>
      <c r="T1160" s="549"/>
      <c r="U1160" s="549"/>
      <c r="V1160" s="549"/>
      <c r="W1160" s="549"/>
      <c r="X1160" s="549"/>
      <c r="Y1160" s="549"/>
      <c r="Z1160" s="549"/>
      <c r="AA1160" s="549"/>
      <c r="AB1160" s="549"/>
      <c r="AC1160" s="549"/>
      <c r="AD1160" s="549"/>
      <c r="AE1160" s="549"/>
      <c r="AF1160" s="549"/>
      <c r="AG1160" s="549"/>
      <c r="AH1160" s="549"/>
      <c r="AI1160" s="549"/>
      <c r="AJ1160" s="549"/>
      <c r="AK1160" s="549"/>
      <c r="AL1160" s="549"/>
      <c r="AM1160" s="549"/>
      <c r="AN1160" s="549"/>
      <c r="AO1160" s="549"/>
      <c r="AP1160" s="549"/>
      <c r="AQ1160" s="549"/>
      <c r="AR1160" s="549"/>
      <c r="AS1160" s="549"/>
      <c r="AT1160" s="549"/>
      <c r="AU1160" s="549"/>
      <c r="AV1160" s="549"/>
      <c r="AW1160" s="549"/>
      <c r="AX1160" s="549"/>
      <c r="AY1160" s="549"/>
      <c r="AZ1160" s="549"/>
      <c r="BA1160" s="549"/>
      <c r="BB1160" s="549"/>
      <c r="BC1160" s="549"/>
      <c r="BD1160" s="549"/>
      <c r="BE1160" s="549"/>
      <c r="BF1160" s="549"/>
      <c r="BG1160" s="549"/>
      <c r="BH1160" s="549"/>
      <c r="BI1160" s="549"/>
    </row>
    <row r="1161" spans="16:61" s="254" customFormat="1" ht="9.9">
      <c r="P1161" s="549"/>
      <c r="Q1161" s="549"/>
      <c r="R1161" s="549"/>
      <c r="S1161" s="549"/>
      <c r="T1161" s="549"/>
      <c r="U1161" s="549"/>
      <c r="V1161" s="549"/>
      <c r="W1161" s="549"/>
      <c r="X1161" s="549"/>
      <c r="Y1161" s="549"/>
      <c r="Z1161" s="549"/>
      <c r="AA1161" s="549"/>
      <c r="AB1161" s="549"/>
      <c r="AC1161" s="549"/>
      <c r="AD1161" s="549"/>
      <c r="AE1161" s="549"/>
      <c r="AF1161" s="549"/>
      <c r="AG1161" s="549"/>
      <c r="AH1161" s="549"/>
      <c r="AI1161" s="549"/>
      <c r="AJ1161" s="549"/>
      <c r="AK1161" s="549"/>
      <c r="AL1161" s="549"/>
      <c r="AM1161" s="549"/>
      <c r="AN1161" s="549"/>
      <c r="AO1161" s="549"/>
      <c r="AP1161" s="549"/>
      <c r="AQ1161" s="549"/>
      <c r="AR1161" s="549"/>
      <c r="AS1161" s="549"/>
      <c r="AT1161" s="549"/>
      <c r="AU1161" s="549"/>
      <c r="AV1161" s="549"/>
      <c r="AW1161" s="549"/>
      <c r="AX1161" s="549"/>
      <c r="AY1161" s="549"/>
      <c r="AZ1161" s="549"/>
      <c r="BA1161" s="549"/>
      <c r="BB1161" s="549"/>
      <c r="BC1161" s="549"/>
      <c r="BD1161" s="549"/>
      <c r="BE1161" s="549"/>
      <c r="BF1161" s="549"/>
      <c r="BG1161" s="549"/>
      <c r="BH1161" s="549"/>
      <c r="BI1161" s="549"/>
    </row>
    <row r="1162" spans="16:61" s="254" customFormat="1" ht="9.9">
      <c r="P1162" s="549"/>
      <c r="Q1162" s="549"/>
      <c r="R1162" s="549"/>
      <c r="S1162" s="549"/>
      <c r="T1162" s="549"/>
      <c r="U1162" s="549"/>
      <c r="V1162" s="549"/>
      <c r="W1162" s="549"/>
      <c r="X1162" s="549"/>
      <c r="Y1162" s="549"/>
      <c r="Z1162" s="549"/>
      <c r="AA1162" s="549"/>
      <c r="AB1162" s="549"/>
      <c r="AC1162" s="549"/>
      <c r="AD1162" s="549"/>
      <c r="AE1162" s="549"/>
      <c r="AF1162" s="549"/>
      <c r="AG1162" s="549"/>
      <c r="AH1162" s="549"/>
      <c r="AI1162" s="549"/>
      <c r="AJ1162" s="549"/>
      <c r="AK1162" s="549"/>
      <c r="AL1162" s="549"/>
      <c r="AM1162" s="549"/>
      <c r="AN1162" s="549"/>
      <c r="AO1162" s="549"/>
      <c r="AP1162" s="549"/>
      <c r="AQ1162" s="549"/>
      <c r="AR1162" s="549"/>
      <c r="AS1162" s="549"/>
      <c r="AT1162" s="549"/>
      <c r="AU1162" s="549"/>
      <c r="AV1162" s="549"/>
      <c r="AW1162" s="549"/>
      <c r="AX1162" s="549"/>
      <c r="AY1162" s="549"/>
      <c r="AZ1162" s="549"/>
      <c r="BA1162" s="549"/>
      <c r="BB1162" s="549"/>
      <c r="BC1162" s="549"/>
      <c r="BD1162" s="549"/>
      <c r="BE1162" s="549"/>
      <c r="BF1162" s="549"/>
      <c r="BG1162" s="549"/>
      <c r="BH1162" s="549"/>
      <c r="BI1162" s="549"/>
    </row>
    <row r="1163" spans="16:61" s="254" customFormat="1" ht="9.9">
      <c r="P1163" s="549"/>
      <c r="Q1163" s="549"/>
      <c r="R1163" s="549"/>
      <c r="S1163" s="549"/>
      <c r="T1163" s="549"/>
      <c r="U1163" s="549"/>
      <c r="V1163" s="549"/>
      <c r="W1163" s="549"/>
      <c r="X1163" s="549"/>
      <c r="Y1163" s="549"/>
      <c r="Z1163" s="549"/>
      <c r="AA1163" s="549"/>
      <c r="AB1163" s="549"/>
      <c r="AC1163" s="549"/>
      <c r="AD1163" s="549"/>
      <c r="AE1163" s="549"/>
      <c r="AF1163" s="549"/>
      <c r="AG1163" s="549"/>
      <c r="AH1163" s="549"/>
      <c r="AI1163" s="549"/>
      <c r="AJ1163" s="549"/>
      <c r="AK1163" s="549"/>
      <c r="AL1163" s="549"/>
      <c r="AM1163" s="549"/>
      <c r="AN1163" s="549"/>
      <c r="AO1163" s="549"/>
      <c r="AP1163" s="549"/>
      <c r="AQ1163" s="549"/>
      <c r="AR1163" s="549"/>
      <c r="AS1163" s="549"/>
      <c r="AT1163" s="549"/>
      <c r="AU1163" s="549"/>
      <c r="AV1163" s="549"/>
      <c r="AW1163" s="549"/>
      <c r="AX1163" s="549"/>
      <c r="AY1163" s="549"/>
      <c r="AZ1163" s="549"/>
      <c r="BA1163" s="549"/>
      <c r="BB1163" s="549"/>
      <c r="BC1163" s="549"/>
      <c r="BD1163" s="549"/>
      <c r="BE1163" s="549"/>
      <c r="BF1163" s="549"/>
      <c r="BG1163" s="549"/>
      <c r="BH1163" s="549"/>
      <c r="BI1163" s="549"/>
    </row>
    <row r="1164" spans="16:61" s="254" customFormat="1" ht="9.9">
      <c r="P1164" s="549"/>
      <c r="Q1164" s="549"/>
      <c r="R1164" s="549"/>
      <c r="S1164" s="549"/>
      <c r="T1164" s="549"/>
      <c r="U1164" s="549"/>
      <c r="V1164" s="549"/>
      <c r="W1164" s="549"/>
      <c r="X1164" s="549"/>
      <c r="Y1164" s="549"/>
      <c r="Z1164" s="549"/>
      <c r="AA1164" s="549"/>
      <c r="AB1164" s="549"/>
      <c r="AC1164" s="549"/>
      <c r="AD1164" s="549"/>
      <c r="AE1164" s="549"/>
      <c r="AF1164" s="549"/>
      <c r="AG1164" s="549"/>
      <c r="AH1164" s="549"/>
      <c r="AI1164" s="549"/>
      <c r="AJ1164" s="549"/>
      <c r="AK1164" s="549"/>
      <c r="AL1164" s="549"/>
      <c r="AM1164" s="549"/>
      <c r="AN1164" s="549"/>
      <c r="AO1164" s="549"/>
      <c r="AP1164" s="549"/>
      <c r="AQ1164" s="549"/>
      <c r="AR1164" s="549"/>
      <c r="AS1164" s="549"/>
      <c r="AT1164" s="549"/>
      <c r="AU1164" s="549"/>
      <c r="AV1164" s="549"/>
      <c r="AW1164" s="549"/>
      <c r="AX1164" s="549"/>
      <c r="AY1164" s="549"/>
      <c r="AZ1164" s="549"/>
      <c r="BA1164" s="549"/>
      <c r="BB1164" s="549"/>
      <c r="BC1164" s="549"/>
      <c r="BD1164" s="549"/>
      <c r="BE1164" s="549"/>
      <c r="BF1164" s="549"/>
      <c r="BG1164" s="549"/>
      <c r="BH1164" s="549"/>
      <c r="BI1164" s="549"/>
    </row>
    <row r="1165" spans="16:61" s="254" customFormat="1" ht="9.9">
      <c r="P1165" s="549"/>
      <c r="Q1165" s="549"/>
      <c r="R1165" s="549"/>
      <c r="S1165" s="549"/>
      <c r="T1165" s="549"/>
      <c r="U1165" s="549"/>
      <c r="V1165" s="549"/>
      <c r="W1165" s="549"/>
      <c r="X1165" s="549"/>
      <c r="Y1165" s="549"/>
      <c r="Z1165" s="549"/>
      <c r="AA1165" s="549"/>
      <c r="AB1165" s="549"/>
      <c r="AC1165" s="549"/>
      <c r="AD1165" s="549"/>
      <c r="AE1165" s="549"/>
      <c r="AF1165" s="549"/>
      <c r="AG1165" s="549"/>
      <c r="AH1165" s="549"/>
      <c r="AI1165" s="549"/>
      <c r="AJ1165" s="549"/>
      <c r="AK1165" s="549"/>
      <c r="AL1165" s="549"/>
      <c r="AM1165" s="549"/>
      <c r="AN1165" s="549"/>
      <c r="AO1165" s="549"/>
      <c r="AP1165" s="549"/>
      <c r="AQ1165" s="549"/>
      <c r="AR1165" s="549"/>
      <c r="AS1165" s="549"/>
      <c r="AT1165" s="549"/>
      <c r="AU1165" s="549"/>
      <c r="AV1165" s="549"/>
      <c r="AW1165" s="549"/>
      <c r="AX1165" s="549"/>
      <c r="AY1165" s="549"/>
      <c r="AZ1165" s="549"/>
      <c r="BA1165" s="549"/>
      <c r="BB1165" s="549"/>
      <c r="BC1165" s="549"/>
      <c r="BD1165" s="549"/>
      <c r="BE1165" s="549"/>
      <c r="BF1165" s="549"/>
      <c r="BG1165" s="549"/>
      <c r="BH1165" s="549"/>
      <c r="BI1165" s="549"/>
    </row>
    <row r="1166" spans="16:61" s="254" customFormat="1" ht="9.9">
      <c r="P1166" s="549"/>
      <c r="Q1166" s="549"/>
      <c r="R1166" s="549"/>
      <c r="S1166" s="549"/>
      <c r="T1166" s="549"/>
      <c r="U1166" s="549"/>
      <c r="V1166" s="549"/>
      <c r="W1166" s="549"/>
      <c r="X1166" s="549"/>
      <c r="Y1166" s="549"/>
      <c r="Z1166" s="549"/>
      <c r="AA1166" s="549"/>
      <c r="AB1166" s="549"/>
      <c r="AC1166" s="549"/>
      <c r="AD1166" s="549"/>
      <c r="AE1166" s="549"/>
      <c r="AF1166" s="549"/>
      <c r="AG1166" s="549"/>
      <c r="AH1166" s="549"/>
      <c r="AI1166" s="549"/>
      <c r="AJ1166" s="549"/>
      <c r="AK1166" s="549"/>
      <c r="AL1166" s="549"/>
      <c r="AM1166" s="549"/>
      <c r="AN1166" s="549"/>
      <c r="AO1166" s="549"/>
      <c r="AP1166" s="549"/>
      <c r="AQ1166" s="549"/>
      <c r="AR1166" s="549"/>
      <c r="AS1166" s="549"/>
      <c r="AT1166" s="549"/>
      <c r="AU1166" s="549"/>
      <c r="AV1166" s="549"/>
      <c r="AW1166" s="549"/>
      <c r="AX1166" s="549"/>
      <c r="AY1166" s="549"/>
      <c r="AZ1166" s="549"/>
      <c r="BA1166" s="549"/>
      <c r="BB1166" s="549"/>
      <c r="BC1166" s="549"/>
      <c r="BD1166" s="549"/>
      <c r="BE1166" s="549"/>
      <c r="BF1166" s="549"/>
      <c r="BG1166" s="549"/>
      <c r="BH1166" s="549"/>
      <c r="BI1166" s="549"/>
    </row>
    <row r="1167" spans="16:61" s="254" customFormat="1" ht="9.9">
      <c r="P1167" s="549"/>
      <c r="Q1167" s="549"/>
      <c r="R1167" s="549"/>
      <c r="S1167" s="549"/>
      <c r="T1167" s="549"/>
      <c r="U1167" s="549"/>
      <c r="V1167" s="549"/>
      <c r="W1167" s="549"/>
      <c r="X1167" s="549"/>
      <c r="Y1167" s="549"/>
      <c r="Z1167" s="549"/>
      <c r="AA1167" s="549"/>
      <c r="AB1167" s="549"/>
      <c r="AC1167" s="549"/>
      <c r="AD1167" s="549"/>
      <c r="AE1167" s="549"/>
      <c r="AF1167" s="549"/>
      <c r="AG1167" s="549"/>
      <c r="AH1167" s="549"/>
      <c r="AI1167" s="549"/>
      <c r="AJ1167" s="549"/>
      <c r="AK1167" s="549"/>
      <c r="AL1167" s="549"/>
      <c r="AM1167" s="549"/>
      <c r="AN1167" s="549"/>
      <c r="AO1167" s="549"/>
      <c r="AP1167" s="549"/>
      <c r="AQ1167" s="549"/>
      <c r="AR1167" s="549"/>
      <c r="AS1167" s="549"/>
      <c r="AT1167" s="549"/>
      <c r="AU1167" s="549"/>
      <c r="AV1167" s="549"/>
      <c r="AW1167" s="549"/>
      <c r="AX1167" s="549"/>
      <c r="AY1167" s="549"/>
      <c r="AZ1167" s="549"/>
      <c r="BA1167" s="549"/>
      <c r="BB1167" s="549"/>
      <c r="BC1167" s="549"/>
      <c r="BD1167" s="549"/>
      <c r="BE1167" s="549"/>
      <c r="BF1167" s="549"/>
      <c r="BG1167" s="549"/>
      <c r="BH1167" s="549"/>
      <c r="BI1167" s="549"/>
    </row>
    <row r="1168" spans="16:61" s="254" customFormat="1" ht="9.9">
      <c r="P1168" s="549"/>
      <c r="Q1168" s="549"/>
      <c r="R1168" s="549"/>
      <c r="S1168" s="549"/>
      <c r="T1168" s="549"/>
      <c r="U1168" s="549"/>
      <c r="V1168" s="549"/>
      <c r="W1168" s="549"/>
      <c r="X1168" s="549"/>
      <c r="Y1168" s="549"/>
      <c r="Z1168" s="549"/>
      <c r="AA1168" s="549"/>
      <c r="AB1168" s="549"/>
      <c r="AC1168" s="549"/>
      <c r="AD1168" s="549"/>
      <c r="AE1168" s="549"/>
      <c r="AF1168" s="549"/>
      <c r="AG1168" s="549"/>
      <c r="AH1168" s="549"/>
      <c r="AI1168" s="549"/>
      <c r="AJ1168" s="549"/>
      <c r="AK1168" s="549"/>
      <c r="AL1168" s="549"/>
      <c r="AM1168" s="549"/>
      <c r="AN1168" s="549"/>
      <c r="AO1168" s="549"/>
      <c r="AP1168" s="549"/>
      <c r="AQ1168" s="549"/>
      <c r="AR1168" s="549"/>
      <c r="AS1168" s="549"/>
      <c r="AT1168" s="549"/>
      <c r="AU1168" s="549"/>
      <c r="AV1168" s="549"/>
      <c r="AW1168" s="549"/>
      <c r="AX1168" s="549"/>
      <c r="AY1168" s="549"/>
      <c r="AZ1168" s="549"/>
      <c r="BA1168" s="549"/>
      <c r="BB1168" s="549"/>
      <c r="BC1168" s="549"/>
      <c r="BD1168" s="549"/>
      <c r="BE1168" s="549"/>
      <c r="BF1168" s="549"/>
      <c r="BG1168" s="549"/>
      <c r="BH1168" s="549"/>
      <c r="BI1168" s="549"/>
    </row>
    <row r="1169" spans="16:61" s="254" customFormat="1" ht="9.9">
      <c r="P1169" s="549"/>
      <c r="Q1169" s="549"/>
      <c r="R1169" s="549"/>
      <c r="S1169" s="549"/>
      <c r="T1169" s="549"/>
      <c r="U1169" s="549"/>
      <c r="V1169" s="549"/>
      <c r="W1169" s="549"/>
      <c r="X1169" s="549"/>
      <c r="Y1169" s="549"/>
      <c r="Z1169" s="549"/>
      <c r="AA1169" s="549"/>
      <c r="AB1169" s="549"/>
      <c r="AC1169" s="549"/>
      <c r="AD1169" s="549"/>
      <c r="AE1169" s="549"/>
      <c r="AF1169" s="549"/>
      <c r="AG1169" s="549"/>
      <c r="AH1169" s="549"/>
      <c r="AI1169" s="549"/>
      <c r="AJ1169" s="549"/>
      <c r="AK1169" s="549"/>
      <c r="AL1169" s="549"/>
      <c r="AM1169" s="549"/>
      <c r="AN1169" s="549"/>
      <c r="AO1169" s="549"/>
      <c r="AP1169" s="549"/>
      <c r="AQ1169" s="549"/>
      <c r="AR1169" s="549"/>
      <c r="AS1169" s="549"/>
      <c r="AT1169" s="549"/>
      <c r="AU1169" s="549"/>
      <c r="AV1169" s="549"/>
      <c r="AW1169" s="549"/>
      <c r="AX1169" s="549"/>
      <c r="AY1169" s="549"/>
      <c r="AZ1169" s="549"/>
      <c r="BA1169" s="549"/>
      <c r="BB1169" s="549"/>
      <c r="BC1169" s="549"/>
      <c r="BD1169" s="549"/>
      <c r="BE1169" s="549"/>
      <c r="BF1169" s="549"/>
      <c r="BG1169" s="549"/>
      <c r="BH1169" s="549"/>
      <c r="BI1169" s="549"/>
    </row>
    <row r="1170" spans="16:61" s="254" customFormat="1" ht="9.9">
      <c r="P1170" s="549"/>
      <c r="Q1170" s="549"/>
      <c r="R1170" s="549"/>
      <c r="S1170" s="549"/>
      <c r="T1170" s="549"/>
      <c r="U1170" s="549"/>
      <c r="V1170" s="549"/>
      <c r="W1170" s="549"/>
      <c r="X1170" s="549"/>
      <c r="Y1170" s="549"/>
      <c r="Z1170" s="549"/>
      <c r="AA1170" s="549"/>
      <c r="AB1170" s="549"/>
      <c r="AC1170" s="549"/>
      <c r="AD1170" s="549"/>
      <c r="AE1170" s="549"/>
      <c r="AF1170" s="549"/>
      <c r="AG1170" s="549"/>
      <c r="AH1170" s="549"/>
      <c r="AI1170" s="549"/>
      <c r="AJ1170" s="549"/>
      <c r="AK1170" s="549"/>
      <c r="AL1170" s="549"/>
      <c r="AM1170" s="549"/>
      <c r="AN1170" s="549"/>
      <c r="AO1170" s="549"/>
      <c r="AP1170" s="549"/>
      <c r="AQ1170" s="549"/>
      <c r="AR1170" s="549"/>
      <c r="AS1170" s="549"/>
      <c r="AT1170" s="549"/>
      <c r="AU1170" s="549"/>
      <c r="AV1170" s="549"/>
      <c r="AW1170" s="549"/>
      <c r="AX1170" s="549"/>
      <c r="AY1170" s="549"/>
      <c r="AZ1170" s="549"/>
      <c r="BA1170" s="549"/>
      <c r="BB1170" s="549"/>
      <c r="BC1170" s="549"/>
      <c r="BD1170" s="549"/>
      <c r="BE1170" s="549"/>
      <c r="BF1170" s="549"/>
      <c r="BG1170" s="549"/>
      <c r="BH1170" s="549"/>
      <c r="BI1170" s="549"/>
    </row>
    <row r="1171" spans="16:61" s="254" customFormat="1" ht="9.9">
      <c r="P1171" s="549"/>
      <c r="Q1171" s="549"/>
      <c r="R1171" s="549"/>
      <c r="S1171" s="549"/>
      <c r="T1171" s="549"/>
      <c r="U1171" s="549"/>
      <c r="V1171" s="549"/>
      <c r="W1171" s="549"/>
      <c r="X1171" s="549"/>
      <c r="Y1171" s="549"/>
      <c r="Z1171" s="549"/>
      <c r="AA1171" s="549"/>
      <c r="AB1171" s="549"/>
      <c r="AC1171" s="549"/>
      <c r="AD1171" s="549"/>
      <c r="AE1171" s="549"/>
      <c r="AF1171" s="549"/>
      <c r="AG1171" s="549"/>
      <c r="AH1171" s="549"/>
      <c r="AI1171" s="549"/>
      <c r="AJ1171" s="549"/>
      <c r="AK1171" s="549"/>
      <c r="AL1171" s="549"/>
      <c r="AM1171" s="549"/>
      <c r="AN1171" s="549"/>
      <c r="AO1171" s="549"/>
      <c r="AP1171" s="549"/>
      <c r="AQ1171" s="549"/>
      <c r="AR1171" s="549"/>
      <c r="AS1171" s="549"/>
      <c r="AT1171" s="549"/>
      <c r="AU1171" s="549"/>
      <c r="AV1171" s="549"/>
      <c r="AW1171" s="549"/>
      <c r="AX1171" s="549"/>
      <c r="AY1171" s="549"/>
      <c r="AZ1171" s="549"/>
      <c r="BA1171" s="549"/>
      <c r="BB1171" s="549"/>
      <c r="BC1171" s="549"/>
      <c r="BD1171" s="549"/>
      <c r="BE1171" s="549"/>
      <c r="BF1171" s="549"/>
      <c r="BG1171" s="549"/>
      <c r="BH1171" s="549"/>
      <c r="BI1171" s="549"/>
    </row>
    <row r="1172" spans="16:61" s="254" customFormat="1" ht="9.9">
      <c r="P1172" s="549"/>
      <c r="Q1172" s="549"/>
      <c r="R1172" s="549"/>
      <c r="S1172" s="549"/>
      <c r="T1172" s="549"/>
      <c r="U1172" s="549"/>
      <c r="V1172" s="549"/>
      <c r="W1172" s="549"/>
      <c r="X1172" s="549"/>
      <c r="Y1172" s="549"/>
      <c r="Z1172" s="549"/>
      <c r="AA1172" s="549"/>
      <c r="AB1172" s="549"/>
      <c r="AC1172" s="549"/>
      <c r="AD1172" s="549"/>
      <c r="AE1172" s="549"/>
      <c r="AF1172" s="549"/>
      <c r="AG1172" s="549"/>
      <c r="AH1172" s="549"/>
      <c r="AI1172" s="549"/>
      <c r="AJ1172" s="549"/>
      <c r="AK1172" s="549"/>
      <c r="AL1172" s="549"/>
      <c r="AM1172" s="549"/>
      <c r="AN1172" s="549"/>
      <c r="AO1172" s="549"/>
      <c r="AP1172" s="549"/>
      <c r="AQ1172" s="549"/>
      <c r="AR1172" s="549"/>
      <c r="AS1172" s="549"/>
      <c r="AT1172" s="549"/>
      <c r="AU1172" s="549"/>
      <c r="AV1172" s="549"/>
      <c r="AW1172" s="549"/>
      <c r="AX1172" s="549"/>
      <c r="AY1172" s="549"/>
      <c r="AZ1172" s="549"/>
      <c r="BA1172" s="549"/>
      <c r="BB1172" s="549"/>
      <c r="BC1172" s="549"/>
      <c r="BD1172" s="549"/>
      <c r="BE1172" s="549"/>
      <c r="BF1172" s="549"/>
      <c r="BG1172" s="549"/>
      <c r="BH1172" s="549"/>
      <c r="BI1172" s="549"/>
    </row>
    <row r="1173" spans="16:61" s="254" customFormat="1" ht="9.9">
      <c r="P1173" s="549"/>
      <c r="Q1173" s="549"/>
      <c r="R1173" s="549"/>
      <c r="S1173" s="549"/>
      <c r="T1173" s="549"/>
      <c r="U1173" s="549"/>
      <c r="V1173" s="549"/>
      <c r="W1173" s="549"/>
      <c r="X1173" s="549"/>
      <c r="Y1173" s="549"/>
      <c r="Z1173" s="549"/>
      <c r="AA1173" s="549"/>
      <c r="AB1173" s="549"/>
      <c r="AC1173" s="549"/>
      <c r="AD1173" s="549"/>
      <c r="AE1173" s="549"/>
      <c r="AF1173" s="549"/>
      <c r="AG1173" s="549"/>
      <c r="AH1173" s="549"/>
      <c r="AI1173" s="549"/>
      <c r="AJ1173" s="549"/>
      <c r="AK1173" s="549"/>
      <c r="AL1173" s="549"/>
      <c r="AM1173" s="549"/>
      <c r="AN1173" s="549"/>
      <c r="AO1173" s="549"/>
      <c r="AP1173" s="549"/>
      <c r="AQ1173" s="549"/>
      <c r="AR1173" s="549"/>
      <c r="AS1173" s="549"/>
      <c r="AT1173" s="549"/>
      <c r="AU1173" s="549"/>
      <c r="AV1173" s="549"/>
      <c r="AW1173" s="549"/>
      <c r="AX1173" s="549"/>
      <c r="AY1173" s="549"/>
      <c r="AZ1173" s="549"/>
      <c r="BA1173" s="549"/>
      <c r="BB1173" s="549"/>
      <c r="BC1173" s="549"/>
      <c r="BD1173" s="549"/>
      <c r="BE1173" s="549"/>
      <c r="BF1173" s="549"/>
      <c r="BG1173" s="549"/>
      <c r="BH1173" s="549"/>
      <c r="BI1173" s="549"/>
    </row>
    <row r="1174" spans="16:61" s="254" customFormat="1" ht="9.9">
      <c r="P1174" s="549"/>
      <c r="Q1174" s="549"/>
      <c r="R1174" s="549"/>
      <c r="S1174" s="549"/>
      <c r="T1174" s="549"/>
      <c r="U1174" s="549"/>
      <c r="V1174" s="549"/>
      <c r="W1174" s="549"/>
      <c r="X1174" s="549"/>
      <c r="Y1174" s="549"/>
      <c r="Z1174" s="549"/>
      <c r="AA1174" s="549"/>
      <c r="AB1174" s="549"/>
      <c r="AC1174" s="549"/>
      <c r="AD1174" s="549"/>
      <c r="AE1174" s="549"/>
      <c r="AF1174" s="549"/>
      <c r="AG1174" s="549"/>
      <c r="AH1174" s="549"/>
      <c r="AI1174" s="549"/>
      <c r="AJ1174" s="549"/>
      <c r="AK1174" s="549"/>
      <c r="AL1174" s="549"/>
      <c r="AM1174" s="549"/>
      <c r="AN1174" s="549"/>
      <c r="AO1174" s="549"/>
      <c r="AP1174" s="549"/>
      <c r="AQ1174" s="549"/>
      <c r="AR1174" s="549"/>
      <c r="AS1174" s="549"/>
      <c r="AT1174" s="549"/>
      <c r="AU1174" s="549"/>
      <c r="AV1174" s="549"/>
      <c r="AW1174" s="549"/>
      <c r="AX1174" s="549"/>
      <c r="AY1174" s="549"/>
      <c r="AZ1174" s="549"/>
      <c r="BA1174" s="549"/>
      <c r="BB1174" s="549"/>
      <c r="BC1174" s="549"/>
      <c r="BD1174" s="549"/>
      <c r="BE1174" s="549"/>
      <c r="BF1174" s="549"/>
      <c r="BG1174" s="549"/>
      <c r="BH1174" s="549"/>
      <c r="BI1174" s="549"/>
    </row>
    <row r="1175" spans="16:61" s="254" customFormat="1" ht="9.9">
      <c r="P1175" s="549"/>
      <c r="Q1175" s="549"/>
      <c r="R1175" s="549"/>
      <c r="S1175" s="549"/>
      <c r="T1175" s="549"/>
      <c r="U1175" s="549"/>
      <c r="V1175" s="549"/>
      <c r="W1175" s="549"/>
      <c r="X1175" s="549"/>
      <c r="Y1175" s="549"/>
      <c r="Z1175" s="549"/>
      <c r="AA1175" s="549"/>
      <c r="AB1175" s="549"/>
      <c r="AC1175" s="549"/>
      <c r="AD1175" s="549"/>
      <c r="AE1175" s="549"/>
      <c r="AF1175" s="549"/>
      <c r="AG1175" s="549"/>
      <c r="AH1175" s="549"/>
      <c r="AI1175" s="549"/>
      <c r="AJ1175" s="549"/>
      <c r="AK1175" s="549"/>
      <c r="AL1175" s="549"/>
      <c r="AM1175" s="549"/>
      <c r="AN1175" s="549"/>
      <c r="AO1175" s="549"/>
      <c r="AP1175" s="549"/>
      <c r="AQ1175" s="549"/>
      <c r="AR1175" s="549"/>
      <c r="AS1175" s="549"/>
      <c r="AT1175" s="549"/>
      <c r="AU1175" s="549"/>
      <c r="AV1175" s="549"/>
      <c r="AW1175" s="549"/>
      <c r="AX1175" s="549"/>
      <c r="AY1175" s="549"/>
      <c r="AZ1175" s="549"/>
      <c r="BA1175" s="549"/>
      <c r="BB1175" s="549"/>
      <c r="BC1175" s="549"/>
      <c r="BD1175" s="549"/>
      <c r="BE1175" s="549"/>
      <c r="BF1175" s="549"/>
      <c r="BG1175" s="549"/>
      <c r="BH1175" s="549"/>
      <c r="BI1175" s="549"/>
    </row>
    <row r="1176" spans="16:61" s="254" customFormat="1" ht="9.9">
      <c r="P1176" s="549"/>
      <c r="Q1176" s="549"/>
      <c r="R1176" s="549"/>
      <c r="S1176" s="549"/>
      <c r="T1176" s="549"/>
      <c r="U1176" s="549"/>
      <c r="V1176" s="549"/>
      <c r="W1176" s="549"/>
      <c r="X1176" s="549"/>
      <c r="Y1176" s="549"/>
      <c r="Z1176" s="549"/>
      <c r="AA1176" s="549"/>
      <c r="AB1176" s="549"/>
      <c r="AC1176" s="549"/>
      <c r="AD1176" s="549"/>
      <c r="AE1176" s="549"/>
      <c r="AF1176" s="549"/>
      <c r="AG1176" s="549"/>
      <c r="AH1176" s="549"/>
      <c r="AI1176" s="549"/>
      <c r="AJ1176" s="549"/>
      <c r="AK1176" s="549"/>
      <c r="AL1176" s="549"/>
      <c r="AM1176" s="549"/>
      <c r="AN1176" s="549"/>
      <c r="AO1176" s="549"/>
      <c r="AP1176" s="549"/>
      <c r="AQ1176" s="549"/>
      <c r="AR1176" s="549"/>
      <c r="AS1176" s="549"/>
      <c r="AT1176" s="549"/>
      <c r="AU1176" s="549"/>
      <c r="AV1176" s="549"/>
      <c r="AW1176" s="549"/>
      <c r="AX1176" s="549"/>
      <c r="AY1176" s="549"/>
      <c r="AZ1176" s="549"/>
      <c r="BA1176" s="549"/>
      <c r="BB1176" s="549"/>
      <c r="BC1176" s="549"/>
      <c r="BD1176" s="549"/>
      <c r="BE1176" s="549"/>
      <c r="BF1176" s="549"/>
      <c r="BG1176" s="549"/>
      <c r="BH1176" s="549"/>
      <c r="BI1176" s="549"/>
    </row>
    <row r="1177" spans="16:61" s="254" customFormat="1" ht="9.9">
      <c r="P1177" s="549"/>
      <c r="Q1177" s="549"/>
      <c r="R1177" s="549"/>
      <c r="S1177" s="549"/>
      <c r="T1177" s="549"/>
      <c r="U1177" s="549"/>
      <c r="V1177" s="549"/>
      <c r="W1177" s="549"/>
      <c r="X1177" s="549"/>
      <c r="Y1177" s="549"/>
      <c r="Z1177" s="549"/>
      <c r="AA1177" s="549"/>
      <c r="AB1177" s="549"/>
      <c r="AC1177" s="549"/>
      <c r="AD1177" s="549"/>
      <c r="AE1177" s="549"/>
      <c r="AF1177" s="549"/>
      <c r="AG1177" s="549"/>
      <c r="AH1177" s="549"/>
      <c r="AI1177" s="549"/>
      <c r="AJ1177" s="549"/>
      <c r="AK1177" s="549"/>
      <c r="AL1177" s="549"/>
      <c r="AM1177" s="549"/>
      <c r="AN1177" s="549"/>
      <c r="AO1177" s="549"/>
      <c r="AP1177" s="549"/>
      <c r="AQ1177" s="549"/>
      <c r="AR1177" s="549"/>
      <c r="AS1177" s="549"/>
      <c r="AT1177" s="549"/>
      <c r="AU1177" s="549"/>
      <c r="AV1177" s="549"/>
      <c r="AW1177" s="549"/>
      <c r="AX1177" s="549"/>
      <c r="AY1177" s="549"/>
      <c r="AZ1177" s="549"/>
      <c r="BA1177" s="549"/>
      <c r="BB1177" s="549"/>
      <c r="BC1177" s="549"/>
      <c r="BD1177" s="549"/>
      <c r="BE1177" s="549"/>
      <c r="BF1177" s="549"/>
      <c r="BG1177" s="549"/>
      <c r="BH1177" s="549"/>
      <c r="BI1177" s="549"/>
    </row>
    <row r="1178" spans="16:61" s="254" customFormat="1" ht="9.9">
      <c r="P1178" s="549"/>
      <c r="Q1178" s="549"/>
      <c r="R1178" s="549"/>
      <c r="S1178" s="549"/>
      <c r="T1178" s="549"/>
      <c r="U1178" s="549"/>
      <c r="V1178" s="549"/>
      <c r="W1178" s="549"/>
      <c r="X1178" s="549"/>
      <c r="Y1178" s="549"/>
      <c r="Z1178" s="549"/>
      <c r="AA1178" s="549"/>
      <c r="AB1178" s="549"/>
      <c r="AC1178" s="549"/>
      <c r="AD1178" s="549"/>
      <c r="AE1178" s="549"/>
      <c r="AF1178" s="549"/>
      <c r="AG1178" s="549"/>
      <c r="AH1178" s="549"/>
      <c r="AI1178" s="549"/>
      <c r="AJ1178" s="549"/>
      <c r="AK1178" s="549"/>
      <c r="AL1178" s="549"/>
      <c r="AM1178" s="549"/>
      <c r="AN1178" s="549"/>
      <c r="AO1178" s="549"/>
      <c r="AP1178" s="549"/>
      <c r="AQ1178" s="549"/>
      <c r="AR1178" s="549"/>
      <c r="AS1178" s="549"/>
      <c r="AT1178" s="549"/>
      <c r="AU1178" s="549"/>
      <c r="AV1178" s="549"/>
      <c r="AW1178" s="549"/>
      <c r="AX1178" s="549"/>
      <c r="AY1178" s="549"/>
      <c r="AZ1178" s="549"/>
      <c r="BA1178" s="549"/>
      <c r="BB1178" s="549"/>
      <c r="BC1178" s="549"/>
      <c r="BD1178" s="549"/>
      <c r="BE1178" s="549"/>
      <c r="BF1178" s="549"/>
      <c r="BG1178" s="549"/>
      <c r="BH1178" s="549"/>
      <c r="BI1178" s="549"/>
    </row>
    <row r="1179" spans="16:61" s="254" customFormat="1" ht="9.9">
      <c r="P1179" s="549"/>
      <c r="Q1179" s="549"/>
      <c r="R1179" s="549"/>
      <c r="S1179" s="549"/>
      <c r="T1179" s="549"/>
      <c r="U1179" s="549"/>
      <c r="V1179" s="549"/>
      <c r="W1179" s="549"/>
      <c r="X1179" s="549"/>
      <c r="Y1179" s="549"/>
      <c r="Z1179" s="549"/>
      <c r="AA1179" s="549"/>
      <c r="AB1179" s="549"/>
      <c r="AC1179" s="549"/>
      <c r="AD1179" s="549"/>
      <c r="AE1179" s="549"/>
      <c r="AF1179" s="549"/>
      <c r="AG1179" s="549"/>
      <c r="AH1179" s="549"/>
      <c r="AI1179" s="549"/>
      <c r="AJ1179" s="549"/>
      <c r="AK1179" s="549"/>
      <c r="AL1179" s="549"/>
      <c r="AM1179" s="549"/>
      <c r="AN1179" s="549"/>
      <c r="AO1179" s="549"/>
      <c r="AP1179" s="549"/>
      <c r="AQ1179" s="549"/>
      <c r="AR1179" s="549"/>
      <c r="AS1179" s="549"/>
      <c r="AT1179" s="549"/>
      <c r="AU1179" s="549"/>
      <c r="AV1179" s="549"/>
      <c r="AW1179" s="549"/>
      <c r="AX1179" s="549"/>
      <c r="AY1179" s="549"/>
      <c r="AZ1179" s="549"/>
      <c r="BA1179" s="549"/>
      <c r="BB1179" s="549"/>
      <c r="BC1179" s="549"/>
      <c r="BD1179" s="549"/>
      <c r="BE1179" s="549"/>
      <c r="BF1179" s="549"/>
      <c r="BG1179" s="549"/>
      <c r="BH1179" s="549"/>
      <c r="BI1179" s="549"/>
    </row>
    <row r="1180" spans="16:61" s="254" customFormat="1" ht="9.9">
      <c r="P1180" s="549"/>
      <c r="Q1180" s="549"/>
      <c r="R1180" s="549"/>
      <c r="S1180" s="549"/>
      <c r="T1180" s="549"/>
      <c r="U1180" s="549"/>
      <c r="V1180" s="549"/>
      <c r="W1180" s="549"/>
      <c r="X1180" s="549"/>
      <c r="Y1180" s="549"/>
      <c r="Z1180" s="549"/>
      <c r="AA1180" s="549"/>
      <c r="AB1180" s="549"/>
      <c r="AC1180" s="549"/>
      <c r="AD1180" s="549"/>
      <c r="AE1180" s="549"/>
      <c r="AF1180" s="549"/>
      <c r="AG1180" s="549"/>
      <c r="AH1180" s="549"/>
      <c r="AI1180" s="549"/>
      <c r="AJ1180" s="549"/>
      <c r="AK1180" s="549"/>
      <c r="AL1180" s="549"/>
      <c r="AM1180" s="549"/>
      <c r="AN1180" s="549"/>
      <c r="AO1180" s="549"/>
      <c r="AP1180" s="549"/>
      <c r="AQ1180" s="549"/>
      <c r="AR1180" s="549"/>
      <c r="AS1180" s="549"/>
      <c r="AT1180" s="549"/>
      <c r="AU1180" s="549"/>
      <c r="AV1180" s="549"/>
      <c r="AW1180" s="549"/>
      <c r="AX1180" s="549"/>
      <c r="AY1180" s="549"/>
      <c r="AZ1180" s="549"/>
      <c r="BA1180" s="549"/>
      <c r="BB1180" s="549"/>
      <c r="BC1180" s="549"/>
      <c r="BD1180" s="549"/>
      <c r="BE1180" s="549"/>
      <c r="BF1180" s="549"/>
      <c r="BG1180" s="549"/>
      <c r="BH1180" s="549"/>
      <c r="BI1180" s="549"/>
    </row>
    <row r="1181" spans="16:61" s="254" customFormat="1" ht="9.9">
      <c r="P1181" s="549"/>
      <c r="Q1181" s="549"/>
      <c r="R1181" s="549"/>
      <c r="S1181" s="549"/>
      <c r="T1181" s="549"/>
      <c r="U1181" s="549"/>
      <c r="V1181" s="549"/>
      <c r="W1181" s="549"/>
      <c r="X1181" s="549"/>
      <c r="Y1181" s="549"/>
      <c r="Z1181" s="549"/>
      <c r="AA1181" s="549"/>
      <c r="AB1181" s="549"/>
      <c r="AC1181" s="549"/>
      <c r="AD1181" s="549"/>
      <c r="AE1181" s="549"/>
      <c r="AF1181" s="549"/>
      <c r="AG1181" s="549"/>
      <c r="AH1181" s="549"/>
      <c r="AI1181" s="549"/>
      <c r="AJ1181" s="549"/>
      <c r="AK1181" s="549"/>
      <c r="AL1181" s="549"/>
      <c r="AM1181" s="549"/>
      <c r="AN1181" s="549"/>
      <c r="AO1181" s="549"/>
      <c r="AP1181" s="549"/>
      <c r="AQ1181" s="549"/>
      <c r="AR1181" s="549"/>
      <c r="AS1181" s="549"/>
      <c r="AT1181" s="549"/>
      <c r="AU1181" s="549"/>
      <c r="AV1181" s="549"/>
      <c r="AW1181" s="549"/>
      <c r="AX1181" s="549"/>
      <c r="AY1181" s="549"/>
      <c r="AZ1181" s="549"/>
      <c r="BA1181" s="549"/>
      <c r="BB1181" s="549"/>
      <c r="BC1181" s="549"/>
      <c r="BD1181" s="549"/>
      <c r="BE1181" s="549"/>
      <c r="BF1181" s="549"/>
      <c r="BG1181" s="549"/>
      <c r="BH1181" s="549"/>
      <c r="BI1181" s="549"/>
    </row>
    <row r="1182" spans="16:61" s="254" customFormat="1" ht="9.9">
      <c r="P1182" s="549"/>
      <c r="Q1182" s="549"/>
      <c r="R1182" s="549"/>
      <c r="S1182" s="549"/>
      <c r="T1182" s="549"/>
      <c r="U1182" s="549"/>
      <c r="V1182" s="549"/>
      <c r="W1182" s="549"/>
      <c r="X1182" s="549"/>
      <c r="Y1182" s="549"/>
      <c r="Z1182" s="549"/>
      <c r="AA1182" s="549"/>
      <c r="AB1182" s="549"/>
      <c r="AC1182" s="549"/>
      <c r="AD1182" s="549"/>
      <c r="AE1182" s="549"/>
      <c r="AF1182" s="549"/>
      <c r="AG1182" s="549"/>
      <c r="AH1182" s="549"/>
      <c r="AI1182" s="549"/>
      <c r="AJ1182" s="549"/>
      <c r="AK1182" s="549"/>
      <c r="AL1182" s="549"/>
      <c r="AM1182" s="549"/>
      <c r="AN1182" s="549"/>
      <c r="AO1182" s="549"/>
      <c r="AP1182" s="549"/>
      <c r="AQ1182" s="549"/>
      <c r="AR1182" s="549"/>
      <c r="AS1182" s="549"/>
      <c r="AT1182" s="549"/>
      <c r="AU1182" s="549"/>
      <c r="AV1182" s="549"/>
      <c r="AW1182" s="549"/>
      <c r="AX1182" s="549"/>
      <c r="AY1182" s="549"/>
      <c r="AZ1182" s="549"/>
      <c r="BA1182" s="549"/>
      <c r="BB1182" s="549"/>
      <c r="BC1182" s="549"/>
      <c r="BD1182" s="549"/>
      <c r="BE1182" s="549"/>
      <c r="BF1182" s="549"/>
      <c r="BG1182" s="549"/>
      <c r="BH1182" s="549"/>
      <c r="BI1182" s="549"/>
    </row>
    <row r="1183" spans="16:61" s="254" customFormat="1" ht="9.9">
      <c r="P1183" s="549"/>
      <c r="Q1183" s="549"/>
      <c r="R1183" s="549"/>
      <c r="S1183" s="549"/>
      <c r="T1183" s="549"/>
      <c r="U1183" s="549"/>
      <c r="V1183" s="549"/>
      <c r="W1183" s="549"/>
      <c r="X1183" s="549"/>
      <c r="Y1183" s="549"/>
      <c r="Z1183" s="549"/>
      <c r="AA1183" s="549"/>
      <c r="AB1183" s="549"/>
      <c r="AC1183" s="549"/>
      <c r="AD1183" s="549"/>
      <c r="AE1183" s="549"/>
      <c r="AF1183" s="549"/>
      <c r="AG1183" s="549"/>
      <c r="AH1183" s="549"/>
      <c r="AI1183" s="549"/>
      <c r="AJ1183" s="549"/>
      <c r="AK1183" s="549"/>
      <c r="AL1183" s="549"/>
      <c r="AM1183" s="549"/>
      <c r="AN1183" s="549"/>
      <c r="AO1183" s="549"/>
      <c r="AP1183" s="549"/>
      <c r="AQ1183" s="549"/>
      <c r="AR1183" s="549"/>
      <c r="AS1183" s="549"/>
      <c r="AT1183" s="549"/>
      <c r="AU1183" s="549"/>
      <c r="AV1183" s="549"/>
      <c r="AW1183" s="549"/>
      <c r="AX1183" s="549"/>
      <c r="AY1183" s="549"/>
      <c r="AZ1183" s="549"/>
      <c r="BA1183" s="549"/>
      <c r="BB1183" s="549"/>
      <c r="BC1183" s="549"/>
      <c r="BD1183" s="549"/>
      <c r="BE1183" s="549"/>
      <c r="BF1183" s="549"/>
      <c r="BG1183" s="549"/>
      <c r="BH1183" s="549"/>
      <c r="BI1183" s="549"/>
    </row>
    <row r="1184" spans="16:61" s="254" customFormat="1" ht="9.9">
      <c r="P1184" s="549"/>
      <c r="Q1184" s="549"/>
      <c r="R1184" s="549"/>
      <c r="S1184" s="549"/>
      <c r="T1184" s="549"/>
      <c r="U1184" s="549"/>
      <c r="V1184" s="549"/>
      <c r="W1184" s="549"/>
      <c r="X1184" s="549"/>
      <c r="Y1184" s="549"/>
      <c r="Z1184" s="549"/>
      <c r="AA1184" s="549"/>
      <c r="AB1184" s="549"/>
      <c r="AC1184" s="549"/>
      <c r="AD1184" s="549"/>
      <c r="AE1184" s="549"/>
      <c r="AF1184" s="549"/>
      <c r="AG1184" s="549"/>
      <c r="AH1184" s="549"/>
      <c r="AI1184" s="549"/>
      <c r="AJ1184" s="549"/>
      <c r="AK1184" s="549"/>
      <c r="AL1184" s="549"/>
      <c r="AM1184" s="549"/>
      <c r="AN1184" s="549"/>
      <c r="AO1184" s="549"/>
      <c r="AP1184" s="549"/>
      <c r="AQ1184" s="549"/>
      <c r="AR1184" s="549"/>
      <c r="AS1184" s="549"/>
      <c r="AT1184" s="549"/>
      <c r="AU1184" s="549"/>
      <c r="AV1184" s="549"/>
      <c r="AW1184" s="549"/>
      <c r="AX1184" s="549"/>
      <c r="AY1184" s="549"/>
      <c r="AZ1184" s="549"/>
      <c r="BA1184" s="549"/>
      <c r="BB1184" s="549"/>
      <c r="BC1184" s="549"/>
      <c r="BD1184" s="549"/>
      <c r="BE1184" s="549"/>
      <c r="BF1184" s="549"/>
      <c r="BG1184" s="549"/>
      <c r="BH1184" s="549"/>
      <c r="BI1184" s="549"/>
    </row>
    <row r="1185" spans="16:61" s="254" customFormat="1" ht="9.9">
      <c r="P1185" s="549"/>
      <c r="Q1185" s="549"/>
      <c r="R1185" s="549"/>
      <c r="S1185" s="549"/>
      <c r="T1185" s="549"/>
      <c r="U1185" s="549"/>
      <c r="V1185" s="549"/>
      <c r="W1185" s="549"/>
      <c r="X1185" s="549"/>
      <c r="Y1185" s="549"/>
      <c r="Z1185" s="549"/>
      <c r="AA1185" s="549"/>
      <c r="AB1185" s="549"/>
      <c r="AC1185" s="549"/>
      <c r="AD1185" s="549"/>
      <c r="AE1185" s="549"/>
      <c r="AF1185" s="549"/>
      <c r="AG1185" s="549"/>
      <c r="AH1185" s="549"/>
      <c r="AI1185" s="549"/>
      <c r="AJ1185" s="549"/>
      <c r="AK1185" s="549"/>
      <c r="AL1185" s="549"/>
      <c r="AM1185" s="549"/>
      <c r="AN1185" s="549"/>
      <c r="AO1185" s="549"/>
      <c r="AP1185" s="549"/>
      <c r="AQ1185" s="549"/>
      <c r="AR1185" s="549"/>
      <c r="AS1185" s="549"/>
      <c r="AT1185" s="549"/>
      <c r="AU1185" s="549"/>
      <c r="AV1185" s="549"/>
      <c r="AW1185" s="549"/>
      <c r="AX1185" s="549"/>
      <c r="AY1185" s="549"/>
      <c r="AZ1185" s="549"/>
      <c r="BA1185" s="549"/>
      <c r="BB1185" s="549"/>
      <c r="BC1185" s="549"/>
      <c r="BD1185" s="549"/>
      <c r="BE1185" s="549"/>
      <c r="BF1185" s="549"/>
      <c r="BG1185" s="549"/>
      <c r="BH1185" s="549"/>
      <c r="BI1185" s="549"/>
    </row>
    <row r="1186" spans="16:61" s="254" customFormat="1" ht="9.9">
      <c r="P1186" s="549"/>
      <c r="Q1186" s="549"/>
      <c r="R1186" s="549"/>
      <c r="S1186" s="549"/>
      <c r="T1186" s="549"/>
      <c r="U1186" s="549"/>
      <c r="V1186" s="549"/>
      <c r="W1186" s="549"/>
      <c r="X1186" s="549"/>
      <c r="Y1186" s="549"/>
      <c r="Z1186" s="549"/>
      <c r="AA1186" s="549"/>
      <c r="AB1186" s="549"/>
      <c r="AC1186" s="549"/>
      <c r="AD1186" s="549"/>
      <c r="AE1186" s="549"/>
      <c r="AF1186" s="549"/>
      <c r="AG1186" s="549"/>
      <c r="AH1186" s="549"/>
      <c r="AI1186" s="549"/>
      <c r="AJ1186" s="549"/>
      <c r="AK1186" s="549"/>
      <c r="AL1186" s="549"/>
      <c r="AM1186" s="549"/>
      <c r="AN1186" s="549"/>
      <c r="AO1186" s="549"/>
      <c r="AP1186" s="549"/>
      <c r="AQ1186" s="549"/>
      <c r="AR1186" s="549"/>
      <c r="AS1186" s="549"/>
      <c r="AT1186" s="549"/>
      <c r="AU1186" s="549"/>
      <c r="AV1186" s="549"/>
      <c r="AW1186" s="549"/>
      <c r="AX1186" s="549"/>
      <c r="AY1186" s="549"/>
      <c r="AZ1186" s="549"/>
      <c r="BA1186" s="549"/>
      <c r="BB1186" s="549"/>
      <c r="BC1186" s="549"/>
      <c r="BD1186" s="549"/>
      <c r="BE1186" s="549"/>
      <c r="BF1186" s="549"/>
      <c r="BG1186" s="549"/>
      <c r="BH1186" s="549"/>
      <c r="BI1186" s="549"/>
    </row>
    <row r="1187" spans="16:61" s="254" customFormat="1" ht="9.9">
      <c r="P1187" s="549"/>
      <c r="Q1187" s="549"/>
      <c r="R1187" s="549"/>
      <c r="S1187" s="549"/>
      <c r="T1187" s="549"/>
      <c r="U1187" s="549"/>
      <c r="V1187" s="549"/>
      <c r="W1187" s="549"/>
      <c r="X1187" s="549"/>
      <c r="Y1187" s="549"/>
      <c r="Z1187" s="549"/>
      <c r="AA1187" s="549"/>
      <c r="AB1187" s="549"/>
      <c r="AC1187" s="549"/>
      <c r="AD1187" s="549"/>
      <c r="AE1187" s="549"/>
      <c r="AF1187" s="549"/>
      <c r="AG1187" s="549"/>
      <c r="AH1187" s="549"/>
      <c r="AI1187" s="549"/>
      <c r="AJ1187" s="549"/>
      <c r="AK1187" s="549"/>
      <c r="AL1187" s="549"/>
      <c r="AM1187" s="549"/>
      <c r="AN1187" s="549"/>
      <c r="AO1187" s="549"/>
      <c r="AP1187" s="549"/>
      <c r="AQ1187" s="549"/>
      <c r="AR1187" s="549"/>
      <c r="AS1187" s="549"/>
      <c r="AT1187" s="549"/>
      <c r="AU1187" s="549"/>
      <c r="AV1187" s="549"/>
      <c r="AW1187" s="549"/>
      <c r="AX1187" s="549"/>
      <c r="AY1187" s="549"/>
      <c r="AZ1187" s="549"/>
      <c r="BA1187" s="549"/>
      <c r="BB1187" s="549"/>
      <c r="BC1187" s="549"/>
      <c r="BD1187" s="549"/>
      <c r="BE1187" s="549"/>
      <c r="BF1187" s="549"/>
      <c r="BG1187" s="549"/>
      <c r="BH1187" s="549"/>
      <c r="BI1187" s="549"/>
    </row>
    <row r="1188" spans="16:61" s="254" customFormat="1" ht="9.9">
      <c r="P1188" s="549"/>
      <c r="Q1188" s="549"/>
      <c r="R1188" s="549"/>
      <c r="S1188" s="549"/>
      <c r="T1188" s="549"/>
      <c r="U1188" s="549"/>
      <c r="V1188" s="549"/>
      <c r="W1188" s="549"/>
      <c r="X1188" s="549"/>
      <c r="Y1188" s="549"/>
      <c r="Z1188" s="549"/>
      <c r="AA1188" s="549"/>
      <c r="AB1188" s="549"/>
      <c r="AC1188" s="549"/>
      <c r="AD1188" s="549"/>
      <c r="AE1188" s="549"/>
      <c r="AF1188" s="549"/>
      <c r="AG1188" s="549"/>
      <c r="AH1188" s="549"/>
      <c r="AI1188" s="549"/>
      <c r="AJ1188" s="549"/>
      <c r="AK1188" s="549"/>
      <c r="AL1188" s="549"/>
      <c r="AM1188" s="549"/>
      <c r="AN1188" s="549"/>
      <c r="AO1188" s="549"/>
      <c r="AP1188" s="549"/>
      <c r="AQ1188" s="549"/>
      <c r="AR1188" s="549"/>
      <c r="AS1188" s="549"/>
      <c r="AT1188" s="549"/>
      <c r="AU1188" s="549"/>
      <c r="AV1188" s="549"/>
      <c r="AW1188" s="549"/>
      <c r="AX1188" s="549"/>
      <c r="AY1188" s="549"/>
      <c r="AZ1188" s="549"/>
      <c r="BA1188" s="549"/>
      <c r="BB1188" s="549"/>
      <c r="BC1188" s="549"/>
      <c r="BD1188" s="549"/>
      <c r="BE1188" s="549"/>
      <c r="BF1188" s="549"/>
      <c r="BG1188" s="549"/>
      <c r="BH1188" s="549"/>
      <c r="BI1188" s="549"/>
    </row>
    <row r="1189" spans="16:61" s="254" customFormat="1" ht="9.9">
      <c r="P1189" s="549"/>
      <c r="Q1189" s="549"/>
      <c r="R1189" s="549"/>
      <c r="S1189" s="549"/>
      <c r="T1189" s="549"/>
      <c r="U1189" s="549"/>
      <c r="V1189" s="549"/>
      <c r="W1189" s="549"/>
      <c r="X1189" s="549"/>
      <c r="Y1189" s="549"/>
      <c r="Z1189" s="549"/>
      <c r="AA1189" s="549"/>
      <c r="AB1189" s="549"/>
      <c r="AC1189" s="549"/>
      <c r="AD1189" s="549"/>
      <c r="AE1189" s="549"/>
      <c r="AF1189" s="549"/>
      <c r="AG1189" s="549"/>
      <c r="AH1189" s="549"/>
      <c r="AI1189" s="549"/>
      <c r="AJ1189" s="549"/>
      <c r="AK1189" s="549"/>
      <c r="AL1189" s="549"/>
      <c r="AM1189" s="549"/>
      <c r="AN1189" s="549"/>
      <c r="AO1189" s="549"/>
      <c r="AP1189" s="549"/>
      <c r="AQ1189" s="549"/>
      <c r="AR1189" s="549"/>
      <c r="AS1189" s="549"/>
      <c r="AT1189" s="549"/>
      <c r="AU1189" s="549"/>
      <c r="AV1189" s="549"/>
      <c r="AW1189" s="549"/>
      <c r="AX1189" s="549"/>
      <c r="AY1189" s="549"/>
      <c r="AZ1189" s="549"/>
      <c r="BA1189" s="549"/>
      <c r="BB1189" s="549"/>
      <c r="BC1189" s="549"/>
      <c r="BD1189" s="549"/>
      <c r="BE1189" s="549"/>
      <c r="BF1189" s="549"/>
      <c r="BG1189" s="549"/>
      <c r="BH1189" s="549"/>
      <c r="BI1189" s="549"/>
    </row>
    <row r="1190" spans="16:61" s="254" customFormat="1" ht="9.9">
      <c r="P1190" s="549"/>
      <c r="Q1190" s="549"/>
      <c r="R1190" s="549"/>
      <c r="S1190" s="549"/>
      <c r="T1190" s="549"/>
      <c r="U1190" s="549"/>
      <c r="V1190" s="549"/>
      <c r="W1190" s="549"/>
      <c r="X1190" s="549"/>
      <c r="Y1190" s="549"/>
      <c r="Z1190" s="549"/>
      <c r="AA1190" s="549"/>
      <c r="AB1190" s="549"/>
      <c r="AC1190" s="549"/>
      <c r="AD1190" s="549"/>
      <c r="AE1190" s="549"/>
      <c r="AF1190" s="549"/>
      <c r="AG1190" s="549"/>
      <c r="AH1190" s="549"/>
      <c r="AI1190" s="549"/>
      <c r="AJ1190" s="549"/>
      <c r="AK1190" s="549"/>
      <c r="AL1190" s="549"/>
      <c r="AM1190" s="549"/>
      <c r="AN1190" s="549"/>
      <c r="AO1190" s="549"/>
      <c r="AP1190" s="549"/>
      <c r="AQ1190" s="549"/>
      <c r="AR1190" s="549"/>
      <c r="AS1190" s="549"/>
      <c r="AT1190" s="549"/>
      <c r="AU1190" s="549"/>
      <c r="AV1190" s="549"/>
      <c r="AW1190" s="549"/>
      <c r="AX1190" s="549"/>
      <c r="AY1190" s="549"/>
      <c r="AZ1190" s="549"/>
      <c r="BA1190" s="549"/>
      <c r="BB1190" s="549"/>
      <c r="BC1190" s="549"/>
      <c r="BD1190" s="549"/>
      <c r="BE1190" s="549"/>
      <c r="BF1190" s="549"/>
      <c r="BG1190" s="549"/>
      <c r="BH1190" s="549"/>
      <c r="BI1190" s="549"/>
    </row>
    <row r="1191" spans="16:61" s="254" customFormat="1" ht="9.9">
      <c r="P1191" s="549"/>
      <c r="Q1191" s="549"/>
      <c r="R1191" s="549"/>
      <c r="S1191" s="549"/>
      <c r="T1191" s="549"/>
      <c r="U1191" s="549"/>
      <c r="V1191" s="549"/>
      <c r="W1191" s="549"/>
      <c r="X1191" s="549"/>
      <c r="Y1191" s="549"/>
      <c r="Z1191" s="549"/>
      <c r="AA1191" s="549"/>
      <c r="AB1191" s="549"/>
      <c r="AC1191" s="549"/>
      <c r="AD1191" s="549"/>
      <c r="AE1191" s="549"/>
      <c r="AF1191" s="549"/>
      <c r="AG1191" s="549"/>
      <c r="AH1191" s="549"/>
      <c r="AI1191" s="549"/>
      <c r="AJ1191" s="549"/>
      <c r="AK1191" s="549"/>
      <c r="AL1191" s="549"/>
      <c r="AM1191" s="549"/>
      <c r="AN1191" s="549"/>
      <c r="AO1191" s="549"/>
      <c r="AP1191" s="549"/>
      <c r="AQ1191" s="549"/>
      <c r="AR1191" s="549"/>
      <c r="AS1191" s="549"/>
      <c r="AT1191" s="549"/>
      <c r="AU1191" s="549"/>
      <c r="AV1191" s="549"/>
      <c r="AW1191" s="549"/>
      <c r="AX1191" s="549"/>
      <c r="AY1191" s="549"/>
      <c r="AZ1191" s="549"/>
      <c r="BA1191" s="549"/>
      <c r="BB1191" s="549"/>
      <c r="BC1191" s="549"/>
      <c r="BD1191" s="549"/>
      <c r="BE1191" s="549"/>
      <c r="BF1191" s="549"/>
      <c r="BG1191" s="549"/>
      <c r="BH1191" s="549"/>
      <c r="BI1191" s="549"/>
    </row>
    <row r="1192" spans="16:61" s="254" customFormat="1" ht="9.9">
      <c r="P1192" s="549"/>
      <c r="Q1192" s="549"/>
      <c r="R1192" s="549"/>
      <c r="S1192" s="549"/>
      <c r="T1192" s="549"/>
      <c r="U1192" s="549"/>
      <c r="V1192" s="549"/>
      <c r="W1192" s="549"/>
      <c r="X1192" s="549"/>
      <c r="Y1192" s="549"/>
      <c r="Z1192" s="549"/>
      <c r="AA1192" s="549"/>
      <c r="AB1192" s="549"/>
      <c r="AC1192" s="549"/>
      <c r="AD1192" s="549"/>
      <c r="AE1192" s="549"/>
      <c r="AF1192" s="549"/>
      <c r="AG1192" s="549"/>
      <c r="AH1192" s="549"/>
      <c r="AI1192" s="549"/>
      <c r="AJ1192" s="549"/>
      <c r="AK1192" s="549"/>
      <c r="AL1192" s="549"/>
      <c r="AM1192" s="549"/>
      <c r="AN1192" s="549"/>
      <c r="AO1192" s="549"/>
      <c r="AP1192" s="549"/>
      <c r="AQ1192" s="549"/>
      <c r="AR1192" s="549"/>
      <c r="AS1192" s="549"/>
      <c r="AT1192" s="549"/>
      <c r="AU1192" s="549"/>
      <c r="AV1192" s="549"/>
      <c r="AW1192" s="549"/>
      <c r="AX1192" s="549"/>
      <c r="AY1192" s="549"/>
      <c r="AZ1192" s="549"/>
      <c r="BA1192" s="549"/>
      <c r="BB1192" s="549"/>
      <c r="BC1192" s="549"/>
      <c r="BD1192" s="549"/>
      <c r="BE1192" s="549"/>
      <c r="BF1192" s="549"/>
      <c r="BG1192" s="549"/>
      <c r="BH1192" s="549"/>
      <c r="BI1192" s="549"/>
    </row>
    <row r="1193" spans="16:61" s="254" customFormat="1" ht="9.9">
      <c r="P1193" s="549"/>
      <c r="Q1193" s="549"/>
      <c r="R1193" s="549"/>
      <c r="S1193" s="549"/>
      <c r="T1193" s="549"/>
      <c r="U1193" s="549"/>
      <c r="V1193" s="549"/>
      <c r="W1193" s="549"/>
      <c r="X1193" s="549"/>
      <c r="Y1193" s="549"/>
      <c r="Z1193" s="549"/>
      <c r="AA1193" s="549"/>
      <c r="AB1193" s="549"/>
      <c r="AC1193" s="549"/>
      <c r="AD1193" s="549"/>
      <c r="AE1193" s="549"/>
      <c r="AF1193" s="549"/>
      <c r="AG1193" s="549"/>
      <c r="AH1193" s="549"/>
      <c r="AI1193" s="549"/>
      <c r="AJ1193" s="549"/>
      <c r="AK1193" s="549"/>
      <c r="AL1193" s="549"/>
      <c r="AM1193" s="549"/>
      <c r="AN1193" s="549"/>
      <c r="AO1193" s="549"/>
      <c r="AP1193" s="549"/>
      <c r="AQ1193" s="549"/>
      <c r="AR1193" s="549"/>
      <c r="AS1193" s="549"/>
      <c r="AT1193" s="549"/>
      <c r="AU1193" s="549"/>
      <c r="AV1193" s="549"/>
      <c r="AW1193" s="549"/>
      <c r="AX1193" s="549"/>
      <c r="AY1193" s="549"/>
      <c r="AZ1193" s="549"/>
      <c r="BA1193" s="549"/>
      <c r="BB1193" s="549"/>
      <c r="BC1193" s="549"/>
      <c r="BD1193" s="549"/>
      <c r="BE1193" s="549"/>
      <c r="BF1193" s="549"/>
      <c r="BG1193" s="549"/>
      <c r="BH1193" s="549"/>
      <c r="BI1193" s="549"/>
    </row>
    <row r="1194" spans="16:61" s="254" customFormat="1" ht="9.9">
      <c r="P1194" s="549"/>
      <c r="Q1194" s="549"/>
      <c r="R1194" s="549"/>
      <c r="S1194" s="549"/>
      <c r="T1194" s="549"/>
      <c r="U1194" s="549"/>
      <c r="V1194" s="549"/>
      <c r="W1194" s="549"/>
      <c r="X1194" s="549"/>
      <c r="Y1194" s="549"/>
      <c r="Z1194" s="549"/>
      <c r="AA1194" s="549"/>
      <c r="AB1194" s="549"/>
      <c r="AC1194" s="549"/>
      <c r="AD1194" s="549"/>
      <c r="AE1194" s="549"/>
      <c r="AF1194" s="549"/>
      <c r="AG1194" s="549"/>
      <c r="AH1194" s="549"/>
      <c r="AI1194" s="549"/>
      <c r="AJ1194" s="549"/>
      <c r="AK1194" s="549"/>
      <c r="AL1194" s="549"/>
      <c r="AM1194" s="549"/>
      <c r="AN1194" s="549"/>
      <c r="AO1194" s="549"/>
      <c r="AP1194" s="549"/>
      <c r="AQ1194" s="549"/>
      <c r="AR1194" s="549"/>
      <c r="AS1194" s="549"/>
      <c r="AT1194" s="549"/>
      <c r="AU1194" s="549"/>
      <c r="AV1194" s="549"/>
      <c r="AW1194" s="549"/>
      <c r="AX1194" s="549"/>
      <c r="AY1194" s="549"/>
      <c r="AZ1194" s="549"/>
      <c r="BA1194" s="549"/>
      <c r="BB1194" s="549"/>
      <c r="BC1194" s="549"/>
      <c r="BD1194" s="549"/>
      <c r="BE1194" s="549"/>
      <c r="BF1194" s="549"/>
      <c r="BG1194" s="549"/>
      <c r="BH1194" s="549"/>
      <c r="BI1194" s="549"/>
    </row>
    <row r="1195" spans="16:61" s="254" customFormat="1" ht="9.9">
      <c r="P1195" s="549"/>
      <c r="Q1195" s="549"/>
      <c r="R1195" s="549"/>
      <c r="S1195" s="549"/>
      <c r="T1195" s="549"/>
      <c r="U1195" s="549"/>
      <c r="V1195" s="549"/>
      <c r="W1195" s="549"/>
      <c r="X1195" s="549"/>
      <c r="Y1195" s="549"/>
      <c r="Z1195" s="549"/>
      <c r="AA1195" s="549"/>
      <c r="AB1195" s="549"/>
      <c r="AC1195" s="549"/>
      <c r="AD1195" s="549"/>
      <c r="AE1195" s="549"/>
      <c r="AF1195" s="549"/>
      <c r="AG1195" s="549"/>
      <c r="AH1195" s="549"/>
      <c r="AI1195" s="549"/>
      <c r="AJ1195" s="549"/>
      <c r="AK1195" s="549"/>
      <c r="AL1195" s="549"/>
      <c r="AM1195" s="549"/>
      <c r="AN1195" s="549"/>
      <c r="AO1195" s="549"/>
      <c r="AP1195" s="549"/>
      <c r="AQ1195" s="549"/>
      <c r="AR1195" s="549"/>
      <c r="AS1195" s="549"/>
      <c r="AT1195" s="549"/>
      <c r="AU1195" s="549"/>
      <c r="AV1195" s="549"/>
      <c r="AW1195" s="549"/>
      <c r="AX1195" s="549"/>
      <c r="AY1195" s="549"/>
      <c r="AZ1195" s="549"/>
      <c r="BA1195" s="549"/>
      <c r="BB1195" s="549"/>
      <c r="BC1195" s="549"/>
      <c r="BD1195" s="549"/>
      <c r="BE1195" s="549"/>
      <c r="BF1195" s="549"/>
      <c r="BG1195" s="549"/>
      <c r="BH1195" s="549"/>
      <c r="BI1195" s="549"/>
    </row>
    <row r="1196" spans="16:61" s="254" customFormat="1" ht="9.9">
      <c r="P1196" s="549"/>
      <c r="Q1196" s="549"/>
      <c r="R1196" s="549"/>
      <c r="S1196" s="549"/>
      <c r="T1196" s="549"/>
      <c r="U1196" s="549"/>
      <c r="V1196" s="549"/>
      <c r="W1196" s="549"/>
      <c r="X1196" s="549"/>
      <c r="Y1196" s="549"/>
      <c r="Z1196" s="549"/>
      <c r="AA1196" s="549"/>
      <c r="AB1196" s="549"/>
      <c r="AC1196" s="549"/>
      <c r="AD1196" s="549"/>
      <c r="AE1196" s="549"/>
      <c r="AF1196" s="549"/>
      <c r="AG1196" s="549"/>
      <c r="AH1196" s="549"/>
      <c r="AI1196" s="549"/>
      <c r="AJ1196" s="549"/>
      <c r="AK1196" s="549"/>
      <c r="AL1196" s="549"/>
      <c r="AM1196" s="549"/>
      <c r="AN1196" s="549"/>
      <c r="AO1196" s="549"/>
      <c r="AP1196" s="549"/>
      <c r="AQ1196" s="549"/>
      <c r="AR1196" s="549"/>
      <c r="AS1196" s="549"/>
      <c r="AT1196" s="549"/>
      <c r="AU1196" s="549"/>
      <c r="AV1196" s="549"/>
      <c r="AW1196" s="549"/>
      <c r="AX1196" s="549"/>
      <c r="AY1196" s="549"/>
      <c r="AZ1196" s="549"/>
      <c r="BA1196" s="549"/>
      <c r="BB1196" s="549"/>
      <c r="BC1196" s="549"/>
      <c r="BD1196" s="549"/>
      <c r="BE1196" s="549"/>
      <c r="BF1196" s="549"/>
      <c r="BG1196" s="549"/>
      <c r="BH1196" s="549"/>
      <c r="BI1196" s="549"/>
    </row>
    <row r="1197" spans="16:61" s="254" customFormat="1" ht="9.9">
      <c r="P1197" s="549"/>
      <c r="Q1197" s="549"/>
      <c r="R1197" s="549"/>
      <c r="S1197" s="549"/>
      <c r="T1197" s="549"/>
      <c r="U1197" s="549"/>
      <c r="V1197" s="549"/>
      <c r="W1197" s="549"/>
      <c r="X1197" s="549"/>
      <c r="Y1197" s="549"/>
      <c r="Z1197" s="549"/>
      <c r="AA1197" s="549"/>
      <c r="AB1197" s="549"/>
      <c r="AC1197" s="549"/>
      <c r="AD1197" s="549"/>
      <c r="AE1197" s="549"/>
      <c r="AF1197" s="549"/>
      <c r="AG1197" s="549"/>
      <c r="AH1197" s="549"/>
      <c r="AI1197" s="549"/>
      <c r="AJ1197" s="549"/>
      <c r="AK1197" s="549"/>
      <c r="AL1197" s="549"/>
      <c r="AM1197" s="549"/>
      <c r="AN1197" s="549"/>
      <c r="AO1197" s="549"/>
      <c r="AP1197" s="549"/>
      <c r="AQ1197" s="549"/>
      <c r="AR1197" s="549"/>
      <c r="AS1197" s="549"/>
      <c r="AT1197" s="549"/>
      <c r="AU1197" s="549"/>
      <c r="AV1197" s="549"/>
      <c r="AW1197" s="549"/>
      <c r="AX1197" s="549"/>
      <c r="AY1197" s="549"/>
      <c r="AZ1197" s="549"/>
      <c r="BA1197" s="549"/>
      <c r="BB1197" s="549"/>
      <c r="BC1197" s="549"/>
      <c r="BD1197" s="549"/>
      <c r="BE1197" s="549"/>
      <c r="BF1197" s="549"/>
      <c r="BG1197" s="549"/>
      <c r="BH1197" s="549"/>
      <c r="BI1197" s="549"/>
    </row>
    <row r="1198" spans="16:61" s="254" customFormat="1" ht="9.9">
      <c r="P1198" s="549"/>
      <c r="Q1198" s="549"/>
      <c r="R1198" s="549"/>
      <c r="S1198" s="549"/>
      <c r="T1198" s="549"/>
      <c r="U1198" s="549"/>
      <c r="V1198" s="549"/>
      <c r="W1198" s="549"/>
      <c r="X1198" s="549"/>
      <c r="Y1198" s="549"/>
      <c r="Z1198" s="549"/>
      <c r="AA1198" s="549"/>
      <c r="AB1198" s="549"/>
      <c r="AC1198" s="549"/>
      <c r="AD1198" s="549"/>
      <c r="AE1198" s="549"/>
      <c r="AF1198" s="549"/>
      <c r="AG1198" s="549"/>
      <c r="AH1198" s="549"/>
      <c r="AI1198" s="549"/>
      <c r="AJ1198" s="549"/>
      <c r="AK1198" s="549"/>
      <c r="AL1198" s="549"/>
      <c r="AM1198" s="549"/>
      <c r="AN1198" s="549"/>
      <c r="AO1198" s="549"/>
      <c r="AP1198" s="549"/>
      <c r="AQ1198" s="549"/>
      <c r="AR1198" s="549"/>
      <c r="AS1198" s="549"/>
      <c r="AT1198" s="549"/>
      <c r="AU1198" s="549"/>
      <c r="AV1198" s="549"/>
      <c r="AW1198" s="549"/>
      <c r="AX1198" s="549"/>
      <c r="AY1198" s="549"/>
      <c r="AZ1198" s="549"/>
      <c r="BA1198" s="549"/>
      <c r="BB1198" s="549"/>
      <c r="BC1198" s="549"/>
      <c r="BD1198" s="549"/>
      <c r="BE1198" s="549"/>
      <c r="BF1198" s="549"/>
      <c r="BG1198" s="549"/>
      <c r="BH1198" s="549"/>
      <c r="BI1198" s="549"/>
    </row>
    <row r="1199" spans="16:61" s="254" customFormat="1" ht="9.9">
      <c r="P1199" s="549"/>
      <c r="Q1199" s="549"/>
      <c r="R1199" s="549"/>
      <c r="S1199" s="549"/>
      <c r="T1199" s="549"/>
      <c r="U1199" s="549"/>
      <c r="V1199" s="549"/>
      <c r="W1199" s="549"/>
      <c r="X1199" s="549"/>
      <c r="Y1199" s="549"/>
      <c r="Z1199" s="549"/>
      <c r="AA1199" s="549"/>
      <c r="AB1199" s="549"/>
      <c r="AC1199" s="549"/>
      <c r="AD1199" s="549"/>
      <c r="AE1199" s="549"/>
      <c r="AF1199" s="549"/>
      <c r="AG1199" s="549"/>
      <c r="AH1199" s="549"/>
      <c r="AI1199" s="549"/>
      <c r="AJ1199" s="549"/>
      <c r="AK1199" s="549"/>
      <c r="AL1199" s="549"/>
      <c r="AM1199" s="549"/>
      <c r="AN1199" s="549"/>
      <c r="AO1199" s="549"/>
      <c r="AP1199" s="549"/>
      <c r="AQ1199" s="549"/>
      <c r="AR1199" s="549"/>
      <c r="AS1199" s="549"/>
      <c r="AT1199" s="549"/>
      <c r="AU1199" s="549"/>
      <c r="AV1199" s="549"/>
      <c r="AW1199" s="549"/>
      <c r="AX1199" s="549"/>
      <c r="AY1199" s="549"/>
      <c r="AZ1199" s="549"/>
      <c r="BA1199" s="549"/>
      <c r="BB1199" s="549"/>
      <c r="BC1199" s="549"/>
      <c r="BD1199" s="549"/>
      <c r="BE1199" s="549"/>
      <c r="BF1199" s="549"/>
      <c r="BG1199" s="549"/>
      <c r="BH1199" s="549"/>
      <c r="BI1199" s="549"/>
    </row>
    <row r="1200" spans="16:61" s="254" customFormat="1" ht="9.9">
      <c r="P1200" s="549"/>
      <c r="Q1200" s="549"/>
      <c r="R1200" s="549"/>
      <c r="S1200" s="549"/>
      <c r="T1200" s="549"/>
      <c r="U1200" s="549"/>
      <c r="V1200" s="549"/>
      <c r="W1200" s="549"/>
      <c r="X1200" s="549"/>
      <c r="Y1200" s="549"/>
      <c r="Z1200" s="549"/>
      <c r="AA1200" s="549"/>
      <c r="AB1200" s="549"/>
      <c r="AC1200" s="549"/>
      <c r="AD1200" s="549"/>
      <c r="AE1200" s="549"/>
      <c r="AF1200" s="549"/>
      <c r="AG1200" s="549"/>
      <c r="AH1200" s="549"/>
      <c r="AI1200" s="549"/>
      <c r="AJ1200" s="549"/>
      <c r="AK1200" s="549"/>
      <c r="AL1200" s="549"/>
      <c r="AM1200" s="549"/>
      <c r="AN1200" s="549"/>
      <c r="AO1200" s="549"/>
      <c r="AP1200" s="549"/>
      <c r="AQ1200" s="549"/>
      <c r="AR1200" s="549"/>
      <c r="AS1200" s="549"/>
      <c r="AT1200" s="549"/>
      <c r="AU1200" s="549"/>
      <c r="AV1200" s="549"/>
      <c r="AW1200" s="549"/>
      <c r="AX1200" s="549"/>
      <c r="AY1200" s="549"/>
      <c r="AZ1200" s="549"/>
      <c r="BA1200" s="549"/>
      <c r="BB1200" s="549"/>
      <c r="BC1200" s="549"/>
      <c r="BD1200" s="549"/>
      <c r="BE1200" s="549"/>
      <c r="BF1200" s="549"/>
      <c r="BG1200" s="549"/>
      <c r="BH1200" s="549"/>
      <c r="BI1200" s="549"/>
    </row>
    <row r="1201" spans="16:61" s="254" customFormat="1" ht="9.9">
      <c r="P1201" s="549"/>
      <c r="Q1201" s="549"/>
      <c r="R1201" s="549"/>
      <c r="S1201" s="549"/>
      <c r="T1201" s="549"/>
      <c r="U1201" s="549"/>
      <c r="V1201" s="549"/>
      <c r="W1201" s="549"/>
      <c r="X1201" s="549"/>
      <c r="Y1201" s="549"/>
      <c r="Z1201" s="549"/>
      <c r="AA1201" s="549"/>
      <c r="AB1201" s="549"/>
      <c r="AC1201" s="549"/>
      <c r="AD1201" s="549"/>
      <c r="AE1201" s="549"/>
      <c r="AF1201" s="549"/>
      <c r="AG1201" s="549"/>
      <c r="AH1201" s="549"/>
      <c r="AI1201" s="549"/>
      <c r="AJ1201" s="549"/>
      <c r="AK1201" s="549"/>
      <c r="AL1201" s="549"/>
      <c r="AM1201" s="549"/>
      <c r="AN1201" s="549"/>
      <c r="AO1201" s="549"/>
      <c r="AP1201" s="549"/>
      <c r="AQ1201" s="549"/>
      <c r="AR1201" s="549"/>
      <c r="AS1201" s="549"/>
      <c r="AT1201" s="549"/>
      <c r="AU1201" s="549"/>
      <c r="AV1201" s="549"/>
      <c r="AW1201" s="549"/>
      <c r="AX1201" s="549"/>
      <c r="AY1201" s="549"/>
      <c r="AZ1201" s="549"/>
      <c r="BA1201" s="549"/>
      <c r="BB1201" s="549"/>
      <c r="BC1201" s="549"/>
      <c r="BD1201" s="549"/>
      <c r="BE1201" s="549"/>
      <c r="BF1201" s="549"/>
      <c r="BG1201" s="549"/>
      <c r="BH1201" s="549"/>
      <c r="BI1201" s="549"/>
    </row>
    <row r="1202" spans="16:61" s="254" customFormat="1" ht="9.9">
      <c r="P1202" s="549"/>
      <c r="Q1202" s="549"/>
      <c r="R1202" s="549"/>
      <c r="S1202" s="549"/>
      <c r="T1202" s="549"/>
      <c r="U1202" s="549"/>
      <c r="V1202" s="549"/>
      <c r="W1202" s="549"/>
      <c r="X1202" s="549"/>
      <c r="Y1202" s="549"/>
      <c r="Z1202" s="549"/>
      <c r="AA1202" s="549"/>
      <c r="AB1202" s="549"/>
      <c r="AC1202" s="549"/>
      <c r="AD1202" s="549"/>
      <c r="AE1202" s="549"/>
      <c r="AF1202" s="549"/>
      <c r="AG1202" s="549"/>
      <c r="AH1202" s="549"/>
      <c r="AI1202" s="549"/>
      <c r="AJ1202" s="549"/>
      <c r="AK1202" s="549"/>
      <c r="AL1202" s="549"/>
      <c r="AM1202" s="549"/>
      <c r="AN1202" s="549"/>
      <c r="AO1202" s="549"/>
      <c r="AP1202" s="549"/>
      <c r="AQ1202" s="549"/>
      <c r="AR1202" s="549"/>
      <c r="AS1202" s="549"/>
      <c r="AT1202" s="549"/>
      <c r="AU1202" s="549"/>
      <c r="AV1202" s="549"/>
      <c r="AW1202" s="549"/>
      <c r="AX1202" s="549"/>
      <c r="AY1202" s="549"/>
      <c r="AZ1202" s="549"/>
      <c r="BA1202" s="549"/>
      <c r="BB1202" s="549"/>
      <c r="BC1202" s="549"/>
      <c r="BD1202" s="549"/>
      <c r="BE1202" s="549"/>
      <c r="BF1202" s="549"/>
      <c r="BG1202" s="549"/>
      <c r="BH1202" s="549"/>
      <c r="BI1202" s="549"/>
    </row>
    <row r="1203" spans="16:61" s="254" customFormat="1" ht="9.9">
      <c r="P1203" s="549"/>
      <c r="Q1203" s="549"/>
      <c r="R1203" s="549"/>
      <c r="S1203" s="549"/>
      <c r="T1203" s="549"/>
      <c r="U1203" s="549"/>
      <c r="V1203" s="549"/>
      <c r="W1203" s="549"/>
      <c r="X1203" s="549"/>
      <c r="Y1203" s="549"/>
      <c r="Z1203" s="549"/>
      <c r="AA1203" s="549"/>
      <c r="AB1203" s="549"/>
      <c r="AC1203" s="549"/>
      <c r="AD1203" s="549"/>
      <c r="AE1203" s="549"/>
      <c r="AF1203" s="549"/>
      <c r="AG1203" s="549"/>
      <c r="AH1203" s="549"/>
      <c r="AI1203" s="549"/>
      <c r="AJ1203" s="549"/>
      <c r="AK1203" s="549"/>
      <c r="AL1203" s="549"/>
      <c r="AM1203" s="549"/>
      <c r="AN1203" s="549"/>
      <c r="AO1203" s="549"/>
      <c r="AP1203" s="549"/>
      <c r="AQ1203" s="549"/>
      <c r="AR1203" s="549"/>
      <c r="AS1203" s="549"/>
      <c r="AT1203" s="549"/>
      <c r="AU1203" s="549"/>
      <c r="AV1203" s="549"/>
      <c r="AW1203" s="549"/>
      <c r="AX1203" s="549"/>
      <c r="AY1203" s="549"/>
      <c r="AZ1203" s="549"/>
      <c r="BA1203" s="549"/>
      <c r="BB1203" s="549"/>
      <c r="BC1203" s="549"/>
      <c r="BD1203" s="549"/>
      <c r="BE1203" s="549"/>
      <c r="BF1203" s="549"/>
      <c r="BG1203" s="549"/>
      <c r="BH1203" s="549"/>
      <c r="BI1203" s="549"/>
    </row>
    <row r="1204" spans="16:61" s="254" customFormat="1" ht="9.9">
      <c r="P1204" s="549"/>
      <c r="Q1204" s="549"/>
      <c r="R1204" s="549"/>
      <c r="S1204" s="549"/>
      <c r="T1204" s="549"/>
      <c r="U1204" s="549"/>
      <c r="V1204" s="549"/>
      <c r="W1204" s="549"/>
      <c r="X1204" s="549"/>
      <c r="Y1204" s="549"/>
      <c r="Z1204" s="549"/>
      <c r="AA1204" s="549"/>
      <c r="AB1204" s="549"/>
      <c r="AC1204" s="549"/>
      <c r="AD1204" s="549"/>
      <c r="AE1204" s="549"/>
      <c r="AF1204" s="549"/>
      <c r="AG1204" s="549"/>
      <c r="AH1204" s="549"/>
      <c r="AI1204" s="549"/>
      <c r="AJ1204" s="549"/>
      <c r="AK1204" s="549"/>
      <c r="AL1204" s="549"/>
      <c r="AM1204" s="549"/>
      <c r="AN1204" s="549"/>
      <c r="AO1204" s="549"/>
      <c r="AP1204" s="549"/>
      <c r="AQ1204" s="549"/>
      <c r="AR1204" s="549"/>
      <c r="AS1204" s="549"/>
      <c r="AT1204" s="549"/>
      <c r="AU1204" s="549"/>
      <c r="AV1204" s="549"/>
      <c r="AW1204" s="549"/>
      <c r="AX1204" s="549"/>
      <c r="AY1204" s="549"/>
      <c r="AZ1204" s="549"/>
      <c r="BA1204" s="549"/>
      <c r="BB1204" s="549"/>
      <c r="BC1204" s="549"/>
      <c r="BD1204" s="549"/>
      <c r="BE1204" s="549"/>
      <c r="BF1204" s="549"/>
      <c r="BG1204" s="549"/>
      <c r="BH1204" s="549"/>
      <c r="BI1204" s="549"/>
    </row>
    <row r="1205" spans="16:61" s="254" customFormat="1" ht="9.9">
      <c r="P1205" s="549"/>
      <c r="Q1205" s="549"/>
      <c r="R1205" s="549"/>
      <c r="S1205" s="549"/>
      <c r="T1205" s="549"/>
      <c r="U1205" s="549"/>
      <c r="V1205" s="549"/>
      <c r="W1205" s="549"/>
      <c r="X1205" s="549"/>
      <c r="Y1205" s="549"/>
      <c r="Z1205" s="549"/>
      <c r="AA1205" s="549"/>
      <c r="AB1205" s="549"/>
      <c r="AC1205" s="549"/>
      <c r="AD1205" s="549"/>
      <c r="AE1205" s="549"/>
      <c r="AF1205" s="549"/>
      <c r="AG1205" s="549"/>
      <c r="AH1205" s="549"/>
      <c r="AI1205" s="549"/>
      <c r="AJ1205" s="549"/>
      <c r="AK1205" s="549"/>
      <c r="AL1205" s="549"/>
      <c r="AM1205" s="549"/>
      <c r="AN1205" s="549"/>
      <c r="AO1205" s="549"/>
      <c r="AP1205" s="549"/>
      <c r="AQ1205" s="549"/>
      <c r="AR1205" s="549"/>
      <c r="AS1205" s="549"/>
      <c r="AT1205" s="549"/>
      <c r="AU1205" s="549"/>
      <c r="AV1205" s="549"/>
      <c r="AW1205" s="549"/>
      <c r="AX1205" s="549"/>
      <c r="AY1205" s="549"/>
      <c r="AZ1205" s="549"/>
      <c r="BA1205" s="549"/>
      <c r="BB1205" s="549"/>
      <c r="BC1205" s="549"/>
      <c r="BD1205" s="549"/>
      <c r="BE1205" s="549"/>
      <c r="BF1205" s="549"/>
      <c r="BG1205" s="549"/>
      <c r="BH1205" s="549"/>
      <c r="BI1205" s="549"/>
    </row>
    <row r="1206" spans="16:61" s="254" customFormat="1" ht="9.9">
      <c r="P1206" s="549"/>
      <c r="Q1206" s="549"/>
      <c r="R1206" s="549"/>
      <c r="S1206" s="549"/>
      <c r="T1206" s="549"/>
      <c r="U1206" s="549"/>
      <c r="V1206" s="549"/>
      <c r="W1206" s="549"/>
      <c r="X1206" s="549"/>
      <c r="Y1206" s="549"/>
      <c r="Z1206" s="549"/>
      <c r="AA1206" s="549"/>
      <c r="AB1206" s="549"/>
      <c r="AC1206" s="549"/>
      <c r="AD1206" s="549"/>
      <c r="AE1206" s="549"/>
      <c r="AF1206" s="549"/>
      <c r="AG1206" s="549"/>
      <c r="AH1206" s="549"/>
      <c r="AI1206" s="549"/>
      <c r="AJ1206" s="549"/>
      <c r="AK1206" s="549"/>
      <c r="AL1206" s="549"/>
      <c r="AM1206" s="549"/>
      <c r="AN1206" s="549"/>
      <c r="AO1206" s="549"/>
      <c r="AP1206" s="549"/>
      <c r="AQ1206" s="549"/>
      <c r="AR1206" s="549"/>
      <c r="AS1206" s="549"/>
      <c r="AT1206" s="549"/>
      <c r="AU1206" s="549"/>
      <c r="AV1206" s="549"/>
      <c r="AW1206" s="549"/>
      <c r="AX1206" s="549"/>
      <c r="AY1206" s="549"/>
      <c r="AZ1206" s="549"/>
      <c r="BA1206" s="549"/>
      <c r="BB1206" s="549"/>
      <c r="BC1206" s="549"/>
      <c r="BD1206" s="549"/>
      <c r="BE1206" s="549"/>
      <c r="BF1206" s="549"/>
      <c r="BG1206" s="549"/>
      <c r="BH1206" s="549"/>
      <c r="BI1206" s="549"/>
    </row>
    <row r="1207" spans="16:61" s="254" customFormat="1" ht="9.9">
      <c r="P1207" s="549"/>
      <c r="Q1207" s="549"/>
      <c r="R1207" s="549"/>
      <c r="S1207" s="549"/>
      <c r="T1207" s="549"/>
      <c r="U1207" s="549"/>
      <c r="V1207" s="549"/>
      <c r="W1207" s="549"/>
      <c r="X1207" s="549"/>
      <c r="Y1207" s="549"/>
      <c r="Z1207" s="549"/>
      <c r="AA1207" s="549"/>
      <c r="AB1207" s="549"/>
      <c r="AC1207" s="549"/>
      <c r="AD1207" s="549"/>
      <c r="AE1207" s="549"/>
      <c r="AF1207" s="549"/>
      <c r="AG1207" s="549"/>
      <c r="AH1207" s="549"/>
      <c r="AI1207" s="549"/>
      <c r="AJ1207" s="549"/>
      <c r="AK1207" s="549"/>
      <c r="AL1207" s="549"/>
      <c r="AM1207" s="549"/>
      <c r="AN1207" s="549"/>
      <c r="AO1207" s="549"/>
      <c r="AP1207" s="549"/>
      <c r="AQ1207" s="549"/>
      <c r="AR1207" s="549"/>
      <c r="AS1207" s="549"/>
      <c r="AT1207" s="549"/>
      <c r="AU1207" s="549"/>
      <c r="AV1207" s="549"/>
      <c r="AW1207" s="549"/>
      <c r="AX1207" s="549"/>
      <c r="AY1207" s="549"/>
      <c r="AZ1207" s="549"/>
      <c r="BA1207" s="549"/>
      <c r="BB1207" s="549"/>
      <c r="BC1207" s="549"/>
      <c r="BD1207" s="549"/>
      <c r="BE1207" s="549"/>
      <c r="BF1207" s="549"/>
      <c r="BG1207" s="549"/>
      <c r="BH1207" s="549"/>
      <c r="BI1207" s="549"/>
    </row>
    <row r="1208" spans="16:61" s="254" customFormat="1" ht="9.9">
      <c r="P1208" s="549"/>
      <c r="Q1208" s="549"/>
      <c r="R1208" s="549"/>
      <c r="S1208" s="549"/>
      <c r="T1208" s="549"/>
      <c r="U1208" s="549"/>
      <c r="V1208" s="549"/>
      <c r="W1208" s="549"/>
      <c r="X1208" s="549"/>
      <c r="Y1208" s="549"/>
      <c r="Z1208" s="549"/>
      <c r="AA1208" s="549"/>
      <c r="AB1208" s="549"/>
      <c r="AC1208" s="549"/>
      <c r="AD1208" s="549"/>
      <c r="AE1208" s="549"/>
      <c r="AF1208" s="549"/>
      <c r="AG1208" s="549"/>
      <c r="AH1208" s="549"/>
      <c r="AI1208" s="549"/>
      <c r="AJ1208" s="549"/>
      <c r="AK1208" s="549"/>
      <c r="AL1208" s="549"/>
      <c r="AM1208" s="549"/>
      <c r="AN1208" s="549"/>
      <c r="AO1208" s="549"/>
      <c r="AP1208" s="549"/>
      <c r="AQ1208" s="549"/>
      <c r="AR1208" s="549"/>
      <c r="AS1208" s="549"/>
      <c r="AT1208" s="549"/>
      <c r="AU1208" s="549"/>
      <c r="AV1208" s="549"/>
      <c r="AW1208" s="549"/>
      <c r="AX1208" s="549"/>
      <c r="AY1208" s="549"/>
      <c r="AZ1208" s="549"/>
      <c r="BA1208" s="549"/>
      <c r="BB1208" s="549"/>
      <c r="BC1208" s="549"/>
      <c r="BD1208" s="549"/>
      <c r="BE1208" s="549"/>
      <c r="BF1208" s="549"/>
      <c r="BG1208" s="549"/>
      <c r="BH1208" s="549"/>
      <c r="BI1208" s="549"/>
    </row>
    <row r="1209" spans="16:61" s="254" customFormat="1" ht="9.9">
      <c r="P1209" s="549"/>
      <c r="Q1209" s="549"/>
      <c r="R1209" s="549"/>
      <c r="S1209" s="549"/>
      <c r="T1209" s="549"/>
      <c r="U1209" s="549"/>
      <c r="V1209" s="549"/>
      <c r="W1209" s="549"/>
      <c r="X1209" s="549"/>
      <c r="Y1209" s="549"/>
      <c r="Z1209" s="549"/>
      <c r="AA1209" s="549"/>
      <c r="AB1209" s="549"/>
      <c r="AC1209" s="549"/>
      <c r="AD1209" s="549"/>
      <c r="AE1209" s="549"/>
      <c r="AF1209" s="549"/>
      <c r="AG1209" s="549"/>
      <c r="AH1209" s="549"/>
      <c r="AI1209" s="549"/>
      <c r="AJ1209" s="549"/>
      <c r="AK1209" s="549"/>
      <c r="AL1209" s="549"/>
      <c r="AM1209" s="549"/>
      <c r="AN1209" s="549"/>
      <c r="AO1209" s="549"/>
      <c r="AP1209" s="549"/>
      <c r="AQ1209" s="549"/>
      <c r="AR1209" s="549"/>
      <c r="AS1209" s="549"/>
      <c r="AT1209" s="549"/>
      <c r="AU1209" s="549"/>
      <c r="AV1209" s="549"/>
      <c r="AW1209" s="549"/>
      <c r="AX1209" s="549"/>
      <c r="AY1209" s="549"/>
      <c r="AZ1209" s="549"/>
      <c r="BA1209" s="549"/>
      <c r="BB1209" s="549"/>
      <c r="BC1209" s="549"/>
      <c r="BD1209" s="549"/>
      <c r="BE1209" s="549"/>
      <c r="BF1209" s="549"/>
      <c r="BG1209" s="549"/>
      <c r="BH1209" s="549"/>
      <c r="BI1209" s="549"/>
    </row>
    <row r="1210" spans="16:61" s="254" customFormat="1" ht="9.9">
      <c r="P1210" s="549"/>
      <c r="Q1210" s="549"/>
      <c r="R1210" s="549"/>
      <c r="S1210" s="549"/>
      <c r="T1210" s="549"/>
      <c r="U1210" s="549"/>
      <c r="V1210" s="549"/>
      <c r="W1210" s="549"/>
      <c r="X1210" s="549"/>
      <c r="Y1210" s="549"/>
      <c r="Z1210" s="549"/>
      <c r="AA1210" s="549"/>
      <c r="AB1210" s="549"/>
      <c r="AC1210" s="549"/>
      <c r="AD1210" s="549"/>
      <c r="AE1210" s="549"/>
      <c r="AF1210" s="549"/>
      <c r="AG1210" s="549"/>
      <c r="AH1210" s="549"/>
      <c r="AI1210" s="549"/>
      <c r="AJ1210" s="549"/>
      <c r="AK1210" s="549"/>
      <c r="AL1210" s="549"/>
      <c r="AM1210" s="549"/>
      <c r="AN1210" s="549"/>
      <c r="AO1210" s="549"/>
      <c r="AP1210" s="549"/>
      <c r="AQ1210" s="549"/>
      <c r="AR1210" s="549"/>
      <c r="AS1210" s="549"/>
      <c r="AT1210" s="549"/>
      <c r="AU1210" s="549"/>
      <c r="AV1210" s="549"/>
      <c r="AW1210" s="549"/>
      <c r="AX1210" s="549"/>
      <c r="AY1210" s="549"/>
      <c r="AZ1210" s="549"/>
      <c r="BA1210" s="549"/>
      <c r="BB1210" s="549"/>
      <c r="BC1210" s="549"/>
      <c r="BD1210" s="549"/>
      <c r="BE1210" s="549"/>
      <c r="BF1210" s="549"/>
      <c r="BG1210" s="549"/>
      <c r="BH1210" s="549"/>
      <c r="BI1210" s="549"/>
    </row>
    <row r="1211" spans="16:61" s="254" customFormat="1" ht="9.9">
      <c r="P1211" s="549"/>
      <c r="Q1211" s="549"/>
      <c r="R1211" s="549"/>
      <c r="S1211" s="549"/>
      <c r="T1211" s="549"/>
      <c r="U1211" s="549"/>
      <c r="V1211" s="549"/>
      <c r="W1211" s="549"/>
      <c r="X1211" s="549"/>
      <c r="Y1211" s="549"/>
      <c r="Z1211" s="549"/>
      <c r="AA1211" s="549"/>
      <c r="AB1211" s="549"/>
      <c r="AC1211" s="549"/>
      <c r="AD1211" s="549"/>
      <c r="AE1211" s="549"/>
      <c r="AF1211" s="549"/>
      <c r="AG1211" s="549"/>
      <c r="AH1211" s="549"/>
      <c r="AI1211" s="549"/>
      <c r="AJ1211" s="549"/>
      <c r="AK1211" s="549"/>
      <c r="AL1211" s="549"/>
      <c r="AM1211" s="549"/>
      <c r="AN1211" s="549"/>
      <c r="AO1211" s="549"/>
      <c r="AP1211" s="549"/>
      <c r="AQ1211" s="549"/>
      <c r="AR1211" s="549"/>
      <c r="AS1211" s="549"/>
      <c r="AT1211" s="549"/>
      <c r="AU1211" s="549"/>
      <c r="AV1211" s="549"/>
      <c r="AW1211" s="549"/>
      <c r="AX1211" s="549"/>
      <c r="AY1211" s="549"/>
      <c r="AZ1211" s="549"/>
      <c r="BA1211" s="549"/>
      <c r="BB1211" s="549"/>
      <c r="BC1211" s="549"/>
      <c r="BD1211" s="549"/>
      <c r="BE1211" s="549"/>
      <c r="BF1211" s="549"/>
      <c r="BG1211" s="549"/>
      <c r="BH1211" s="549"/>
      <c r="BI1211" s="549"/>
    </row>
    <row r="1212" spans="16:61" s="254" customFormat="1" ht="9.9">
      <c r="P1212" s="549"/>
      <c r="Q1212" s="549"/>
      <c r="R1212" s="549"/>
      <c r="S1212" s="549"/>
      <c r="T1212" s="549"/>
      <c r="U1212" s="549"/>
      <c r="V1212" s="549"/>
      <c r="W1212" s="549"/>
      <c r="X1212" s="549"/>
      <c r="Y1212" s="549"/>
      <c r="Z1212" s="549"/>
      <c r="AA1212" s="549"/>
      <c r="AB1212" s="549"/>
      <c r="AC1212" s="549"/>
      <c r="AD1212" s="549"/>
      <c r="AE1212" s="549"/>
      <c r="AF1212" s="549"/>
      <c r="AG1212" s="549"/>
      <c r="AH1212" s="549"/>
      <c r="AI1212" s="549"/>
      <c r="AJ1212" s="549"/>
      <c r="AK1212" s="549"/>
      <c r="AL1212" s="549"/>
      <c r="AM1212" s="549"/>
      <c r="AN1212" s="549"/>
      <c r="AO1212" s="549"/>
      <c r="AP1212" s="549"/>
      <c r="AQ1212" s="549"/>
      <c r="AR1212" s="549"/>
      <c r="AS1212" s="549"/>
      <c r="AT1212" s="549"/>
      <c r="AU1212" s="549"/>
      <c r="AV1212" s="549"/>
      <c r="AW1212" s="549"/>
      <c r="AX1212" s="549"/>
      <c r="AY1212" s="549"/>
      <c r="AZ1212" s="549"/>
      <c r="BA1212" s="549"/>
      <c r="BB1212" s="549"/>
      <c r="BC1212" s="549"/>
      <c r="BD1212" s="549"/>
      <c r="BE1212" s="549"/>
      <c r="BF1212" s="549"/>
      <c r="BG1212" s="549"/>
      <c r="BH1212" s="549"/>
      <c r="BI1212" s="549"/>
    </row>
    <row r="1213" spans="16:61" s="254" customFormat="1" ht="9.9">
      <c r="P1213" s="549"/>
      <c r="Q1213" s="549"/>
      <c r="R1213" s="549"/>
      <c r="S1213" s="549"/>
      <c r="T1213" s="549"/>
      <c r="U1213" s="549"/>
      <c r="V1213" s="549"/>
      <c r="W1213" s="549"/>
      <c r="X1213" s="549"/>
      <c r="Y1213" s="549"/>
      <c r="Z1213" s="549"/>
      <c r="AA1213" s="549"/>
      <c r="AB1213" s="549"/>
      <c r="AC1213" s="549"/>
      <c r="AD1213" s="549"/>
      <c r="AE1213" s="549"/>
      <c r="AF1213" s="549"/>
      <c r="AG1213" s="549"/>
      <c r="AH1213" s="549"/>
      <c r="AI1213" s="549"/>
      <c r="AJ1213" s="549"/>
      <c r="AK1213" s="549"/>
      <c r="AL1213" s="549"/>
      <c r="AM1213" s="549"/>
      <c r="AN1213" s="549"/>
      <c r="AO1213" s="549"/>
      <c r="AP1213" s="549"/>
      <c r="AQ1213" s="549"/>
      <c r="AR1213" s="549"/>
      <c r="AS1213" s="549"/>
      <c r="AT1213" s="549"/>
      <c r="AU1213" s="549"/>
      <c r="AV1213" s="549"/>
      <c r="AW1213" s="549"/>
      <c r="AX1213" s="549"/>
      <c r="AY1213" s="549"/>
      <c r="AZ1213" s="549"/>
      <c r="BA1213" s="549"/>
      <c r="BB1213" s="549"/>
      <c r="BC1213" s="549"/>
      <c r="BD1213" s="549"/>
      <c r="BE1213" s="549"/>
      <c r="BF1213" s="549"/>
      <c r="BG1213" s="549"/>
      <c r="BH1213" s="549"/>
      <c r="BI1213" s="549"/>
    </row>
    <row r="1214" spans="16:61" s="254" customFormat="1" ht="9.9">
      <c r="P1214" s="549"/>
      <c r="Q1214" s="549"/>
      <c r="R1214" s="549"/>
      <c r="S1214" s="549"/>
      <c r="T1214" s="549"/>
      <c r="U1214" s="549"/>
      <c r="V1214" s="549"/>
      <c r="W1214" s="549"/>
      <c r="X1214" s="549"/>
      <c r="Y1214" s="549"/>
      <c r="Z1214" s="549"/>
      <c r="AA1214" s="549"/>
      <c r="AB1214" s="549"/>
      <c r="AC1214" s="549"/>
      <c r="AD1214" s="549"/>
      <c r="AE1214" s="549"/>
      <c r="AF1214" s="549"/>
      <c r="AG1214" s="549"/>
      <c r="AH1214" s="549"/>
      <c r="AI1214" s="549"/>
      <c r="AJ1214" s="549"/>
      <c r="AK1214" s="549"/>
      <c r="AL1214" s="549"/>
      <c r="AM1214" s="549"/>
      <c r="AN1214" s="549"/>
      <c r="AO1214" s="549"/>
      <c r="AP1214" s="549"/>
      <c r="AQ1214" s="549"/>
      <c r="AR1214" s="549"/>
      <c r="AS1214" s="549"/>
      <c r="AT1214" s="549"/>
      <c r="AU1214" s="549"/>
      <c r="AV1214" s="549"/>
      <c r="AW1214" s="549"/>
      <c r="AX1214" s="549"/>
      <c r="AY1214" s="549"/>
      <c r="AZ1214" s="549"/>
      <c r="BA1214" s="549"/>
      <c r="BB1214" s="549"/>
      <c r="BC1214" s="549"/>
      <c r="BD1214" s="549"/>
      <c r="BE1214" s="549"/>
      <c r="BF1214" s="549"/>
      <c r="BG1214" s="549"/>
      <c r="BH1214" s="549"/>
      <c r="BI1214" s="549"/>
    </row>
    <row r="1215" spans="16:61" s="254" customFormat="1" ht="9.9">
      <c r="P1215" s="549"/>
      <c r="Q1215" s="549"/>
      <c r="R1215" s="549"/>
      <c r="S1215" s="549"/>
      <c r="T1215" s="549"/>
      <c r="U1215" s="549"/>
      <c r="V1215" s="549"/>
      <c r="W1215" s="549"/>
      <c r="X1215" s="549"/>
      <c r="Y1215" s="549"/>
      <c r="Z1215" s="549"/>
      <c r="AA1215" s="549"/>
      <c r="AB1215" s="549"/>
      <c r="AC1215" s="549"/>
      <c r="AD1215" s="549"/>
      <c r="AE1215" s="549"/>
      <c r="AF1215" s="549"/>
      <c r="AG1215" s="549"/>
      <c r="AH1215" s="549"/>
      <c r="AI1215" s="549"/>
      <c r="AJ1215" s="549"/>
      <c r="AK1215" s="549"/>
      <c r="AL1215" s="549"/>
      <c r="AM1215" s="549"/>
      <c r="AN1215" s="549"/>
      <c r="AO1215" s="549"/>
      <c r="AP1215" s="549"/>
      <c r="AQ1215" s="549"/>
      <c r="AR1215" s="549"/>
      <c r="AS1215" s="549"/>
      <c r="AT1215" s="549"/>
      <c r="AU1215" s="549"/>
      <c r="AV1215" s="549"/>
      <c r="AW1215" s="549"/>
      <c r="AX1215" s="549"/>
      <c r="AY1215" s="549"/>
      <c r="AZ1215" s="549"/>
      <c r="BA1215" s="549"/>
      <c r="BB1215" s="549"/>
      <c r="BC1215" s="549"/>
      <c r="BD1215" s="549"/>
      <c r="BE1215" s="549"/>
      <c r="BF1215" s="549"/>
      <c r="BG1215" s="549"/>
      <c r="BH1215" s="549"/>
      <c r="BI1215" s="549"/>
    </row>
    <row r="1216" spans="16:61" s="254" customFormat="1" ht="9.9">
      <c r="P1216" s="549"/>
      <c r="Q1216" s="549"/>
      <c r="R1216" s="549"/>
      <c r="S1216" s="549"/>
      <c r="T1216" s="549"/>
      <c r="U1216" s="549"/>
      <c r="V1216" s="549"/>
      <c r="W1216" s="549"/>
      <c r="X1216" s="549"/>
      <c r="Y1216" s="549"/>
      <c r="Z1216" s="549"/>
      <c r="AA1216" s="549"/>
      <c r="AB1216" s="549"/>
      <c r="AC1216" s="549"/>
      <c r="AD1216" s="549"/>
      <c r="AE1216" s="549"/>
      <c r="AF1216" s="549"/>
      <c r="AG1216" s="549"/>
      <c r="AH1216" s="549"/>
      <c r="AI1216" s="549"/>
      <c r="AJ1216" s="549"/>
      <c r="AK1216" s="549"/>
      <c r="AL1216" s="549"/>
      <c r="AM1216" s="549"/>
      <c r="AN1216" s="549"/>
      <c r="AO1216" s="549"/>
      <c r="AP1216" s="549"/>
      <c r="AQ1216" s="549"/>
      <c r="AR1216" s="549"/>
      <c r="AS1216" s="549"/>
      <c r="AT1216" s="549"/>
      <c r="AU1216" s="549"/>
      <c r="AV1216" s="549"/>
      <c r="AW1216" s="549"/>
      <c r="AX1216" s="549"/>
      <c r="AY1216" s="549"/>
      <c r="AZ1216" s="549"/>
      <c r="BA1216" s="549"/>
      <c r="BB1216" s="549"/>
      <c r="BC1216" s="549"/>
      <c r="BD1216" s="549"/>
      <c r="BE1216" s="549"/>
      <c r="BF1216" s="549"/>
      <c r="BG1216" s="549"/>
      <c r="BH1216" s="549"/>
      <c r="BI1216" s="549"/>
    </row>
    <row r="1217" spans="16:61" s="254" customFormat="1" ht="9.9">
      <c r="P1217" s="549"/>
      <c r="Q1217" s="549"/>
      <c r="R1217" s="549"/>
      <c r="S1217" s="549"/>
      <c r="T1217" s="549"/>
      <c r="U1217" s="549"/>
      <c r="V1217" s="549"/>
      <c r="W1217" s="549"/>
      <c r="X1217" s="549"/>
      <c r="Y1217" s="549"/>
      <c r="Z1217" s="549"/>
      <c r="AA1217" s="549"/>
      <c r="AB1217" s="549"/>
      <c r="AC1217" s="549"/>
      <c r="AD1217" s="549"/>
      <c r="AE1217" s="549"/>
      <c r="AF1217" s="549"/>
      <c r="AG1217" s="549"/>
      <c r="AH1217" s="549"/>
      <c r="AI1217" s="549"/>
      <c r="AJ1217" s="549"/>
      <c r="AK1217" s="549"/>
      <c r="AL1217" s="549"/>
      <c r="AM1217" s="549"/>
      <c r="AN1217" s="549"/>
      <c r="AO1217" s="549"/>
      <c r="AP1217" s="549"/>
      <c r="AQ1217" s="549"/>
      <c r="AR1217" s="549"/>
      <c r="AS1217" s="549"/>
      <c r="AT1217" s="549"/>
      <c r="AU1217" s="549"/>
      <c r="AV1217" s="549"/>
      <c r="AW1217" s="549"/>
      <c r="AX1217" s="549"/>
      <c r="AY1217" s="549"/>
      <c r="AZ1217" s="549"/>
      <c r="BA1217" s="549"/>
      <c r="BB1217" s="549"/>
      <c r="BC1217" s="549"/>
      <c r="BD1217" s="549"/>
      <c r="BE1217" s="549"/>
      <c r="BF1217" s="549"/>
      <c r="BG1217" s="549"/>
      <c r="BH1217" s="549"/>
      <c r="BI1217" s="549"/>
    </row>
    <row r="1218" spans="16:61" s="254" customFormat="1" ht="9.9">
      <c r="P1218" s="549"/>
      <c r="Q1218" s="549"/>
      <c r="R1218" s="549"/>
      <c r="S1218" s="549"/>
      <c r="T1218" s="549"/>
      <c r="U1218" s="549"/>
      <c r="V1218" s="549"/>
      <c r="W1218" s="549"/>
      <c r="X1218" s="549"/>
      <c r="Y1218" s="549"/>
      <c r="Z1218" s="549"/>
      <c r="AA1218" s="549"/>
      <c r="AB1218" s="549"/>
      <c r="AC1218" s="549"/>
      <c r="AD1218" s="549"/>
      <c r="AE1218" s="549"/>
      <c r="AF1218" s="549"/>
      <c r="AG1218" s="549"/>
      <c r="AH1218" s="549"/>
      <c r="AI1218" s="549"/>
      <c r="AJ1218" s="549"/>
      <c r="AK1218" s="549"/>
      <c r="AL1218" s="549"/>
      <c r="AM1218" s="549"/>
      <c r="AN1218" s="549"/>
      <c r="AO1218" s="549"/>
      <c r="AP1218" s="549"/>
      <c r="AQ1218" s="549"/>
      <c r="AR1218" s="549"/>
      <c r="AS1218" s="549"/>
      <c r="AT1218" s="549"/>
      <c r="AU1218" s="549"/>
      <c r="AV1218" s="549"/>
      <c r="AW1218" s="549"/>
      <c r="AX1218" s="549"/>
      <c r="AY1218" s="549"/>
      <c r="AZ1218" s="549"/>
      <c r="BA1218" s="549"/>
      <c r="BB1218" s="549"/>
      <c r="BC1218" s="549"/>
      <c r="BD1218" s="549"/>
      <c r="BE1218" s="549"/>
      <c r="BF1218" s="549"/>
      <c r="BG1218" s="549"/>
      <c r="BH1218" s="549"/>
      <c r="BI1218" s="549"/>
    </row>
    <row r="1219" spans="16:61" s="254" customFormat="1" ht="9.9">
      <c r="P1219" s="549"/>
      <c r="Q1219" s="549"/>
      <c r="R1219" s="549"/>
      <c r="S1219" s="549"/>
      <c r="T1219" s="549"/>
      <c r="U1219" s="549"/>
      <c r="V1219" s="549"/>
      <c r="W1219" s="549"/>
      <c r="X1219" s="549"/>
      <c r="Y1219" s="549"/>
      <c r="Z1219" s="549"/>
      <c r="AA1219" s="549"/>
      <c r="AB1219" s="549"/>
      <c r="AC1219" s="549"/>
      <c r="AD1219" s="549"/>
      <c r="AE1219" s="549"/>
      <c r="AF1219" s="549"/>
      <c r="AG1219" s="549"/>
      <c r="AH1219" s="549"/>
      <c r="AI1219" s="549"/>
      <c r="AJ1219" s="549"/>
      <c r="AK1219" s="549"/>
      <c r="AL1219" s="549"/>
      <c r="AM1219" s="549"/>
      <c r="AN1219" s="549"/>
      <c r="AO1219" s="549"/>
      <c r="AP1219" s="549"/>
      <c r="AQ1219" s="549"/>
      <c r="AR1219" s="549"/>
      <c r="AS1219" s="549"/>
      <c r="AT1219" s="549"/>
      <c r="AU1219" s="549"/>
      <c r="AV1219" s="549"/>
      <c r="AW1219" s="549"/>
      <c r="AX1219" s="549"/>
      <c r="AY1219" s="549"/>
      <c r="AZ1219" s="549"/>
      <c r="BA1219" s="549"/>
      <c r="BB1219" s="549"/>
      <c r="BC1219" s="549"/>
      <c r="BD1219" s="549"/>
      <c r="BE1219" s="549"/>
      <c r="BF1219" s="549"/>
      <c r="BG1219" s="549"/>
      <c r="BH1219" s="549"/>
      <c r="BI1219" s="549"/>
    </row>
    <row r="1220" spans="16:61" s="254" customFormat="1" ht="9.9">
      <c r="P1220" s="549"/>
      <c r="Q1220" s="549"/>
      <c r="R1220" s="549"/>
      <c r="S1220" s="549"/>
      <c r="T1220" s="549"/>
      <c r="U1220" s="549"/>
      <c r="V1220" s="549"/>
      <c r="W1220" s="549"/>
      <c r="X1220" s="549"/>
      <c r="Y1220" s="549"/>
      <c r="Z1220" s="549"/>
      <c r="AA1220" s="549"/>
      <c r="AB1220" s="549"/>
      <c r="AC1220" s="549"/>
      <c r="AD1220" s="549"/>
      <c r="AE1220" s="549"/>
      <c r="AF1220" s="549"/>
      <c r="AG1220" s="549"/>
      <c r="AH1220" s="549"/>
      <c r="AI1220" s="549"/>
      <c r="AJ1220" s="549"/>
      <c r="AK1220" s="549"/>
      <c r="AL1220" s="549"/>
      <c r="AM1220" s="549"/>
      <c r="AN1220" s="549"/>
      <c r="AO1220" s="549"/>
      <c r="AP1220" s="549"/>
      <c r="AQ1220" s="549"/>
      <c r="AR1220" s="549"/>
      <c r="AS1220" s="549"/>
      <c r="AT1220" s="549"/>
      <c r="AU1220" s="549"/>
      <c r="AV1220" s="549"/>
      <c r="AW1220" s="549"/>
      <c r="AX1220" s="549"/>
      <c r="AY1220" s="549"/>
      <c r="AZ1220" s="549"/>
      <c r="BA1220" s="549"/>
      <c r="BB1220" s="549"/>
      <c r="BC1220" s="549"/>
      <c r="BD1220" s="549"/>
      <c r="BE1220" s="549"/>
      <c r="BF1220" s="549"/>
      <c r="BG1220" s="549"/>
      <c r="BH1220" s="549"/>
      <c r="BI1220" s="549"/>
    </row>
    <row r="1221" spans="16:61" s="254" customFormat="1" ht="9.9">
      <c r="P1221" s="549"/>
      <c r="Q1221" s="549"/>
      <c r="R1221" s="549"/>
      <c r="S1221" s="549"/>
      <c r="T1221" s="549"/>
      <c r="U1221" s="549"/>
      <c r="V1221" s="549"/>
      <c r="W1221" s="549"/>
      <c r="X1221" s="549"/>
      <c r="Y1221" s="549"/>
      <c r="Z1221" s="549"/>
      <c r="AA1221" s="549"/>
      <c r="AB1221" s="549"/>
      <c r="AC1221" s="549"/>
      <c r="AD1221" s="549"/>
      <c r="AE1221" s="549"/>
      <c r="AF1221" s="549"/>
      <c r="AG1221" s="549"/>
      <c r="AH1221" s="549"/>
      <c r="AI1221" s="549"/>
      <c r="AJ1221" s="549"/>
      <c r="AK1221" s="549"/>
      <c r="AL1221" s="549"/>
      <c r="AM1221" s="549"/>
      <c r="AN1221" s="549"/>
      <c r="AO1221" s="549"/>
      <c r="AP1221" s="549"/>
      <c r="AQ1221" s="549"/>
      <c r="AR1221" s="549"/>
      <c r="AS1221" s="549"/>
      <c r="AT1221" s="549"/>
      <c r="AU1221" s="549"/>
      <c r="AV1221" s="549"/>
      <c r="AW1221" s="549"/>
      <c r="AX1221" s="549"/>
      <c r="AY1221" s="549"/>
      <c r="AZ1221" s="549"/>
      <c r="BA1221" s="549"/>
      <c r="BB1221" s="549"/>
      <c r="BC1221" s="549"/>
      <c r="BD1221" s="549"/>
      <c r="BE1221" s="549"/>
      <c r="BF1221" s="549"/>
      <c r="BG1221" s="549"/>
      <c r="BH1221" s="549"/>
      <c r="BI1221" s="549"/>
    </row>
    <row r="1222" spans="16:61" s="254" customFormat="1" ht="9.9">
      <c r="P1222" s="549"/>
      <c r="Q1222" s="549"/>
      <c r="R1222" s="549"/>
      <c r="S1222" s="549"/>
      <c r="T1222" s="549"/>
      <c r="U1222" s="549"/>
      <c r="V1222" s="549"/>
      <c r="W1222" s="549"/>
      <c r="X1222" s="549"/>
      <c r="Y1222" s="549"/>
      <c r="Z1222" s="549"/>
      <c r="AA1222" s="549"/>
      <c r="AB1222" s="549"/>
      <c r="AC1222" s="549"/>
      <c r="AD1222" s="549"/>
      <c r="AE1222" s="549"/>
      <c r="AF1222" s="549"/>
      <c r="AG1222" s="549"/>
      <c r="AH1222" s="549"/>
      <c r="AI1222" s="549"/>
      <c r="AJ1222" s="549"/>
      <c r="AK1222" s="549"/>
      <c r="AL1222" s="549"/>
      <c r="AM1222" s="549"/>
      <c r="AN1222" s="549"/>
      <c r="AO1222" s="549"/>
      <c r="AP1222" s="549"/>
      <c r="AQ1222" s="549"/>
      <c r="AR1222" s="549"/>
      <c r="AS1222" s="549"/>
      <c r="AT1222" s="549"/>
      <c r="AU1222" s="549"/>
      <c r="AV1222" s="549"/>
      <c r="AW1222" s="549"/>
      <c r="AX1222" s="549"/>
      <c r="AY1222" s="549"/>
      <c r="AZ1222" s="549"/>
      <c r="BA1222" s="549"/>
      <c r="BB1222" s="549"/>
      <c r="BC1222" s="549"/>
      <c r="BD1222" s="549"/>
      <c r="BE1222" s="549"/>
      <c r="BF1222" s="549"/>
      <c r="BG1222" s="549"/>
      <c r="BH1222" s="549"/>
      <c r="BI1222" s="549"/>
    </row>
    <row r="1223" spans="16:61" s="254" customFormat="1" ht="9.9">
      <c r="P1223" s="549"/>
      <c r="Q1223" s="549"/>
      <c r="R1223" s="549"/>
      <c r="S1223" s="549"/>
      <c r="T1223" s="549"/>
      <c r="U1223" s="549"/>
      <c r="V1223" s="549"/>
      <c r="W1223" s="549"/>
      <c r="X1223" s="549"/>
      <c r="Y1223" s="549"/>
      <c r="Z1223" s="549"/>
      <c r="AA1223" s="549"/>
      <c r="AB1223" s="549"/>
      <c r="AC1223" s="549"/>
      <c r="AD1223" s="549"/>
      <c r="AE1223" s="549"/>
      <c r="AF1223" s="549"/>
      <c r="AG1223" s="549"/>
      <c r="AH1223" s="549"/>
      <c r="AI1223" s="549"/>
      <c r="AJ1223" s="549"/>
      <c r="AK1223" s="549"/>
      <c r="AL1223" s="549"/>
      <c r="AM1223" s="549"/>
      <c r="AN1223" s="549"/>
      <c r="AO1223" s="549"/>
      <c r="AP1223" s="549"/>
      <c r="AQ1223" s="549"/>
      <c r="AR1223" s="549"/>
      <c r="AS1223" s="549"/>
      <c r="AT1223" s="549"/>
      <c r="AU1223" s="549"/>
      <c r="AV1223" s="549"/>
      <c r="AW1223" s="549"/>
      <c r="AX1223" s="549"/>
      <c r="AY1223" s="549"/>
      <c r="AZ1223" s="549"/>
      <c r="BA1223" s="549"/>
      <c r="BB1223" s="549"/>
      <c r="BC1223" s="549"/>
      <c r="BD1223" s="549"/>
      <c r="BE1223" s="549"/>
      <c r="BF1223" s="549"/>
      <c r="BG1223" s="549"/>
      <c r="BH1223" s="549"/>
      <c r="BI1223" s="549"/>
    </row>
    <row r="1224" spans="16:61" s="254" customFormat="1" ht="9.9">
      <c r="P1224" s="549"/>
      <c r="Q1224" s="549"/>
      <c r="R1224" s="549"/>
      <c r="S1224" s="549"/>
      <c r="T1224" s="549"/>
      <c r="U1224" s="549"/>
      <c r="V1224" s="549"/>
      <c r="W1224" s="549"/>
      <c r="X1224" s="549"/>
      <c r="Y1224" s="549"/>
      <c r="Z1224" s="549"/>
      <c r="AA1224" s="549"/>
      <c r="AB1224" s="549"/>
      <c r="AC1224" s="549"/>
      <c r="AD1224" s="549"/>
      <c r="AE1224" s="549"/>
      <c r="AF1224" s="549"/>
      <c r="AG1224" s="549"/>
      <c r="AH1224" s="549"/>
      <c r="AI1224" s="549"/>
      <c r="AJ1224" s="549"/>
      <c r="AK1224" s="549"/>
      <c r="AL1224" s="549"/>
      <c r="AM1224" s="549"/>
      <c r="AN1224" s="549"/>
      <c r="AO1224" s="549"/>
      <c r="AP1224" s="549"/>
      <c r="AQ1224" s="549"/>
      <c r="AR1224" s="549"/>
      <c r="AS1224" s="549"/>
      <c r="AT1224" s="549"/>
      <c r="AU1224" s="549"/>
      <c r="AV1224" s="549"/>
      <c r="AW1224" s="549"/>
      <c r="AX1224" s="549"/>
      <c r="AY1224" s="549"/>
      <c r="AZ1224" s="549"/>
      <c r="BA1224" s="549"/>
      <c r="BB1224" s="549"/>
      <c r="BC1224" s="549"/>
      <c r="BD1224" s="549"/>
      <c r="BE1224" s="549"/>
      <c r="BF1224" s="549"/>
      <c r="BG1224" s="549"/>
      <c r="BH1224" s="549"/>
      <c r="BI1224" s="549"/>
    </row>
    <row r="1225" spans="16:61" s="254" customFormat="1" ht="9.9">
      <c r="P1225" s="549"/>
      <c r="Q1225" s="549"/>
      <c r="R1225" s="549"/>
      <c r="S1225" s="549"/>
      <c r="T1225" s="549"/>
      <c r="U1225" s="549"/>
      <c r="V1225" s="549"/>
      <c r="W1225" s="549"/>
      <c r="X1225" s="549"/>
      <c r="Y1225" s="549"/>
      <c r="Z1225" s="549"/>
      <c r="AA1225" s="549"/>
      <c r="AB1225" s="549"/>
      <c r="AC1225" s="549"/>
      <c r="AD1225" s="549"/>
      <c r="AE1225" s="549"/>
      <c r="AF1225" s="549"/>
      <c r="AG1225" s="549"/>
      <c r="AH1225" s="549"/>
      <c r="AI1225" s="549"/>
      <c r="AJ1225" s="549"/>
      <c r="AK1225" s="549"/>
      <c r="AL1225" s="549"/>
      <c r="AM1225" s="549"/>
      <c r="AN1225" s="549"/>
      <c r="AO1225" s="549"/>
      <c r="AP1225" s="549"/>
      <c r="AQ1225" s="549"/>
      <c r="AR1225" s="549"/>
      <c r="AS1225" s="549"/>
      <c r="AT1225" s="549"/>
      <c r="AU1225" s="549"/>
      <c r="AV1225" s="549"/>
      <c r="AW1225" s="549"/>
      <c r="AX1225" s="549"/>
      <c r="AY1225" s="549"/>
      <c r="AZ1225" s="549"/>
      <c r="BA1225" s="549"/>
      <c r="BB1225" s="549"/>
      <c r="BC1225" s="549"/>
      <c r="BD1225" s="549"/>
      <c r="BE1225" s="549"/>
      <c r="BF1225" s="549"/>
      <c r="BG1225" s="549"/>
      <c r="BH1225" s="549"/>
      <c r="BI1225" s="549"/>
    </row>
    <row r="1226" spans="16:61" s="254" customFormat="1" ht="9.9">
      <c r="P1226" s="549"/>
      <c r="Q1226" s="549"/>
      <c r="R1226" s="549"/>
      <c r="S1226" s="549"/>
      <c r="T1226" s="549"/>
      <c r="U1226" s="549"/>
      <c r="V1226" s="549"/>
      <c r="W1226" s="549"/>
      <c r="X1226" s="549"/>
      <c r="Y1226" s="549"/>
      <c r="Z1226" s="549"/>
      <c r="AA1226" s="549"/>
      <c r="AB1226" s="549"/>
      <c r="AC1226" s="549"/>
      <c r="AD1226" s="549"/>
      <c r="AE1226" s="549"/>
      <c r="AF1226" s="549"/>
      <c r="AG1226" s="549"/>
      <c r="AH1226" s="549"/>
      <c r="AI1226" s="549"/>
      <c r="AJ1226" s="549"/>
      <c r="AK1226" s="549"/>
      <c r="AL1226" s="549"/>
      <c r="AM1226" s="549"/>
      <c r="AN1226" s="549"/>
      <c r="AO1226" s="549"/>
      <c r="AP1226" s="549"/>
      <c r="AQ1226" s="549"/>
      <c r="AR1226" s="549"/>
      <c r="AS1226" s="549"/>
      <c r="AT1226" s="549"/>
      <c r="AU1226" s="549"/>
      <c r="AV1226" s="549"/>
      <c r="AW1226" s="549"/>
      <c r="AX1226" s="549"/>
      <c r="AY1226" s="549"/>
      <c r="AZ1226" s="549"/>
      <c r="BA1226" s="549"/>
      <c r="BB1226" s="549"/>
      <c r="BC1226" s="549"/>
      <c r="BD1226" s="549"/>
      <c r="BE1226" s="549"/>
      <c r="BF1226" s="549"/>
      <c r="BG1226" s="549"/>
      <c r="BH1226" s="549"/>
      <c r="BI1226" s="549"/>
    </row>
    <row r="1227" spans="16:61" s="254" customFormat="1" ht="9.9">
      <c r="P1227" s="549"/>
      <c r="Q1227" s="549"/>
      <c r="R1227" s="549"/>
      <c r="S1227" s="549"/>
      <c r="T1227" s="549"/>
      <c r="U1227" s="549"/>
      <c r="V1227" s="549"/>
      <c r="W1227" s="549"/>
      <c r="X1227" s="549"/>
      <c r="Y1227" s="549"/>
      <c r="Z1227" s="549"/>
      <c r="AA1227" s="549"/>
      <c r="AB1227" s="549"/>
      <c r="AC1227" s="549"/>
      <c r="AD1227" s="549"/>
      <c r="AE1227" s="549"/>
      <c r="AF1227" s="549"/>
      <c r="AG1227" s="549"/>
      <c r="AH1227" s="549"/>
      <c r="AI1227" s="549"/>
      <c r="AJ1227" s="549"/>
      <c r="AK1227" s="549"/>
      <c r="AL1227" s="549"/>
      <c r="AM1227" s="549"/>
      <c r="AN1227" s="549"/>
      <c r="AO1227" s="549"/>
      <c r="AP1227" s="549"/>
      <c r="AQ1227" s="549"/>
      <c r="AR1227" s="549"/>
      <c r="AS1227" s="549"/>
      <c r="AT1227" s="549"/>
      <c r="AU1227" s="549"/>
      <c r="AV1227" s="549"/>
      <c r="AW1227" s="549"/>
      <c r="AX1227" s="549"/>
      <c r="AY1227" s="549"/>
      <c r="AZ1227" s="549"/>
      <c r="BA1227" s="549"/>
      <c r="BB1227" s="549"/>
      <c r="BC1227" s="549"/>
      <c r="BD1227" s="549"/>
      <c r="BE1227" s="549"/>
      <c r="BF1227" s="549"/>
      <c r="BG1227" s="549"/>
      <c r="BH1227" s="549"/>
      <c r="BI1227" s="549"/>
    </row>
    <row r="1228" spans="16:61" s="254" customFormat="1" ht="9.9">
      <c r="P1228" s="549"/>
      <c r="Q1228" s="549"/>
      <c r="R1228" s="549"/>
      <c r="S1228" s="549"/>
      <c r="T1228" s="549"/>
      <c r="U1228" s="549"/>
      <c r="V1228" s="549"/>
      <c r="W1228" s="549"/>
      <c r="X1228" s="549"/>
      <c r="Y1228" s="549"/>
      <c r="Z1228" s="549"/>
      <c r="AA1228" s="549"/>
      <c r="AB1228" s="549"/>
      <c r="AC1228" s="549"/>
      <c r="AD1228" s="549"/>
      <c r="AE1228" s="549"/>
      <c r="AF1228" s="549"/>
      <c r="AG1228" s="549"/>
      <c r="AH1228" s="549"/>
      <c r="AI1228" s="549"/>
      <c r="AJ1228" s="549"/>
      <c r="AK1228" s="549"/>
      <c r="AL1228" s="549"/>
      <c r="AM1228" s="549"/>
      <c r="AN1228" s="549"/>
      <c r="AO1228" s="549"/>
      <c r="AP1228" s="549"/>
      <c r="AQ1228" s="549"/>
      <c r="AR1228" s="549"/>
      <c r="AS1228" s="549"/>
      <c r="AT1228" s="549"/>
      <c r="AU1228" s="549"/>
      <c r="AV1228" s="549"/>
      <c r="AW1228" s="549"/>
      <c r="AX1228" s="549"/>
      <c r="AY1228" s="549"/>
      <c r="AZ1228" s="549"/>
      <c r="BA1228" s="549"/>
      <c r="BB1228" s="549"/>
      <c r="BC1228" s="549"/>
      <c r="BD1228" s="549"/>
      <c r="BE1228" s="549"/>
      <c r="BF1228" s="549"/>
      <c r="BG1228" s="549"/>
      <c r="BH1228" s="549"/>
      <c r="BI1228" s="549"/>
    </row>
    <row r="1229" spans="16:61" s="254" customFormat="1" ht="9.9">
      <c r="P1229" s="549"/>
      <c r="Q1229" s="549"/>
      <c r="R1229" s="549"/>
      <c r="S1229" s="549"/>
      <c r="T1229" s="549"/>
      <c r="U1229" s="549"/>
      <c r="V1229" s="549"/>
      <c r="W1229" s="549"/>
      <c r="X1229" s="549"/>
      <c r="Y1229" s="549"/>
      <c r="Z1229" s="549"/>
      <c r="AA1229" s="549"/>
      <c r="AB1229" s="549"/>
      <c r="AC1229" s="549"/>
      <c r="AD1229" s="549"/>
      <c r="AE1229" s="549"/>
      <c r="AF1229" s="549"/>
      <c r="AG1229" s="549"/>
      <c r="AH1229" s="549"/>
      <c r="AI1229" s="549"/>
      <c r="AJ1229" s="549"/>
      <c r="AK1229" s="549"/>
      <c r="AL1229" s="549"/>
      <c r="AM1229" s="549"/>
      <c r="AN1229" s="549"/>
      <c r="AO1229" s="549"/>
      <c r="AP1229" s="549"/>
      <c r="AQ1229" s="549"/>
      <c r="AR1229" s="549"/>
      <c r="AS1229" s="549"/>
      <c r="AT1229" s="549"/>
      <c r="AU1229" s="549"/>
      <c r="AV1229" s="549"/>
      <c r="AW1229" s="549"/>
      <c r="AX1229" s="549"/>
      <c r="AY1229" s="549"/>
      <c r="AZ1229" s="549"/>
      <c r="BA1229" s="549"/>
      <c r="BB1229" s="549"/>
      <c r="BC1229" s="549"/>
      <c r="BD1229" s="549"/>
      <c r="BE1229" s="549"/>
      <c r="BF1229" s="549"/>
      <c r="BG1229" s="549"/>
      <c r="BH1229" s="549"/>
      <c r="BI1229" s="549"/>
    </row>
    <row r="1230" spans="16:61" s="254" customFormat="1" ht="9.9">
      <c r="P1230" s="549"/>
      <c r="Q1230" s="549"/>
      <c r="R1230" s="549"/>
      <c r="S1230" s="549"/>
      <c r="T1230" s="549"/>
      <c r="U1230" s="549"/>
      <c r="V1230" s="549"/>
      <c r="W1230" s="549"/>
      <c r="X1230" s="549"/>
      <c r="Y1230" s="549"/>
      <c r="Z1230" s="549"/>
      <c r="AA1230" s="549"/>
      <c r="AB1230" s="549"/>
      <c r="AC1230" s="549"/>
      <c r="AD1230" s="549"/>
      <c r="AE1230" s="549"/>
      <c r="AF1230" s="549"/>
      <c r="AG1230" s="549"/>
      <c r="AH1230" s="549"/>
      <c r="AI1230" s="549"/>
      <c r="AJ1230" s="549"/>
      <c r="AK1230" s="549"/>
      <c r="AL1230" s="549"/>
      <c r="AM1230" s="549"/>
      <c r="AN1230" s="549"/>
      <c r="AO1230" s="549"/>
      <c r="AP1230" s="549"/>
      <c r="AQ1230" s="549"/>
      <c r="AR1230" s="549"/>
      <c r="AS1230" s="549"/>
      <c r="AT1230" s="549"/>
      <c r="AU1230" s="549"/>
      <c r="AV1230" s="549"/>
      <c r="AW1230" s="549"/>
      <c r="AX1230" s="549"/>
      <c r="AY1230" s="549"/>
      <c r="AZ1230" s="549"/>
      <c r="BA1230" s="549"/>
      <c r="BB1230" s="549"/>
      <c r="BC1230" s="549"/>
      <c r="BD1230" s="549"/>
      <c r="BE1230" s="549"/>
      <c r="BF1230" s="549"/>
      <c r="BG1230" s="549"/>
      <c r="BH1230" s="549"/>
      <c r="BI1230" s="549"/>
    </row>
    <row r="1231" spans="16:61" s="254" customFormat="1" ht="9.9">
      <c r="P1231" s="549"/>
      <c r="Q1231" s="549"/>
      <c r="R1231" s="549"/>
      <c r="S1231" s="549"/>
      <c r="T1231" s="549"/>
      <c r="U1231" s="549"/>
      <c r="V1231" s="549"/>
      <c r="W1231" s="549"/>
      <c r="X1231" s="549"/>
      <c r="Y1231" s="549"/>
      <c r="Z1231" s="549"/>
      <c r="AA1231" s="549"/>
      <c r="AB1231" s="549"/>
      <c r="AC1231" s="549"/>
      <c r="AD1231" s="549"/>
      <c r="AE1231" s="549"/>
      <c r="AF1231" s="549"/>
      <c r="AG1231" s="549"/>
      <c r="AH1231" s="549"/>
      <c r="AI1231" s="549"/>
      <c r="AJ1231" s="549"/>
      <c r="AK1231" s="549"/>
      <c r="AL1231" s="549"/>
      <c r="AM1231" s="549"/>
      <c r="AN1231" s="549"/>
      <c r="AO1231" s="549"/>
      <c r="AP1231" s="549"/>
      <c r="AQ1231" s="549"/>
      <c r="AR1231" s="549"/>
      <c r="AS1231" s="549"/>
      <c r="AT1231" s="549"/>
      <c r="AU1231" s="549"/>
      <c r="AV1231" s="549"/>
      <c r="AW1231" s="549"/>
      <c r="AX1231" s="549"/>
      <c r="AY1231" s="549"/>
      <c r="AZ1231" s="549"/>
      <c r="BA1231" s="549"/>
      <c r="BB1231" s="549"/>
      <c r="BC1231" s="549"/>
      <c r="BD1231" s="549"/>
      <c r="BE1231" s="549"/>
      <c r="BF1231" s="549"/>
      <c r="BG1231" s="549"/>
      <c r="BH1231" s="549"/>
      <c r="BI1231" s="549"/>
    </row>
    <row r="1232" spans="16:61" s="254" customFormat="1" ht="9.9">
      <c r="P1232" s="549"/>
      <c r="Q1232" s="549"/>
      <c r="R1232" s="549"/>
      <c r="S1232" s="549"/>
      <c r="T1232" s="549"/>
      <c r="U1232" s="549"/>
      <c r="V1232" s="549"/>
      <c r="W1232" s="549"/>
      <c r="X1232" s="549"/>
      <c r="Y1232" s="549"/>
      <c r="Z1232" s="549"/>
      <c r="AA1232" s="549"/>
      <c r="AB1232" s="549"/>
      <c r="AC1232" s="549"/>
      <c r="AD1232" s="549"/>
      <c r="AE1232" s="549"/>
      <c r="AF1232" s="549"/>
      <c r="AG1232" s="549"/>
      <c r="AH1232" s="549"/>
      <c r="AI1232" s="549"/>
      <c r="AJ1232" s="549"/>
      <c r="AK1232" s="549"/>
      <c r="AL1232" s="549"/>
      <c r="AM1232" s="549"/>
      <c r="AN1232" s="549"/>
      <c r="AO1232" s="549"/>
      <c r="AP1232" s="549"/>
      <c r="AQ1232" s="549"/>
      <c r="AR1232" s="549"/>
      <c r="AS1232" s="549"/>
      <c r="AT1232" s="549"/>
      <c r="AU1232" s="549"/>
      <c r="AV1232" s="549"/>
      <c r="AW1232" s="549"/>
      <c r="AX1232" s="549"/>
      <c r="AY1232" s="549"/>
      <c r="AZ1232" s="549"/>
      <c r="BA1232" s="549"/>
      <c r="BB1232" s="549"/>
      <c r="BC1232" s="549"/>
      <c r="BD1232" s="549"/>
      <c r="BE1232" s="549"/>
      <c r="BF1232" s="549"/>
      <c r="BG1232" s="549"/>
      <c r="BH1232" s="549"/>
      <c r="BI1232" s="549"/>
    </row>
    <row r="1233" spans="16:61" s="254" customFormat="1" ht="9.9">
      <c r="P1233" s="549"/>
      <c r="Q1233" s="549"/>
      <c r="R1233" s="549"/>
      <c r="S1233" s="549"/>
      <c r="T1233" s="549"/>
      <c r="U1233" s="549"/>
      <c r="V1233" s="549"/>
      <c r="W1233" s="549"/>
      <c r="X1233" s="549"/>
      <c r="Y1233" s="549"/>
      <c r="Z1233" s="549"/>
      <c r="AA1233" s="549"/>
      <c r="AB1233" s="549"/>
      <c r="AC1233" s="549"/>
      <c r="AD1233" s="549"/>
      <c r="AE1233" s="549"/>
      <c r="AF1233" s="549"/>
      <c r="AG1233" s="549"/>
      <c r="AH1233" s="549"/>
      <c r="AI1233" s="549"/>
      <c r="AJ1233" s="549"/>
      <c r="AK1233" s="549"/>
      <c r="AL1233" s="549"/>
      <c r="AM1233" s="549"/>
      <c r="AN1233" s="549"/>
      <c r="AO1233" s="549"/>
      <c r="AP1233" s="549"/>
      <c r="AQ1233" s="549"/>
      <c r="AR1233" s="549"/>
      <c r="AS1233" s="549"/>
      <c r="AT1233" s="549"/>
      <c r="AU1233" s="549"/>
      <c r="AV1233" s="549"/>
      <c r="AW1233" s="549"/>
      <c r="AX1233" s="549"/>
      <c r="AY1233" s="549"/>
      <c r="AZ1233" s="549"/>
      <c r="BA1233" s="549"/>
      <c r="BB1233" s="549"/>
      <c r="BC1233" s="549"/>
      <c r="BD1233" s="549"/>
      <c r="BE1233" s="549"/>
      <c r="BF1233" s="549"/>
      <c r="BG1233" s="549"/>
      <c r="BH1233" s="549"/>
      <c r="BI1233" s="549"/>
    </row>
    <row r="1234" spans="16:61" s="254" customFormat="1" ht="9.9">
      <c r="P1234" s="549"/>
      <c r="Q1234" s="549"/>
      <c r="R1234" s="549"/>
      <c r="S1234" s="549"/>
      <c r="T1234" s="549"/>
      <c r="U1234" s="549"/>
      <c r="V1234" s="549"/>
      <c r="W1234" s="549"/>
      <c r="X1234" s="549"/>
      <c r="Y1234" s="549"/>
      <c r="Z1234" s="549"/>
      <c r="AA1234" s="549"/>
      <c r="AB1234" s="549"/>
      <c r="AC1234" s="549"/>
      <c r="AD1234" s="549"/>
      <c r="AE1234" s="549"/>
      <c r="AF1234" s="549"/>
      <c r="AG1234" s="549"/>
      <c r="AH1234" s="549"/>
      <c r="AI1234" s="549"/>
      <c r="AJ1234" s="549"/>
      <c r="AK1234" s="549"/>
      <c r="AL1234" s="549"/>
      <c r="AM1234" s="549"/>
      <c r="AN1234" s="549"/>
      <c r="AO1234" s="549"/>
      <c r="AP1234" s="549"/>
      <c r="AQ1234" s="549"/>
      <c r="AR1234" s="549"/>
      <c r="AS1234" s="549"/>
      <c r="AT1234" s="549"/>
      <c r="AU1234" s="549"/>
      <c r="AV1234" s="549"/>
      <c r="AW1234" s="549"/>
      <c r="AX1234" s="549"/>
      <c r="AY1234" s="549"/>
      <c r="AZ1234" s="549"/>
      <c r="BA1234" s="549"/>
      <c r="BB1234" s="549"/>
      <c r="BC1234" s="549"/>
      <c r="BD1234" s="549"/>
      <c r="BE1234" s="549"/>
      <c r="BF1234" s="549"/>
      <c r="BG1234" s="549"/>
      <c r="BH1234" s="549"/>
      <c r="BI1234" s="549"/>
    </row>
    <row r="1235" spans="16:61" s="254" customFormat="1" ht="9.9">
      <c r="P1235" s="549"/>
      <c r="Q1235" s="549"/>
      <c r="R1235" s="549"/>
      <c r="S1235" s="549"/>
      <c r="T1235" s="549"/>
      <c r="U1235" s="549"/>
      <c r="V1235" s="549"/>
      <c r="W1235" s="549"/>
      <c r="X1235" s="549"/>
      <c r="Y1235" s="549"/>
      <c r="Z1235" s="549"/>
      <c r="AA1235" s="549"/>
      <c r="AB1235" s="549"/>
      <c r="AC1235" s="549"/>
      <c r="AD1235" s="549"/>
      <c r="AE1235" s="549"/>
      <c r="AF1235" s="549"/>
      <c r="AG1235" s="549"/>
      <c r="AH1235" s="549"/>
      <c r="AI1235" s="549"/>
      <c r="AJ1235" s="549"/>
      <c r="AK1235" s="549"/>
      <c r="AL1235" s="549"/>
      <c r="AM1235" s="549"/>
      <c r="AN1235" s="549"/>
      <c r="AO1235" s="549"/>
      <c r="AP1235" s="549"/>
      <c r="AQ1235" s="549"/>
      <c r="AR1235" s="549"/>
      <c r="AS1235" s="549"/>
      <c r="AT1235" s="549"/>
      <c r="AU1235" s="549"/>
      <c r="AV1235" s="549"/>
      <c r="AW1235" s="549"/>
      <c r="AX1235" s="549"/>
      <c r="AY1235" s="549"/>
      <c r="AZ1235" s="549"/>
      <c r="BA1235" s="549"/>
      <c r="BB1235" s="549"/>
      <c r="BC1235" s="549"/>
      <c r="BD1235" s="549"/>
      <c r="BE1235" s="549"/>
      <c r="BF1235" s="549"/>
      <c r="BG1235" s="549"/>
      <c r="BH1235" s="549"/>
      <c r="BI1235" s="549"/>
    </row>
    <row r="1236" spans="16:61" s="254" customFormat="1" ht="9.9">
      <c r="P1236" s="549"/>
      <c r="Q1236" s="549"/>
      <c r="R1236" s="549"/>
      <c r="S1236" s="549"/>
      <c r="T1236" s="549"/>
      <c r="U1236" s="549"/>
      <c r="V1236" s="549"/>
      <c r="W1236" s="549"/>
      <c r="X1236" s="549"/>
      <c r="Y1236" s="549"/>
      <c r="Z1236" s="549"/>
      <c r="AA1236" s="549"/>
      <c r="AB1236" s="549"/>
      <c r="AC1236" s="549"/>
      <c r="AD1236" s="549"/>
      <c r="AE1236" s="549"/>
      <c r="AF1236" s="549"/>
      <c r="AG1236" s="549"/>
      <c r="AH1236" s="549"/>
      <c r="AI1236" s="549"/>
      <c r="AJ1236" s="549"/>
      <c r="AK1236" s="549"/>
      <c r="AL1236" s="549"/>
      <c r="AM1236" s="549"/>
      <c r="AN1236" s="549"/>
      <c r="AO1236" s="549"/>
      <c r="AP1236" s="549"/>
      <c r="AQ1236" s="549"/>
      <c r="AR1236" s="549"/>
      <c r="AS1236" s="549"/>
      <c r="AT1236" s="549"/>
      <c r="AU1236" s="549"/>
      <c r="AV1236" s="549"/>
      <c r="AW1236" s="549"/>
      <c r="AX1236" s="549"/>
      <c r="AY1236" s="549"/>
      <c r="AZ1236" s="549"/>
      <c r="BA1236" s="549"/>
      <c r="BB1236" s="549"/>
      <c r="BC1236" s="549"/>
      <c r="BD1236" s="549"/>
      <c r="BE1236" s="549"/>
      <c r="BF1236" s="549"/>
      <c r="BG1236" s="549"/>
      <c r="BH1236" s="549"/>
      <c r="BI1236" s="549"/>
    </row>
    <row r="1237" spans="16:61" s="254" customFormat="1" ht="9.9">
      <c r="P1237" s="549"/>
      <c r="Q1237" s="549"/>
      <c r="R1237" s="549"/>
      <c r="S1237" s="549"/>
      <c r="T1237" s="549"/>
      <c r="U1237" s="549"/>
      <c r="V1237" s="549"/>
      <c r="W1237" s="549"/>
      <c r="X1237" s="549"/>
      <c r="Y1237" s="549"/>
      <c r="Z1237" s="549"/>
      <c r="AA1237" s="549"/>
      <c r="AB1237" s="549"/>
      <c r="AC1237" s="549"/>
      <c r="AD1237" s="549"/>
      <c r="AE1237" s="549"/>
      <c r="AF1237" s="549"/>
      <c r="AG1237" s="549"/>
      <c r="AH1237" s="549"/>
      <c r="AI1237" s="549"/>
      <c r="AJ1237" s="549"/>
      <c r="AK1237" s="549"/>
      <c r="AL1237" s="549"/>
      <c r="AM1237" s="549"/>
      <c r="AN1237" s="549"/>
      <c r="AO1237" s="549"/>
      <c r="AP1237" s="549"/>
      <c r="AQ1237" s="549"/>
      <c r="AR1237" s="549"/>
      <c r="AS1237" s="549"/>
      <c r="AT1237" s="549"/>
      <c r="AU1237" s="549"/>
      <c r="AV1237" s="549"/>
      <c r="AW1237" s="549"/>
      <c r="AX1237" s="549"/>
      <c r="AY1237" s="549"/>
      <c r="AZ1237" s="549"/>
      <c r="BA1237" s="549"/>
      <c r="BB1237" s="549"/>
      <c r="BC1237" s="549"/>
      <c r="BD1237" s="549"/>
      <c r="BE1237" s="549"/>
      <c r="BF1237" s="549"/>
      <c r="BG1237" s="549"/>
      <c r="BH1237" s="549"/>
      <c r="BI1237" s="549"/>
    </row>
    <row r="1238" spans="16:61" s="254" customFormat="1" ht="9.9">
      <c r="P1238" s="549"/>
      <c r="Q1238" s="549"/>
      <c r="R1238" s="549"/>
      <c r="S1238" s="549"/>
      <c r="T1238" s="549"/>
      <c r="U1238" s="549"/>
      <c r="V1238" s="549"/>
      <c r="W1238" s="549"/>
      <c r="X1238" s="549"/>
      <c r="Y1238" s="549"/>
      <c r="Z1238" s="549"/>
      <c r="AA1238" s="549"/>
      <c r="AB1238" s="549"/>
      <c r="AC1238" s="549"/>
      <c r="AD1238" s="549"/>
      <c r="AE1238" s="549"/>
      <c r="AF1238" s="549"/>
      <c r="AG1238" s="549"/>
      <c r="AH1238" s="549"/>
      <c r="AI1238" s="549"/>
      <c r="AJ1238" s="549"/>
      <c r="AK1238" s="549"/>
      <c r="AL1238" s="549"/>
      <c r="AM1238" s="549"/>
      <c r="AN1238" s="549"/>
      <c r="AO1238" s="549"/>
      <c r="AP1238" s="549"/>
      <c r="AQ1238" s="549"/>
      <c r="AR1238" s="549"/>
      <c r="AS1238" s="549"/>
      <c r="AT1238" s="549"/>
      <c r="AU1238" s="549"/>
      <c r="AV1238" s="549"/>
      <c r="AW1238" s="549"/>
      <c r="AX1238" s="549"/>
      <c r="AY1238" s="549"/>
      <c r="AZ1238" s="549"/>
      <c r="BA1238" s="549"/>
      <c r="BB1238" s="549"/>
      <c r="BC1238" s="549"/>
      <c r="BD1238" s="549"/>
      <c r="BE1238" s="549"/>
      <c r="BF1238" s="549"/>
      <c r="BG1238" s="549"/>
      <c r="BH1238" s="549"/>
      <c r="BI1238" s="549"/>
    </row>
    <row r="1239" spans="16:61" s="254" customFormat="1" ht="9.9">
      <c r="P1239" s="549"/>
      <c r="Q1239" s="549"/>
      <c r="R1239" s="549"/>
      <c r="S1239" s="549"/>
      <c r="T1239" s="549"/>
      <c r="U1239" s="549"/>
      <c r="V1239" s="549"/>
      <c r="W1239" s="549"/>
      <c r="X1239" s="549"/>
      <c r="Y1239" s="549"/>
      <c r="Z1239" s="549"/>
      <c r="AA1239" s="549"/>
      <c r="AB1239" s="549"/>
      <c r="AC1239" s="549"/>
      <c r="AD1239" s="549"/>
      <c r="AE1239" s="549"/>
      <c r="AF1239" s="549"/>
      <c r="AG1239" s="549"/>
      <c r="AH1239" s="549"/>
      <c r="AI1239" s="549"/>
      <c r="AJ1239" s="549"/>
      <c r="AK1239" s="549"/>
      <c r="AL1239" s="549"/>
      <c r="AM1239" s="549"/>
      <c r="AN1239" s="549"/>
      <c r="AO1239" s="549"/>
      <c r="AP1239" s="549"/>
      <c r="AQ1239" s="549"/>
      <c r="AR1239" s="549"/>
      <c r="AS1239" s="549"/>
      <c r="AT1239" s="549"/>
      <c r="AU1239" s="549"/>
      <c r="AV1239" s="549"/>
      <c r="AW1239" s="549"/>
      <c r="AX1239" s="549"/>
      <c r="AY1239" s="549"/>
      <c r="AZ1239" s="549"/>
      <c r="BA1239" s="549"/>
      <c r="BB1239" s="549"/>
      <c r="BC1239" s="549"/>
      <c r="BD1239" s="549"/>
      <c r="BE1239" s="549"/>
      <c r="BF1239" s="549"/>
      <c r="BG1239" s="549"/>
      <c r="BH1239" s="549"/>
      <c r="BI1239" s="549"/>
    </row>
    <row r="1240" spans="16:61" s="254" customFormat="1" ht="9.9">
      <c r="P1240" s="549"/>
      <c r="Q1240" s="549"/>
      <c r="R1240" s="549"/>
      <c r="S1240" s="549"/>
      <c r="T1240" s="549"/>
      <c r="U1240" s="549"/>
      <c r="V1240" s="549"/>
      <c r="W1240" s="549"/>
      <c r="X1240" s="549"/>
      <c r="Y1240" s="549"/>
      <c r="Z1240" s="549"/>
      <c r="AA1240" s="549"/>
      <c r="AB1240" s="549"/>
      <c r="AC1240" s="549"/>
      <c r="AD1240" s="549"/>
      <c r="AE1240" s="549"/>
      <c r="AF1240" s="549"/>
      <c r="AG1240" s="549"/>
      <c r="AH1240" s="549"/>
      <c r="AI1240" s="549"/>
      <c r="AJ1240" s="549"/>
      <c r="AK1240" s="549"/>
      <c r="AL1240" s="549"/>
      <c r="AM1240" s="549"/>
      <c r="AN1240" s="549"/>
      <c r="AO1240" s="549"/>
      <c r="AP1240" s="549"/>
      <c r="AQ1240" s="549"/>
      <c r="AR1240" s="549"/>
      <c r="AS1240" s="549"/>
      <c r="AT1240" s="549"/>
      <c r="AU1240" s="549"/>
      <c r="AV1240" s="549"/>
      <c r="AW1240" s="549"/>
      <c r="AX1240" s="549"/>
      <c r="AY1240" s="549"/>
      <c r="AZ1240" s="549"/>
      <c r="BA1240" s="549"/>
      <c r="BB1240" s="549"/>
      <c r="BC1240" s="549"/>
      <c r="BD1240" s="549"/>
      <c r="BE1240" s="549"/>
      <c r="BF1240" s="549"/>
      <c r="BG1240" s="549"/>
      <c r="BH1240" s="549"/>
      <c r="BI1240" s="549"/>
    </row>
    <row r="1241" spans="16:61" s="254" customFormat="1" ht="9.9">
      <c r="P1241" s="549"/>
      <c r="Q1241" s="549"/>
      <c r="R1241" s="549"/>
      <c r="S1241" s="549"/>
      <c r="T1241" s="549"/>
      <c r="U1241" s="549"/>
      <c r="V1241" s="549"/>
      <c r="W1241" s="549"/>
      <c r="X1241" s="549"/>
      <c r="Y1241" s="549"/>
      <c r="Z1241" s="549"/>
      <c r="AA1241" s="549"/>
      <c r="AB1241" s="549"/>
      <c r="AC1241" s="549"/>
      <c r="AD1241" s="549"/>
      <c r="AE1241" s="549"/>
      <c r="AF1241" s="549"/>
      <c r="AG1241" s="549"/>
      <c r="AH1241" s="549"/>
      <c r="AI1241" s="549"/>
      <c r="AJ1241" s="549"/>
      <c r="AK1241" s="549"/>
      <c r="AL1241" s="549"/>
      <c r="AM1241" s="549"/>
      <c r="AN1241" s="549"/>
      <c r="AO1241" s="549"/>
      <c r="AP1241" s="549"/>
      <c r="AQ1241" s="549"/>
      <c r="AR1241" s="549"/>
      <c r="AS1241" s="549"/>
      <c r="AT1241" s="549"/>
      <c r="AU1241" s="549"/>
      <c r="AV1241" s="549"/>
      <c r="AW1241" s="549"/>
      <c r="AX1241" s="549"/>
      <c r="AY1241" s="549"/>
      <c r="AZ1241" s="549"/>
      <c r="BA1241" s="549"/>
      <c r="BB1241" s="549"/>
      <c r="BC1241" s="549"/>
      <c r="BD1241" s="549"/>
      <c r="BE1241" s="549"/>
      <c r="BF1241" s="549"/>
      <c r="BG1241" s="549"/>
      <c r="BH1241" s="549"/>
      <c r="BI1241" s="549"/>
    </row>
    <row r="1242" spans="16:61" s="254" customFormat="1" ht="9.9">
      <c r="P1242" s="549"/>
      <c r="Q1242" s="549"/>
      <c r="R1242" s="549"/>
      <c r="S1242" s="549"/>
      <c r="T1242" s="549"/>
      <c r="U1242" s="549"/>
      <c r="V1242" s="549"/>
      <c r="W1242" s="549"/>
      <c r="X1242" s="549"/>
      <c r="Y1242" s="549"/>
      <c r="Z1242" s="549"/>
      <c r="AA1242" s="549"/>
      <c r="AB1242" s="549"/>
      <c r="AC1242" s="549"/>
      <c r="AD1242" s="549"/>
      <c r="AE1242" s="549"/>
      <c r="AF1242" s="549"/>
      <c r="AG1242" s="549"/>
      <c r="AH1242" s="549"/>
      <c r="AI1242" s="549"/>
      <c r="AJ1242" s="549"/>
      <c r="AK1242" s="549"/>
      <c r="AL1242" s="549"/>
      <c r="AM1242" s="549"/>
      <c r="AN1242" s="549"/>
      <c r="AO1242" s="549"/>
      <c r="AP1242" s="549"/>
      <c r="AQ1242" s="549"/>
      <c r="AR1242" s="549"/>
      <c r="AS1242" s="549"/>
      <c r="AT1242" s="549"/>
      <c r="AU1242" s="549"/>
      <c r="AV1242" s="549"/>
      <c r="AW1242" s="549"/>
      <c r="AX1242" s="549"/>
      <c r="AY1242" s="549"/>
      <c r="AZ1242" s="549"/>
      <c r="BA1242" s="549"/>
      <c r="BB1242" s="549"/>
      <c r="BC1242" s="549"/>
      <c r="BD1242" s="549"/>
      <c r="BE1242" s="549"/>
      <c r="BF1242" s="549"/>
      <c r="BG1242" s="549"/>
      <c r="BH1242" s="549"/>
      <c r="BI1242" s="549"/>
    </row>
    <row r="1243" spans="16:61" s="254" customFormat="1" ht="9.9">
      <c r="P1243" s="549"/>
      <c r="Q1243" s="549"/>
      <c r="R1243" s="549"/>
      <c r="S1243" s="549"/>
      <c r="T1243" s="549"/>
      <c r="U1243" s="549"/>
      <c r="V1243" s="549"/>
      <c r="W1243" s="549"/>
      <c r="X1243" s="549"/>
      <c r="Y1243" s="549"/>
      <c r="Z1243" s="549"/>
      <c r="AA1243" s="549"/>
      <c r="AB1243" s="549"/>
      <c r="AC1243" s="549"/>
      <c r="AD1243" s="549"/>
      <c r="AE1243" s="549"/>
      <c r="AF1243" s="549"/>
      <c r="AG1243" s="549"/>
      <c r="AH1243" s="549"/>
      <c r="AI1243" s="549"/>
      <c r="AJ1243" s="549"/>
      <c r="AK1243" s="549"/>
      <c r="AL1243" s="549"/>
      <c r="AM1243" s="549"/>
      <c r="AN1243" s="549"/>
      <c r="AO1243" s="549"/>
      <c r="AP1243" s="549"/>
      <c r="AQ1243" s="549"/>
      <c r="AR1243" s="549"/>
      <c r="AS1243" s="549"/>
      <c r="AT1243" s="549"/>
      <c r="AU1243" s="549"/>
      <c r="AV1243" s="549"/>
      <c r="AW1243" s="549"/>
      <c r="AX1243" s="549"/>
      <c r="AY1243" s="549"/>
      <c r="AZ1243" s="549"/>
      <c r="BA1243" s="549"/>
      <c r="BB1243" s="549"/>
      <c r="BC1243" s="549"/>
      <c r="BD1243" s="549"/>
      <c r="BE1243" s="549"/>
      <c r="BF1243" s="549"/>
      <c r="BG1243" s="549"/>
      <c r="BH1243" s="549"/>
      <c r="BI1243" s="549"/>
    </row>
    <row r="1244" spans="16:61" s="254" customFormat="1" ht="9.9">
      <c r="P1244" s="549"/>
      <c r="Q1244" s="549"/>
      <c r="R1244" s="549"/>
      <c r="S1244" s="549"/>
      <c r="T1244" s="549"/>
      <c r="U1244" s="549"/>
      <c r="V1244" s="549"/>
      <c r="W1244" s="549"/>
      <c r="X1244" s="549"/>
      <c r="Y1244" s="549"/>
      <c r="Z1244" s="549"/>
      <c r="AA1244" s="549"/>
      <c r="AB1244" s="549"/>
      <c r="AC1244" s="549"/>
      <c r="AD1244" s="549"/>
      <c r="AE1244" s="549"/>
      <c r="AF1244" s="549"/>
      <c r="AG1244" s="549"/>
      <c r="AH1244" s="549"/>
      <c r="AI1244" s="549"/>
      <c r="AJ1244" s="549"/>
      <c r="AK1244" s="549"/>
      <c r="AL1244" s="549"/>
      <c r="AM1244" s="549"/>
      <c r="AN1244" s="549"/>
      <c r="AO1244" s="549"/>
      <c r="AP1244" s="549"/>
      <c r="AQ1244" s="549"/>
      <c r="AR1244" s="549"/>
      <c r="AS1244" s="549"/>
      <c r="AT1244" s="549"/>
      <c r="AU1244" s="549"/>
      <c r="AV1244" s="549"/>
      <c r="AW1244" s="549"/>
      <c r="AX1244" s="549"/>
      <c r="AY1244" s="549"/>
      <c r="AZ1244" s="549"/>
      <c r="BA1244" s="549"/>
      <c r="BB1244" s="549"/>
      <c r="BC1244" s="549"/>
      <c r="BD1244" s="549"/>
      <c r="BE1244" s="549"/>
      <c r="BF1244" s="549"/>
      <c r="BG1244" s="549"/>
      <c r="BH1244" s="549"/>
      <c r="BI1244" s="549"/>
    </row>
    <row r="1245" spans="16:61" s="254" customFormat="1" ht="9.9">
      <c r="P1245" s="549"/>
      <c r="Q1245" s="549"/>
      <c r="R1245" s="549"/>
      <c r="S1245" s="549"/>
      <c r="T1245" s="549"/>
      <c r="U1245" s="549"/>
      <c r="V1245" s="549"/>
      <c r="W1245" s="549"/>
      <c r="X1245" s="549"/>
      <c r="Y1245" s="549"/>
      <c r="Z1245" s="549"/>
      <c r="AA1245" s="549"/>
      <c r="AB1245" s="549"/>
      <c r="AC1245" s="549"/>
      <c r="AD1245" s="549"/>
      <c r="AE1245" s="549"/>
      <c r="AF1245" s="549"/>
      <c r="AG1245" s="549"/>
      <c r="AH1245" s="549"/>
      <c r="AI1245" s="549"/>
      <c r="AJ1245" s="549"/>
      <c r="AK1245" s="549"/>
      <c r="AL1245" s="549"/>
      <c r="AM1245" s="549"/>
      <c r="AN1245" s="549"/>
      <c r="AO1245" s="549"/>
      <c r="AP1245" s="549"/>
      <c r="AQ1245" s="549"/>
      <c r="AR1245" s="549"/>
      <c r="AS1245" s="549"/>
      <c r="AT1245" s="549"/>
      <c r="AU1245" s="549"/>
      <c r="AV1245" s="549"/>
      <c r="AW1245" s="549"/>
      <c r="AX1245" s="549"/>
      <c r="AY1245" s="549"/>
      <c r="AZ1245" s="549"/>
      <c r="BA1245" s="549"/>
      <c r="BB1245" s="549"/>
      <c r="BC1245" s="549"/>
      <c r="BD1245" s="549"/>
      <c r="BE1245" s="549"/>
      <c r="BF1245" s="549"/>
      <c r="BG1245" s="549"/>
      <c r="BH1245" s="549"/>
      <c r="BI1245" s="549"/>
    </row>
    <row r="1246" spans="16:61" s="254" customFormat="1" ht="9.9">
      <c r="P1246" s="549"/>
      <c r="Q1246" s="549"/>
      <c r="R1246" s="549"/>
      <c r="S1246" s="549"/>
      <c r="T1246" s="549"/>
      <c r="U1246" s="549"/>
      <c r="V1246" s="549"/>
      <c r="W1246" s="549"/>
      <c r="X1246" s="549"/>
      <c r="Y1246" s="549"/>
      <c r="Z1246" s="549"/>
      <c r="AA1246" s="549"/>
      <c r="AB1246" s="549"/>
      <c r="AC1246" s="549"/>
      <c r="AD1246" s="549"/>
      <c r="AE1246" s="549"/>
      <c r="AF1246" s="549"/>
      <c r="AG1246" s="549"/>
      <c r="AH1246" s="549"/>
      <c r="AI1246" s="549"/>
      <c r="AJ1246" s="549"/>
      <c r="AK1246" s="549"/>
      <c r="AL1246" s="549"/>
      <c r="AM1246" s="549"/>
      <c r="AN1246" s="549"/>
      <c r="AO1246" s="549"/>
      <c r="AP1246" s="549"/>
      <c r="AQ1246" s="549"/>
      <c r="AR1246" s="549"/>
      <c r="AS1246" s="549"/>
      <c r="AT1246" s="549"/>
      <c r="AU1246" s="549"/>
      <c r="AV1246" s="549"/>
      <c r="AW1246" s="549"/>
      <c r="AX1246" s="549"/>
      <c r="AY1246" s="549"/>
      <c r="AZ1246" s="549"/>
      <c r="BA1246" s="549"/>
      <c r="BB1246" s="549"/>
      <c r="BC1246" s="549"/>
      <c r="BD1246" s="549"/>
      <c r="BE1246" s="549"/>
      <c r="BF1246" s="549"/>
      <c r="BG1246" s="549"/>
      <c r="BH1246" s="549"/>
      <c r="BI1246" s="549"/>
    </row>
    <row r="1247" spans="16:61" s="254" customFormat="1" ht="9.9">
      <c r="P1247" s="549"/>
      <c r="Q1247" s="549"/>
      <c r="R1247" s="549"/>
      <c r="S1247" s="549"/>
      <c r="T1247" s="549"/>
      <c r="U1247" s="549"/>
      <c r="V1247" s="549"/>
      <c r="W1247" s="549"/>
      <c r="X1247" s="549"/>
      <c r="Y1247" s="549"/>
      <c r="Z1247" s="549"/>
      <c r="AA1247" s="549"/>
      <c r="AB1247" s="549"/>
      <c r="AC1247" s="549"/>
      <c r="AD1247" s="549"/>
      <c r="AE1247" s="549"/>
      <c r="AF1247" s="549"/>
      <c r="AG1247" s="549"/>
      <c r="AH1247" s="549"/>
      <c r="AI1247" s="549"/>
      <c r="AJ1247" s="549"/>
      <c r="AK1247" s="549"/>
      <c r="AL1247" s="549"/>
      <c r="AM1247" s="549"/>
      <c r="AN1247" s="549"/>
      <c r="AO1247" s="549"/>
      <c r="AP1247" s="549"/>
      <c r="AQ1247" s="549"/>
      <c r="AR1247" s="549"/>
      <c r="AS1247" s="549"/>
      <c r="AT1247" s="549"/>
      <c r="AU1247" s="549"/>
      <c r="AV1247" s="549"/>
      <c r="AW1247" s="549"/>
      <c r="AX1247" s="549"/>
      <c r="AY1247" s="549"/>
      <c r="AZ1247" s="549"/>
      <c r="BA1247" s="549"/>
      <c r="BB1247" s="549"/>
      <c r="BC1247" s="549"/>
      <c r="BD1247" s="549"/>
      <c r="BE1247" s="549"/>
      <c r="BF1247" s="549"/>
      <c r="BG1247" s="549"/>
      <c r="BH1247" s="549"/>
      <c r="BI1247" s="549"/>
    </row>
    <row r="1248" spans="16:61" s="254" customFormat="1" ht="9.9">
      <c r="P1248" s="549"/>
      <c r="Q1248" s="549"/>
      <c r="R1248" s="549"/>
      <c r="S1248" s="549"/>
      <c r="T1248" s="549"/>
      <c r="U1248" s="549"/>
      <c r="V1248" s="549"/>
      <c r="W1248" s="549"/>
      <c r="X1248" s="549"/>
      <c r="Y1248" s="549"/>
      <c r="Z1248" s="549"/>
      <c r="AA1248" s="549"/>
      <c r="AB1248" s="549"/>
      <c r="AC1248" s="549"/>
      <c r="AD1248" s="549"/>
      <c r="AE1248" s="549"/>
      <c r="AF1248" s="549"/>
      <c r="AG1248" s="549"/>
      <c r="AH1248" s="549"/>
      <c r="AI1248" s="549"/>
      <c r="AJ1248" s="549"/>
      <c r="AK1248" s="549"/>
      <c r="AL1248" s="549"/>
      <c r="AM1248" s="549"/>
      <c r="AN1248" s="549"/>
      <c r="AO1248" s="549"/>
      <c r="AP1248" s="549"/>
      <c r="AQ1248" s="549"/>
      <c r="AR1248" s="549"/>
      <c r="AS1248" s="549"/>
      <c r="AT1248" s="549"/>
      <c r="AU1248" s="549"/>
      <c r="AV1248" s="549"/>
      <c r="AW1248" s="549"/>
      <c r="AX1248" s="549"/>
      <c r="AY1248" s="549"/>
      <c r="AZ1248" s="549"/>
      <c r="BA1248" s="549"/>
      <c r="BB1248" s="549"/>
      <c r="BC1248" s="549"/>
      <c r="BD1248" s="549"/>
      <c r="BE1248" s="549"/>
      <c r="BF1248" s="549"/>
      <c r="BG1248" s="549"/>
      <c r="BH1248" s="549"/>
      <c r="BI1248" s="549"/>
    </row>
    <row r="1249" spans="16:61" s="254" customFormat="1" ht="9.9">
      <c r="P1249" s="549"/>
      <c r="Q1249" s="549"/>
      <c r="R1249" s="549"/>
      <c r="S1249" s="549"/>
      <c r="T1249" s="549"/>
      <c r="U1249" s="549"/>
      <c r="V1249" s="549"/>
      <c r="W1249" s="549"/>
      <c r="X1249" s="549"/>
      <c r="Y1249" s="549"/>
      <c r="Z1249" s="549"/>
      <c r="AA1249" s="549"/>
      <c r="AB1249" s="549"/>
      <c r="AC1249" s="549"/>
      <c r="AD1249" s="549"/>
      <c r="AE1249" s="549"/>
      <c r="AF1249" s="549"/>
      <c r="AG1249" s="549"/>
      <c r="AH1249" s="549"/>
      <c r="AI1249" s="549"/>
      <c r="AJ1249" s="549"/>
      <c r="AK1249" s="549"/>
      <c r="AL1249" s="549"/>
      <c r="AM1249" s="549"/>
      <c r="AN1249" s="549"/>
      <c r="AO1249" s="549"/>
      <c r="AP1249" s="549"/>
      <c r="AQ1249" s="549"/>
      <c r="AR1249" s="549"/>
      <c r="AS1249" s="549"/>
      <c r="AT1249" s="549"/>
      <c r="AU1249" s="549"/>
      <c r="AV1249" s="549"/>
      <c r="AW1249" s="549"/>
      <c r="AX1249" s="549"/>
      <c r="AY1249" s="549"/>
      <c r="AZ1249" s="549"/>
      <c r="BA1249" s="549"/>
      <c r="BB1249" s="549"/>
      <c r="BC1249" s="549"/>
      <c r="BD1249" s="549"/>
      <c r="BE1249" s="549"/>
      <c r="BF1249" s="549"/>
      <c r="BG1249" s="549"/>
      <c r="BH1249" s="549"/>
      <c r="BI1249" s="549"/>
    </row>
    <row r="1250" spans="16:61" s="254" customFormat="1" ht="9.9">
      <c r="P1250" s="549"/>
      <c r="Q1250" s="549"/>
      <c r="R1250" s="549"/>
      <c r="S1250" s="549"/>
      <c r="T1250" s="549"/>
      <c r="U1250" s="549"/>
      <c r="V1250" s="549"/>
      <c r="W1250" s="549"/>
      <c r="X1250" s="549"/>
      <c r="Y1250" s="549"/>
      <c r="Z1250" s="549"/>
      <c r="AA1250" s="549"/>
      <c r="AB1250" s="549"/>
      <c r="AC1250" s="549"/>
      <c r="AD1250" s="549"/>
      <c r="AE1250" s="549"/>
      <c r="AF1250" s="549"/>
      <c r="AG1250" s="549"/>
      <c r="AH1250" s="549"/>
      <c r="AI1250" s="549"/>
      <c r="AJ1250" s="549"/>
      <c r="AK1250" s="549"/>
      <c r="AL1250" s="549"/>
      <c r="AM1250" s="549"/>
      <c r="AN1250" s="549"/>
      <c r="AO1250" s="549"/>
      <c r="AP1250" s="549"/>
      <c r="AQ1250" s="549"/>
      <c r="AR1250" s="549"/>
      <c r="AS1250" s="549"/>
      <c r="AT1250" s="549"/>
      <c r="AU1250" s="549"/>
      <c r="AV1250" s="549"/>
      <c r="AW1250" s="549"/>
      <c r="AX1250" s="549"/>
      <c r="AY1250" s="549"/>
      <c r="AZ1250" s="549"/>
      <c r="BA1250" s="549"/>
      <c r="BB1250" s="549"/>
      <c r="BC1250" s="549"/>
      <c r="BD1250" s="549"/>
      <c r="BE1250" s="549"/>
      <c r="BF1250" s="549"/>
      <c r="BG1250" s="549"/>
      <c r="BH1250" s="549"/>
      <c r="BI1250" s="549"/>
    </row>
    <row r="1251" spans="16:61" s="254" customFormat="1" ht="9.9">
      <c r="P1251" s="549"/>
      <c r="Q1251" s="549"/>
      <c r="R1251" s="549"/>
      <c r="S1251" s="549"/>
      <c r="T1251" s="549"/>
      <c r="U1251" s="549"/>
      <c r="V1251" s="549"/>
      <c r="W1251" s="549"/>
      <c r="X1251" s="549"/>
      <c r="Y1251" s="549"/>
      <c r="Z1251" s="549"/>
      <c r="AA1251" s="549"/>
      <c r="AB1251" s="549"/>
      <c r="AC1251" s="549"/>
      <c r="AD1251" s="549"/>
      <c r="AE1251" s="549"/>
      <c r="AF1251" s="549"/>
      <c r="AG1251" s="549"/>
      <c r="AH1251" s="549"/>
      <c r="AI1251" s="549"/>
      <c r="AJ1251" s="549"/>
      <c r="AK1251" s="549"/>
      <c r="AL1251" s="549"/>
      <c r="AM1251" s="549"/>
      <c r="AN1251" s="549"/>
      <c r="AO1251" s="549"/>
      <c r="AP1251" s="549"/>
      <c r="AQ1251" s="549"/>
      <c r="AR1251" s="549"/>
      <c r="AS1251" s="549"/>
      <c r="AT1251" s="549"/>
      <c r="AU1251" s="549"/>
      <c r="AV1251" s="549"/>
      <c r="AW1251" s="549"/>
      <c r="AX1251" s="549"/>
      <c r="AY1251" s="549"/>
      <c r="AZ1251" s="549"/>
      <c r="BA1251" s="549"/>
      <c r="BB1251" s="549"/>
      <c r="BC1251" s="549"/>
      <c r="BD1251" s="549"/>
      <c r="BE1251" s="549"/>
      <c r="BF1251" s="549"/>
      <c r="BG1251" s="549"/>
      <c r="BH1251" s="549"/>
      <c r="BI1251" s="549"/>
    </row>
    <row r="1252" spans="16:61" s="254" customFormat="1" ht="9.9">
      <c r="P1252" s="549"/>
      <c r="Q1252" s="549"/>
      <c r="R1252" s="549"/>
      <c r="S1252" s="549"/>
      <c r="T1252" s="549"/>
      <c r="U1252" s="549"/>
      <c r="V1252" s="549"/>
      <c r="W1252" s="549"/>
      <c r="X1252" s="549"/>
      <c r="Y1252" s="549"/>
      <c r="Z1252" s="549"/>
      <c r="AA1252" s="549"/>
      <c r="AB1252" s="549"/>
      <c r="AC1252" s="549"/>
      <c r="AD1252" s="549"/>
      <c r="AE1252" s="549"/>
      <c r="AF1252" s="549"/>
      <c r="AG1252" s="549"/>
      <c r="AH1252" s="549"/>
      <c r="AI1252" s="549"/>
      <c r="AJ1252" s="549"/>
      <c r="AK1252" s="549"/>
      <c r="AL1252" s="549"/>
      <c r="AM1252" s="549"/>
      <c r="AN1252" s="549"/>
      <c r="AO1252" s="549"/>
      <c r="AP1252" s="549"/>
      <c r="AQ1252" s="549"/>
      <c r="AR1252" s="549"/>
      <c r="AS1252" s="549"/>
      <c r="AT1252" s="549"/>
      <c r="AU1252" s="549"/>
      <c r="AV1252" s="549"/>
      <c r="AW1252" s="549"/>
      <c r="AX1252" s="549"/>
      <c r="AY1252" s="549"/>
      <c r="AZ1252" s="549"/>
      <c r="BA1252" s="549"/>
      <c r="BB1252" s="549"/>
      <c r="BC1252" s="549"/>
      <c r="BD1252" s="549"/>
      <c r="BE1252" s="549"/>
      <c r="BF1252" s="549"/>
      <c r="BG1252" s="549"/>
      <c r="BH1252" s="549"/>
      <c r="BI1252" s="549"/>
    </row>
    <row r="1253" spans="16:61" s="254" customFormat="1" ht="9.9">
      <c r="P1253" s="549"/>
      <c r="Q1253" s="549"/>
      <c r="R1253" s="549"/>
      <c r="S1253" s="549"/>
      <c r="T1253" s="549"/>
      <c r="U1253" s="549"/>
      <c r="V1253" s="549"/>
      <c r="W1253" s="549"/>
      <c r="X1253" s="549"/>
      <c r="Y1253" s="549"/>
      <c r="Z1253" s="549"/>
      <c r="AA1253" s="549"/>
      <c r="AB1253" s="549"/>
      <c r="AC1253" s="549"/>
      <c r="AD1253" s="549"/>
      <c r="AE1253" s="549"/>
      <c r="AF1253" s="549"/>
      <c r="AG1253" s="549"/>
      <c r="AH1253" s="549"/>
      <c r="AI1253" s="549"/>
      <c r="AJ1253" s="549"/>
      <c r="AK1253" s="549"/>
      <c r="AL1253" s="549"/>
      <c r="AM1253" s="549"/>
      <c r="AN1253" s="549"/>
      <c r="AO1253" s="549"/>
      <c r="AP1253" s="549"/>
      <c r="AQ1253" s="549"/>
      <c r="AR1253" s="549"/>
      <c r="AS1253" s="549"/>
      <c r="AT1253" s="549"/>
      <c r="AU1253" s="549"/>
      <c r="AV1253" s="549"/>
      <c r="AW1253" s="549"/>
      <c r="AX1253" s="549"/>
      <c r="AY1253" s="549"/>
      <c r="AZ1253" s="549"/>
      <c r="BA1253" s="549"/>
      <c r="BB1253" s="549"/>
      <c r="BC1253" s="549"/>
      <c r="BD1253" s="549"/>
      <c r="BE1253" s="549"/>
      <c r="BF1253" s="549"/>
      <c r="BG1253" s="549"/>
      <c r="BH1253" s="549"/>
      <c r="BI1253" s="549"/>
    </row>
    <row r="1254" spans="16:61" s="254" customFormat="1" ht="9.9">
      <c r="P1254" s="549"/>
      <c r="Q1254" s="549"/>
      <c r="R1254" s="549"/>
      <c r="S1254" s="549"/>
      <c r="T1254" s="549"/>
      <c r="U1254" s="549"/>
      <c r="V1254" s="549"/>
      <c r="W1254" s="549"/>
      <c r="X1254" s="549"/>
      <c r="Y1254" s="549"/>
      <c r="Z1254" s="549"/>
      <c r="AA1254" s="549"/>
      <c r="AB1254" s="549"/>
      <c r="AC1254" s="549"/>
      <c r="AD1254" s="549"/>
      <c r="AE1254" s="549"/>
      <c r="AF1254" s="549"/>
      <c r="AG1254" s="549"/>
      <c r="AH1254" s="549"/>
      <c r="AI1254" s="549"/>
      <c r="AJ1254" s="549"/>
      <c r="AK1254" s="549"/>
      <c r="AL1254" s="549"/>
      <c r="AM1254" s="549"/>
      <c r="AN1254" s="549"/>
      <c r="AO1254" s="549"/>
      <c r="AP1254" s="549"/>
      <c r="AQ1254" s="549"/>
      <c r="AR1254" s="549"/>
      <c r="AS1254" s="549"/>
      <c r="AT1254" s="549"/>
      <c r="AU1254" s="549"/>
      <c r="AV1254" s="549"/>
      <c r="AW1254" s="549"/>
      <c r="AX1254" s="549"/>
      <c r="AY1254" s="549"/>
      <c r="AZ1254" s="549"/>
      <c r="BA1254" s="549"/>
      <c r="BB1254" s="549"/>
      <c r="BC1254" s="549"/>
      <c r="BD1254" s="549"/>
      <c r="BE1254" s="549"/>
      <c r="BF1254" s="549"/>
      <c r="BG1254" s="549"/>
      <c r="BH1254" s="549"/>
      <c r="BI1254" s="549"/>
    </row>
    <row r="1255" spans="16:61" s="254" customFormat="1" ht="9.9">
      <c r="P1255" s="549"/>
      <c r="Q1255" s="549"/>
      <c r="R1255" s="549"/>
      <c r="S1255" s="549"/>
      <c r="T1255" s="549"/>
      <c r="U1255" s="549"/>
      <c r="V1255" s="549"/>
      <c r="W1255" s="549"/>
      <c r="X1255" s="549"/>
      <c r="Y1255" s="549"/>
      <c r="Z1255" s="549"/>
      <c r="AA1255" s="549"/>
      <c r="AB1255" s="549"/>
      <c r="AC1255" s="549"/>
      <c r="AD1255" s="549"/>
      <c r="AE1255" s="549"/>
      <c r="AF1255" s="549"/>
      <c r="AG1255" s="549"/>
      <c r="AH1255" s="549"/>
      <c r="AI1255" s="549"/>
      <c r="AJ1255" s="549"/>
      <c r="AK1255" s="549"/>
      <c r="AL1255" s="549"/>
      <c r="AM1255" s="549"/>
      <c r="AN1255" s="549"/>
      <c r="AO1255" s="549"/>
      <c r="AP1255" s="549"/>
      <c r="AQ1255" s="549"/>
      <c r="AR1255" s="549"/>
      <c r="AS1255" s="549"/>
      <c r="AT1255" s="549"/>
      <c r="AU1255" s="549"/>
      <c r="AV1255" s="549"/>
      <c r="AW1255" s="549"/>
      <c r="AX1255" s="549"/>
      <c r="AY1255" s="549"/>
      <c r="AZ1255" s="549"/>
      <c r="BA1255" s="549"/>
      <c r="BB1255" s="549"/>
      <c r="BC1255" s="549"/>
      <c r="BD1255" s="549"/>
      <c r="BE1255" s="549"/>
      <c r="BF1255" s="549"/>
      <c r="BG1255" s="549"/>
      <c r="BH1255" s="549"/>
      <c r="BI1255" s="549"/>
    </row>
    <row r="1256" spans="16:61" s="254" customFormat="1" ht="9.9">
      <c r="P1256" s="549"/>
      <c r="Q1256" s="549"/>
      <c r="R1256" s="549"/>
      <c r="S1256" s="549"/>
      <c r="T1256" s="549"/>
      <c r="U1256" s="549"/>
      <c r="V1256" s="549"/>
      <c r="W1256" s="549"/>
      <c r="X1256" s="549"/>
      <c r="Y1256" s="549"/>
      <c r="Z1256" s="549"/>
      <c r="AA1256" s="549"/>
      <c r="AB1256" s="549"/>
      <c r="AC1256" s="549"/>
      <c r="AD1256" s="549"/>
      <c r="AE1256" s="549"/>
      <c r="AF1256" s="549"/>
      <c r="AG1256" s="549"/>
      <c r="AH1256" s="549"/>
      <c r="AI1256" s="549"/>
      <c r="AJ1256" s="549"/>
      <c r="AK1256" s="549"/>
      <c r="AL1256" s="549"/>
      <c r="AM1256" s="549"/>
      <c r="AN1256" s="549"/>
      <c r="AO1256" s="549"/>
      <c r="AP1256" s="549"/>
      <c r="AQ1256" s="549"/>
      <c r="AR1256" s="549"/>
      <c r="AS1256" s="549"/>
      <c r="AT1256" s="549"/>
      <c r="AU1256" s="549"/>
      <c r="AV1256" s="549"/>
      <c r="AW1256" s="549"/>
      <c r="AX1256" s="549"/>
      <c r="AY1256" s="549"/>
      <c r="AZ1256" s="549"/>
      <c r="BA1256" s="549"/>
      <c r="BB1256" s="549"/>
      <c r="BC1256" s="549"/>
      <c r="BD1256" s="549"/>
      <c r="BE1256" s="549"/>
      <c r="BF1256" s="549"/>
      <c r="BG1256" s="549"/>
      <c r="BH1256" s="549"/>
      <c r="BI1256" s="549"/>
    </row>
    <row r="1257" spans="16:61" s="254" customFormat="1" ht="9.9">
      <c r="P1257" s="549"/>
      <c r="Q1257" s="549"/>
      <c r="R1257" s="549"/>
      <c r="S1257" s="549"/>
      <c r="T1257" s="549"/>
      <c r="U1257" s="549"/>
      <c r="V1257" s="549"/>
      <c r="W1257" s="549"/>
      <c r="X1257" s="549"/>
      <c r="Y1257" s="549"/>
      <c r="Z1257" s="549"/>
      <c r="AA1257" s="549"/>
      <c r="AB1257" s="549"/>
      <c r="AC1257" s="549"/>
      <c r="AD1257" s="549"/>
      <c r="AE1257" s="549"/>
      <c r="AF1257" s="549"/>
      <c r="AG1257" s="549"/>
      <c r="AH1257" s="549"/>
      <c r="AI1257" s="549"/>
      <c r="AJ1257" s="549"/>
      <c r="AK1257" s="549"/>
      <c r="AL1257" s="549"/>
      <c r="AM1257" s="549"/>
      <c r="AN1257" s="549"/>
      <c r="AO1257" s="549"/>
      <c r="AP1257" s="549"/>
      <c r="AQ1257" s="549"/>
      <c r="AR1257" s="549"/>
      <c r="AS1257" s="549"/>
      <c r="AT1257" s="549"/>
      <c r="AU1257" s="549"/>
      <c r="AV1257" s="549"/>
      <c r="AW1257" s="549"/>
      <c r="AX1257" s="549"/>
      <c r="AY1257" s="549"/>
      <c r="AZ1257" s="549"/>
      <c r="BA1257" s="549"/>
      <c r="BB1257" s="549"/>
      <c r="BC1257" s="549"/>
      <c r="BD1257" s="549"/>
      <c r="BE1257" s="549"/>
      <c r="BF1257" s="549"/>
      <c r="BG1257" s="549"/>
      <c r="BH1257" s="549"/>
      <c r="BI1257" s="549"/>
    </row>
    <row r="1258" spans="16:61" s="254" customFormat="1" ht="9.9">
      <c r="P1258" s="549"/>
      <c r="Q1258" s="549"/>
      <c r="R1258" s="549"/>
      <c r="S1258" s="549"/>
      <c r="T1258" s="549"/>
      <c r="U1258" s="549"/>
      <c r="V1258" s="549"/>
      <c r="W1258" s="549"/>
      <c r="X1258" s="549"/>
      <c r="Y1258" s="549"/>
      <c r="Z1258" s="549"/>
      <c r="AA1258" s="549"/>
      <c r="AB1258" s="549"/>
      <c r="AC1258" s="549"/>
      <c r="AD1258" s="549"/>
      <c r="AE1258" s="549"/>
      <c r="AF1258" s="549"/>
      <c r="AG1258" s="549"/>
      <c r="AH1258" s="549"/>
      <c r="AI1258" s="549"/>
      <c r="AJ1258" s="549"/>
      <c r="AK1258" s="549"/>
      <c r="AL1258" s="549"/>
      <c r="AM1258" s="549"/>
      <c r="AN1258" s="549"/>
      <c r="AO1258" s="549"/>
      <c r="AP1258" s="549"/>
      <c r="AQ1258" s="549"/>
      <c r="AR1258" s="549"/>
      <c r="AS1258" s="549"/>
      <c r="AT1258" s="549"/>
      <c r="AU1258" s="549"/>
      <c r="AV1258" s="549"/>
      <c r="AW1258" s="549"/>
      <c r="AX1258" s="549"/>
      <c r="AY1258" s="549"/>
      <c r="AZ1258" s="549"/>
      <c r="BA1258" s="549"/>
      <c r="BB1258" s="549"/>
      <c r="BC1258" s="549"/>
      <c r="BD1258" s="549"/>
      <c r="BE1258" s="549"/>
      <c r="BF1258" s="549"/>
      <c r="BG1258" s="549"/>
      <c r="BH1258" s="549"/>
      <c r="BI1258" s="549"/>
    </row>
    <row r="1259" spans="16:61" s="254" customFormat="1" ht="9.9">
      <c r="P1259" s="549"/>
      <c r="Q1259" s="549"/>
      <c r="R1259" s="549"/>
      <c r="S1259" s="549"/>
      <c r="T1259" s="549"/>
      <c r="U1259" s="549"/>
      <c r="V1259" s="549"/>
      <c r="W1259" s="549"/>
      <c r="X1259" s="549"/>
      <c r="Y1259" s="549"/>
      <c r="Z1259" s="549"/>
      <c r="AA1259" s="549"/>
      <c r="AB1259" s="549"/>
      <c r="AC1259" s="549"/>
      <c r="AD1259" s="549"/>
      <c r="AE1259" s="549"/>
      <c r="AF1259" s="549"/>
      <c r="AG1259" s="549"/>
      <c r="AH1259" s="549"/>
      <c r="AI1259" s="549"/>
      <c r="AJ1259" s="549"/>
      <c r="AK1259" s="549"/>
      <c r="AL1259" s="549"/>
      <c r="AM1259" s="549"/>
      <c r="AN1259" s="549"/>
      <c r="AO1259" s="549"/>
      <c r="AP1259" s="549"/>
      <c r="AQ1259" s="549"/>
      <c r="AR1259" s="549"/>
      <c r="AS1259" s="549"/>
      <c r="AT1259" s="549"/>
      <c r="AU1259" s="549"/>
      <c r="AV1259" s="549"/>
      <c r="AW1259" s="549"/>
      <c r="AX1259" s="549"/>
      <c r="AY1259" s="549"/>
      <c r="AZ1259" s="549"/>
      <c r="BA1259" s="549"/>
      <c r="BB1259" s="549"/>
      <c r="BC1259" s="549"/>
      <c r="BD1259" s="549"/>
      <c r="BE1259" s="549"/>
      <c r="BF1259" s="549"/>
      <c r="BG1259" s="549"/>
      <c r="BH1259" s="549"/>
      <c r="BI1259" s="549"/>
    </row>
    <row r="1260" spans="16:61" s="254" customFormat="1" ht="9.9">
      <c r="P1260" s="549"/>
      <c r="Q1260" s="549"/>
      <c r="R1260" s="549"/>
      <c r="S1260" s="549"/>
      <c r="T1260" s="549"/>
      <c r="U1260" s="549"/>
      <c r="V1260" s="549"/>
      <c r="W1260" s="549"/>
      <c r="X1260" s="549"/>
      <c r="Y1260" s="549"/>
      <c r="Z1260" s="549"/>
      <c r="AA1260" s="549"/>
      <c r="AB1260" s="549"/>
      <c r="AC1260" s="549"/>
      <c r="AD1260" s="549"/>
      <c r="AE1260" s="549"/>
      <c r="AF1260" s="549"/>
      <c r="AG1260" s="549"/>
      <c r="AH1260" s="549"/>
      <c r="AI1260" s="549"/>
      <c r="AJ1260" s="549"/>
      <c r="AK1260" s="549"/>
      <c r="AL1260" s="549"/>
      <c r="AM1260" s="549"/>
      <c r="AN1260" s="549"/>
      <c r="AO1260" s="549"/>
      <c r="AP1260" s="549"/>
      <c r="AQ1260" s="549"/>
      <c r="AR1260" s="549"/>
      <c r="AS1260" s="549"/>
      <c r="AT1260" s="549"/>
      <c r="AU1260" s="549"/>
      <c r="AV1260" s="549"/>
      <c r="AW1260" s="549"/>
      <c r="AX1260" s="549"/>
      <c r="AY1260" s="549"/>
      <c r="AZ1260" s="549"/>
      <c r="BA1260" s="549"/>
      <c r="BB1260" s="549"/>
      <c r="BC1260" s="549"/>
      <c r="BD1260" s="549"/>
      <c r="BE1260" s="549"/>
      <c r="BF1260" s="549"/>
      <c r="BG1260" s="549"/>
      <c r="BH1260" s="549"/>
      <c r="BI1260" s="549"/>
    </row>
    <row r="1261" spans="16:61" s="254" customFormat="1" ht="9.9">
      <c r="P1261" s="549"/>
      <c r="Q1261" s="549"/>
      <c r="R1261" s="549"/>
      <c r="S1261" s="549"/>
      <c r="T1261" s="549"/>
      <c r="U1261" s="549"/>
      <c r="V1261" s="549"/>
      <c r="W1261" s="549"/>
      <c r="X1261" s="549"/>
      <c r="Y1261" s="549"/>
      <c r="Z1261" s="549"/>
      <c r="AA1261" s="549"/>
      <c r="AB1261" s="549"/>
      <c r="AC1261" s="549"/>
      <c r="AD1261" s="549"/>
      <c r="AE1261" s="549"/>
      <c r="AF1261" s="549"/>
      <c r="AG1261" s="549"/>
      <c r="AH1261" s="549"/>
      <c r="AI1261" s="549"/>
      <c r="AJ1261" s="549"/>
      <c r="AK1261" s="549"/>
      <c r="AL1261" s="549"/>
      <c r="AM1261" s="549"/>
      <c r="AN1261" s="549"/>
      <c r="AO1261" s="549"/>
      <c r="AP1261" s="549"/>
      <c r="AQ1261" s="549"/>
      <c r="AR1261" s="549"/>
      <c r="AS1261" s="549"/>
      <c r="AT1261" s="549"/>
      <c r="AU1261" s="549"/>
      <c r="AV1261" s="549"/>
      <c r="AW1261" s="549"/>
      <c r="AX1261" s="549"/>
      <c r="AY1261" s="549"/>
      <c r="AZ1261" s="549"/>
      <c r="BA1261" s="549"/>
      <c r="BB1261" s="549"/>
      <c r="BC1261" s="549"/>
      <c r="BD1261" s="549"/>
      <c r="BE1261" s="549"/>
      <c r="BF1261" s="549"/>
      <c r="BG1261" s="549"/>
      <c r="BH1261" s="549"/>
      <c r="BI1261" s="549"/>
    </row>
    <row r="1262" spans="16:61" s="254" customFormat="1" ht="9.9">
      <c r="P1262" s="549"/>
      <c r="Q1262" s="549"/>
      <c r="R1262" s="549"/>
      <c r="S1262" s="549"/>
      <c r="T1262" s="549"/>
      <c r="U1262" s="549"/>
      <c r="V1262" s="549"/>
      <c r="W1262" s="549"/>
      <c r="X1262" s="549"/>
      <c r="Y1262" s="549"/>
      <c r="Z1262" s="549"/>
      <c r="AA1262" s="549"/>
      <c r="AB1262" s="549"/>
      <c r="AC1262" s="549"/>
      <c r="AD1262" s="549"/>
      <c r="AE1262" s="549"/>
      <c r="AF1262" s="549"/>
      <c r="AG1262" s="549"/>
      <c r="AH1262" s="549"/>
      <c r="AI1262" s="549"/>
      <c r="AJ1262" s="549"/>
      <c r="AK1262" s="549"/>
      <c r="AL1262" s="549"/>
      <c r="AM1262" s="549"/>
      <c r="AN1262" s="549"/>
      <c r="AO1262" s="549"/>
      <c r="AP1262" s="549"/>
      <c r="AQ1262" s="549"/>
      <c r="AR1262" s="549"/>
      <c r="AS1262" s="549"/>
      <c r="AT1262" s="549"/>
      <c r="AU1262" s="549"/>
      <c r="AV1262" s="549"/>
      <c r="AW1262" s="549"/>
      <c r="AX1262" s="549"/>
      <c r="AY1262" s="549"/>
      <c r="AZ1262" s="549"/>
      <c r="BA1262" s="549"/>
      <c r="BB1262" s="549"/>
      <c r="BC1262" s="549"/>
      <c r="BD1262" s="549"/>
      <c r="BE1262" s="549"/>
      <c r="BF1262" s="549"/>
      <c r="BG1262" s="549"/>
      <c r="BH1262" s="549"/>
      <c r="BI1262" s="549"/>
    </row>
    <row r="1263" spans="16:61" s="254" customFormat="1" ht="9.9">
      <c r="P1263" s="549"/>
      <c r="Q1263" s="549"/>
      <c r="R1263" s="549"/>
      <c r="S1263" s="549"/>
      <c r="T1263" s="549"/>
      <c r="U1263" s="549"/>
      <c r="V1263" s="549"/>
      <c r="W1263" s="549"/>
      <c r="X1263" s="549"/>
      <c r="Y1263" s="549"/>
      <c r="Z1263" s="549"/>
      <c r="AA1263" s="549"/>
      <c r="AB1263" s="549"/>
      <c r="AC1263" s="549"/>
      <c r="AD1263" s="549"/>
      <c r="AE1263" s="549"/>
      <c r="AF1263" s="549"/>
      <c r="AG1263" s="549"/>
      <c r="AH1263" s="549"/>
      <c r="AI1263" s="549"/>
      <c r="AJ1263" s="549"/>
      <c r="AK1263" s="549"/>
      <c r="AL1263" s="549"/>
      <c r="AM1263" s="549"/>
      <c r="AN1263" s="549"/>
      <c r="AO1263" s="549"/>
      <c r="AP1263" s="549"/>
      <c r="AQ1263" s="549"/>
      <c r="AR1263" s="549"/>
      <c r="AS1263" s="549"/>
      <c r="AT1263" s="549"/>
      <c r="AU1263" s="549"/>
      <c r="AV1263" s="549"/>
      <c r="AW1263" s="549"/>
      <c r="AX1263" s="549"/>
      <c r="AY1263" s="549"/>
      <c r="AZ1263" s="549"/>
      <c r="BA1263" s="549"/>
      <c r="BB1263" s="549"/>
      <c r="BC1263" s="549"/>
      <c r="BD1263" s="549"/>
      <c r="BE1263" s="549"/>
      <c r="BF1263" s="549"/>
      <c r="BG1263" s="549"/>
      <c r="BH1263" s="549"/>
      <c r="BI1263" s="549"/>
    </row>
    <row r="1264" spans="16:61" s="254" customFormat="1" ht="9.9">
      <c r="P1264" s="549"/>
      <c r="Q1264" s="549"/>
      <c r="R1264" s="549"/>
      <c r="S1264" s="549"/>
      <c r="T1264" s="549"/>
      <c r="U1264" s="549"/>
      <c r="V1264" s="549"/>
      <c r="W1264" s="549"/>
      <c r="X1264" s="549"/>
      <c r="Y1264" s="549"/>
      <c r="Z1264" s="549"/>
      <c r="AA1264" s="549"/>
      <c r="AB1264" s="549"/>
      <c r="AC1264" s="549"/>
      <c r="AD1264" s="549"/>
      <c r="AE1264" s="549"/>
      <c r="AF1264" s="549"/>
      <c r="AG1264" s="549"/>
      <c r="AH1264" s="549"/>
      <c r="AI1264" s="549"/>
      <c r="AJ1264" s="549"/>
      <c r="AK1264" s="549"/>
      <c r="AL1264" s="549"/>
      <c r="AM1264" s="549"/>
      <c r="AN1264" s="549"/>
      <c r="AO1264" s="549"/>
      <c r="AP1264" s="549"/>
      <c r="AQ1264" s="549"/>
      <c r="AR1264" s="549"/>
      <c r="AS1264" s="549"/>
      <c r="AT1264" s="549"/>
      <c r="AU1264" s="549"/>
      <c r="AV1264" s="549"/>
      <c r="AW1264" s="549"/>
      <c r="AX1264" s="549"/>
      <c r="AY1264" s="549"/>
      <c r="AZ1264" s="549"/>
      <c r="BA1264" s="549"/>
      <c r="BB1264" s="549"/>
      <c r="BC1264" s="549"/>
      <c r="BD1264" s="549"/>
      <c r="BE1264" s="549"/>
      <c r="BF1264" s="549"/>
      <c r="BG1264" s="549"/>
      <c r="BH1264" s="549"/>
      <c r="BI1264" s="549"/>
    </row>
    <row r="1265" spans="16:61" s="254" customFormat="1" ht="9.9">
      <c r="P1265" s="549"/>
      <c r="Q1265" s="549"/>
      <c r="R1265" s="549"/>
      <c r="S1265" s="549"/>
      <c r="T1265" s="549"/>
      <c r="U1265" s="549"/>
      <c r="V1265" s="549"/>
      <c r="W1265" s="549"/>
      <c r="X1265" s="549"/>
      <c r="Y1265" s="549"/>
      <c r="Z1265" s="549"/>
      <c r="AA1265" s="549"/>
      <c r="AB1265" s="549"/>
      <c r="AC1265" s="549"/>
      <c r="AD1265" s="549"/>
      <c r="AE1265" s="549"/>
      <c r="AF1265" s="549"/>
      <c r="AG1265" s="549"/>
      <c r="AH1265" s="549"/>
      <c r="AI1265" s="549"/>
      <c r="AJ1265" s="549"/>
      <c r="AK1265" s="549"/>
      <c r="AL1265" s="549"/>
      <c r="AM1265" s="549"/>
      <c r="AN1265" s="549"/>
      <c r="AO1265" s="549"/>
      <c r="AP1265" s="549"/>
      <c r="AQ1265" s="549"/>
      <c r="AR1265" s="549"/>
      <c r="AS1265" s="549"/>
      <c r="AT1265" s="549"/>
      <c r="AU1265" s="549"/>
      <c r="AV1265" s="549"/>
      <c r="AW1265" s="549"/>
      <c r="AX1265" s="549"/>
      <c r="AY1265" s="549"/>
      <c r="AZ1265" s="549"/>
      <c r="BA1265" s="549"/>
      <c r="BB1265" s="549"/>
      <c r="BC1265" s="549"/>
      <c r="BD1265" s="549"/>
      <c r="BE1265" s="549"/>
      <c r="BF1265" s="549"/>
      <c r="BG1265" s="549"/>
      <c r="BH1265" s="549"/>
      <c r="BI1265" s="549"/>
    </row>
    <row r="1266" spans="16:61" s="254" customFormat="1" ht="9.9">
      <c r="P1266" s="549"/>
      <c r="Q1266" s="549"/>
      <c r="R1266" s="549"/>
      <c r="S1266" s="549"/>
      <c r="T1266" s="549"/>
      <c r="U1266" s="549"/>
      <c r="V1266" s="549"/>
      <c r="W1266" s="549"/>
      <c r="X1266" s="549"/>
      <c r="Y1266" s="549"/>
      <c r="Z1266" s="549"/>
      <c r="AA1266" s="549"/>
      <c r="AB1266" s="549"/>
      <c r="AC1266" s="549"/>
      <c r="AD1266" s="549"/>
      <c r="AE1266" s="549"/>
      <c r="AF1266" s="549"/>
      <c r="AG1266" s="549"/>
      <c r="AH1266" s="549"/>
      <c r="AI1266" s="549"/>
      <c r="AJ1266" s="549"/>
      <c r="AK1266" s="549"/>
      <c r="AL1266" s="549"/>
      <c r="AM1266" s="549"/>
      <c r="AN1266" s="549"/>
      <c r="AO1266" s="549"/>
      <c r="AP1266" s="549"/>
      <c r="AQ1266" s="549"/>
      <c r="AR1266" s="549"/>
      <c r="AS1266" s="549"/>
      <c r="AT1266" s="549"/>
      <c r="AU1266" s="549"/>
      <c r="AV1266" s="549"/>
      <c r="AW1266" s="549"/>
      <c r="AX1266" s="549"/>
      <c r="AY1266" s="549"/>
      <c r="AZ1266" s="549"/>
      <c r="BA1266" s="549"/>
      <c r="BB1266" s="549"/>
      <c r="BC1266" s="549"/>
      <c r="BD1266" s="549"/>
      <c r="BE1266" s="549"/>
      <c r="BF1266" s="549"/>
      <c r="BG1266" s="549"/>
      <c r="BH1266" s="549"/>
      <c r="BI1266" s="549"/>
    </row>
    <row r="1267" spans="16:61" s="254" customFormat="1" ht="9.9">
      <c r="P1267" s="549"/>
      <c r="Q1267" s="549"/>
      <c r="R1267" s="549"/>
      <c r="S1267" s="549"/>
      <c r="T1267" s="549"/>
      <c r="U1267" s="549"/>
      <c r="V1267" s="549"/>
      <c r="W1267" s="549"/>
      <c r="X1267" s="549"/>
      <c r="Y1267" s="549"/>
      <c r="Z1267" s="549"/>
      <c r="AA1267" s="549"/>
      <c r="AB1267" s="549"/>
      <c r="AC1267" s="549"/>
      <c r="AD1267" s="549"/>
      <c r="AE1267" s="549"/>
      <c r="AF1267" s="549"/>
      <c r="AG1267" s="549"/>
      <c r="AH1267" s="549"/>
      <c r="AI1267" s="549"/>
      <c r="AJ1267" s="549"/>
      <c r="AK1267" s="549"/>
      <c r="AL1267" s="549"/>
      <c r="AM1267" s="549"/>
      <c r="AN1267" s="549"/>
      <c r="AO1267" s="549"/>
      <c r="AP1267" s="549"/>
      <c r="AQ1267" s="549"/>
      <c r="AR1267" s="549"/>
      <c r="AS1267" s="549"/>
      <c r="AT1267" s="549"/>
      <c r="AU1267" s="549"/>
      <c r="AV1267" s="549"/>
      <c r="AW1267" s="549"/>
      <c r="AX1267" s="549"/>
      <c r="AY1267" s="549"/>
      <c r="AZ1267" s="549"/>
      <c r="BA1267" s="549"/>
      <c r="BB1267" s="549"/>
      <c r="BC1267" s="549"/>
      <c r="BD1267" s="549"/>
      <c r="BE1267" s="549"/>
      <c r="BF1267" s="549"/>
      <c r="BG1267" s="549"/>
      <c r="BH1267" s="549"/>
      <c r="BI1267" s="549"/>
    </row>
    <row r="1268" spans="16:61" s="254" customFormat="1" ht="9.9">
      <c r="P1268" s="549"/>
      <c r="Q1268" s="549"/>
      <c r="R1268" s="549"/>
      <c r="S1268" s="549"/>
      <c r="T1268" s="549"/>
      <c r="U1268" s="549"/>
      <c r="V1268" s="549"/>
      <c r="W1268" s="549"/>
      <c r="X1268" s="549"/>
      <c r="Y1268" s="549"/>
      <c r="Z1268" s="549"/>
      <c r="AA1268" s="549"/>
      <c r="AB1268" s="549"/>
      <c r="AC1268" s="549"/>
      <c r="AD1268" s="549"/>
      <c r="AE1268" s="549"/>
      <c r="AF1268" s="549"/>
      <c r="AG1268" s="549"/>
      <c r="AH1268" s="549"/>
      <c r="AI1268" s="549"/>
      <c r="AJ1268" s="549"/>
      <c r="AK1268" s="549"/>
      <c r="AL1268" s="549"/>
      <c r="AM1268" s="549"/>
      <c r="AN1268" s="549"/>
      <c r="AO1268" s="549"/>
      <c r="AP1268" s="549"/>
      <c r="AQ1268" s="549"/>
      <c r="AR1268" s="549"/>
      <c r="AS1268" s="549"/>
      <c r="AT1268" s="549"/>
      <c r="AU1268" s="549"/>
      <c r="AV1268" s="549"/>
      <c r="AW1268" s="549"/>
      <c r="AX1268" s="549"/>
      <c r="AY1268" s="549"/>
      <c r="AZ1268" s="549"/>
      <c r="BA1268" s="549"/>
      <c r="BB1268" s="549"/>
      <c r="BC1268" s="549"/>
      <c r="BD1268" s="549"/>
      <c r="BE1268" s="549"/>
      <c r="BF1268" s="549"/>
      <c r="BG1268" s="549"/>
      <c r="BH1268" s="549"/>
      <c r="BI1268" s="549"/>
    </row>
    <row r="1269" spans="16:61" s="254" customFormat="1" ht="9.9">
      <c r="P1269" s="549"/>
      <c r="Q1269" s="549"/>
      <c r="R1269" s="549"/>
      <c r="S1269" s="549"/>
      <c r="T1269" s="549"/>
      <c r="U1269" s="549"/>
      <c r="V1269" s="549"/>
      <c r="W1269" s="549"/>
      <c r="X1269" s="549"/>
      <c r="Y1269" s="549"/>
      <c r="Z1269" s="549"/>
      <c r="AA1269" s="549"/>
      <c r="AB1269" s="549"/>
      <c r="AC1269" s="549"/>
      <c r="AD1269" s="549"/>
      <c r="AE1269" s="549"/>
      <c r="AF1269" s="549"/>
      <c r="AG1269" s="549"/>
      <c r="AH1269" s="549"/>
      <c r="AI1269" s="549"/>
      <c r="AJ1269" s="549"/>
      <c r="AK1269" s="549"/>
      <c r="AL1269" s="549"/>
      <c r="AM1269" s="549"/>
      <c r="AN1269" s="549"/>
      <c r="AO1269" s="549"/>
      <c r="AP1269" s="549"/>
      <c r="AQ1269" s="549"/>
      <c r="AR1269" s="549"/>
      <c r="AS1269" s="549"/>
      <c r="AT1269" s="549"/>
      <c r="AU1269" s="549"/>
      <c r="AV1269" s="549"/>
      <c r="AW1269" s="549"/>
      <c r="AX1269" s="549"/>
      <c r="AY1269" s="549"/>
      <c r="AZ1269" s="549"/>
      <c r="BA1269" s="549"/>
      <c r="BB1269" s="549"/>
      <c r="BC1269" s="549"/>
      <c r="BD1269" s="549"/>
      <c r="BE1269" s="549"/>
      <c r="BF1269" s="549"/>
      <c r="BG1269" s="549"/>
      <c r="BH1269" s="549"/>
      <c r="BI1269" s="549"/>
    </row>
    <row r="1270" spans="16:61" s="254" customFormat="1" ht="9.9">
      <c r="P1270" s="549"/>
      <c r="Q1270" s="549"/>
      <c r="R1270" s="549"/>
      <c r="S1270" s="549"/>
      <c r="T1270" s="549"/>
      <c r="U1270" s="549"/>
      <c r="V1270" s="549"/>
      <c r="W1270" s="549"/>
      <c r="X1270" s="549"/>
      <c r="Y1270" s="549"/>
      <c r="Z1270" s="549"/>
      <c r="AA1270" s="549"/>
      <c r="AB1270" s="549"/>
      <c r="AC1270" s="549"/>
      <c r="AD1270" s="549"/>
      <c r="AE1270" s="549"/>
      <c r="AF1270" s="549"/>
      <c r="AG1270" s="549"/>
      <c r="AH1270" s="549"/>
      <c r="AI1270" s="549"/>
      <c r="AJ1270" s="549"/>
      <c r="AK1270" s="549"/>
      <c r="AL1270" s="549"/>
      <c r="AM1270" s="549"/>
      <c r="AN1270" s="549"/>
      <c r="AO1270" s="549"/>
      <c r="AP1270" s="549"/>
      <c r="AQ1270" s="549"/>
      <c r="AR1270" s="549"/>
      <c r="AS1270" s="549"/>
      <c r="AT1270" s="549"/>
      <c r="AU1270" s="549"/>
      <c r="AV1270" s="549"/>
      <c r="AW1270" s="549"/>
      <c r="AX1270" s="549"/>
      <c r="AY1270" s="549"/>
      <c r="AZ1270" s="549"/>
      <c r="BA1270" s="549"/>
      <c r="BB1270" s="549"/>
      <c r="BC1270" s="549"/>
      <c r="BD1270" s="549"/>
      <c r="BE1270" s="549"/>
      <c r="BF1270" s="549"/>
      <c r="BG1270" s="549"/>
      <c r="BH1270" s="549"/>
      <c r="BI1270" s="549"/>
    </row>
    <row r="1271" spans="16:61" s="254" customFormat="1" ht="9.9">
      <c r="P1271" s="549"/>
      <c r="Q1271" s="549"/>
      <c r="R1271" s="549"/>
      <c r="S1271" s="549"/>
      <c r="T1271" s="549"/>
      <c r="U1271" s="549"/>
      <c r="V1271" s="549"/>
      <c r="W1271" s="549"/>
      <c r="X1271" s="549"/>
      <c r="Y1271" s="549"/>
      <c r="Z1271" s="549"/>
      <c r="AA1271" s="549"/>
      <c r="AB1271" s="549"/>
      <c r="AC1271" s="549"/>
      <c r="AD1271" s="549"/>
      <c r="AE1271" s="549"/>
      <c r="AF1271" s="549"/>
      <c r="AG1271" s="549"/>
      <c r="AH1271" s="549"/>
      <c r="AI1271" s="549"/>
      <c r="AJ1271" s="549"/>
      <c r="AK1271" s="549"/>
      <c r="AL1271" s="549"/>
      <c r="AM1271" s="549"/>
      <c r="AN1271" s="549"/>
      <c r="AO1271" s="549"/>
      <c r="AP1271" s="549"/>
      <c r="AQ1271" s="549"/>
      <c r="AR1271" s="549"/>
      <c r="AS1271" s="549"/>
      <c r="AT1271" s="549"/>
      <c r="AU1271" s="549"/>
      <c r="AV1271" s="549"/>
      <c r="AW1271" s="549"/>
      <c r="AX1271" s="549"/>
      <c r="AY1271" s="549"/>
      <c r="AZ1271" s="549"/>
      <c r="BA1271" s="549"/>
      <c r="BB1271" s="549"/>
      <c r="BC1271" s="549"/>
      <c r="BD1271" s="549"/>
      <c r="BE1271" s="549"/>
      <c r="BF1271" s="549"/>
      <c r="BG1271" s="549"/>
      <c r="BH1271" s="549"/>
      <c r="BI1271" s="549"/>
    </row>
    <row r="1272" spans="16:61" s="254" customFormat="1" ht="9.9">
      <c r="P1272" s="549"/>
      <c r="Q1272" s="549"/>
      <c r="R1272" s="549"/>
      <c r="S1272" s="549"/>
      <c r="T1272" s="549"/>
      <c r="U1272" s="549"/>
      <c r="V1272" s="549"/>
      <c r="W1272" s="549"/>
      <c r="X1272" s="549"/>
      <c r="Y1272" s="549"/>
      <c r="Z1272" s="549"/>
      <c r="AA1272" s="549"/>
      <c r="AB1272" s="549"/>
      <c r="AC1272" s="549"/>
      <c r="AD1272" s="549"/>
      <c r="AE1272" s="549"/>
      <c r="AF1272" s="549"/>
      <c r="AG1272" s="549"/>
      <c r="AH1272" s="549"/>
      <c r="AI1272" s="549"/>
      <c r="AJ1272" s="549"/>
      <c r="AK1272" s="549"/>
      <c r="AL1272" s="549"/>
      <c r="AM1272" s="549"/>
      <c r="AN1272" s="549"/>
      <c r="AO1272" s="549"/>
      <c r="AP1272" s="549"/>
      <c r="AQ1272" s="549"/>
      <c r="AR1272" s="549"/>
      <c r="AS1272" s="549"/>
      <c r="AT1272" s="549"/>
      <c r="AU1272" s="549"/>
      <c r="AV1272" s="549"/>
      <c r="AW1272" s="549"/>
      <c r="AX1272" s="549"/>
      <c r="AY1272" s="549"/>
      <c r="AZ1272" s="549"/>
      <c r="BA1272" s="549"/>
      <c r="BB1272" s="549"/>
      <c r="BC1272" s="549"/>
      <c r="BD1272" s="549"/>
      <c r="BE1272" s="549"/>
      <c r="BF1272" s="549"/>
      <c r="BG1272" s="549"/>
      <c r="BH1272" s="549"/>
      <c r="BI1272" s="549"/>
    </row>
    <row r="1273" spans="16:61" s="254" customFormat="1" ht="9.9">
      <c r="P1273" s="549"/>
      <c r="Q1273" s="549"/>
      <c r="R1273" s="549"/>
      <c r="S1273" s="549"/>
      <c r="T1273" s="549"/>
      <c r="U1273" s="549"/>
      <c r="V1273" s="549"/>
      <c r="W1273" s="549"/>
      <c r="X1273" s="549"/>
      <c r="Y1273" s="549"/>
      <c r="Z1273" s="549"/>
      <c r="AA1273" s="549"/>
      <c r="AB1273" s="549"/>
      <c r="AC1273" s="549"/>
      <c r="AD1273" s="549"/>
      <c r="AE1273" s="549"/>
      <c r="AF1273" s="549"/>
      <c r="AG1273" s="549"/>
      <c r="AH1273" s="549"/>
      <c r="AI1273" s="549"/>
      <c r="AJ1273" s="549"/>
      <c r="AK1273" s="549"/>
      <c r="AL1273" s="549"/>
      <c r="AM1273" s="549"/>
      <c r="AN1273" s="549"/>
      <c r="AO1273" s="549"/>
      <c r="AP1273" s="549"/>
      <c r="AQ1273" s="549"/>
      <c r="AR1273" s="549"/>
      <c r="AS1273" s="549"/>
      <c r="AT1273" s="549"/>
      <c r="AU1273" s="549"/>
      <c r="AV1273" s="549"/>
      <c r="AW1273" s="549"/>
      <c r="AX1273" s="549"/>
      <c r="AY1273" s="549"/>
      <c r="AZ1273" s="549"/>
      <c r="BA1273" s="549"/>
      <c r="BB1273" s="549"/>
      <c r="BC1273" s="549"/>
      <c r="BD1273" s="549"/>
      <c r="BE1273" s="549"/>
      <c r="BF1273" s="549"/>
      <c r="BG1273" s="549"/>
      <c r="BH1273" s="549"/>
      <c r="BI1273" s="549"/>
    </row>
    <row r="1274" spans="16:61" s="254" customFormat="1" ht="9.9">
      <c r="P1274" s="549"/>
      <c r="Q1274" s="549"/>
      <c r="R1274" s="549"/>
      <c r="S1274" s="549"/>
      <c r="T1274" s="549"/>
      <c r="U1274" s="549"/>
      <c r="V1274" s="549"/>
      <c r="W1274" s="549"/>
      <c r="X1274" s="549"/>
      <c r="Y1274" s="549"/>
      <c r="Z1274" s="549"/>
      <c r="AA1274" s="549"/>
      <c r="AB1274" s="549"/>
      <c r="AC1274" s="549"/>
      <c r="AD1274" s="549"/>
      <c r="AE1274" s="549"/>
      <c r="AF1274" s="549"/>
      <c r="AG1274" s="549"/>
      <c r="AH1274" s="549"/>
      <c r="AI1274" s="549"/>
      <c r="AJ1274" s="549"/>
      <c r="AK1274" s="549"/>
      <c r="AL1274" s="549"/>
      <c r="AM1274" s="549"/>
      <c r="AN1274" s="549"/>
      <c r="AO1274" s="549"/>
      <c r="AP1274" s="549"/>
      <c r="AQ1274" s="549"/>
      <c r="AR1274" s="549"/>
      <c r="AS1274" s="549"/>
      <c r="AT1274" s="549"/>
      <c r="AU1274" s="549"/>
      <c r="AV1274" s="549"/>
      <c r="AW1274" s="549"/>
      <c r="AX1274" s="549"/>
      <c r="AY1274" s="549"/>
      <c r="AZ1274" s="549"/>
      <c r="BA1274" s="549"/>
      <c r="BB1274" s="549"/>
      <c r="BC1274" s="549"/>
      <c r="BD1274" s="549"/>
      <c r="BE1274" s="549"/>
      <c r="BF1274" s="549"/>
      <c r="BG1274" s="549"/>
      <c r="BH1274" s="549"/>
      <c r="BI1274" s="549"/>
    </row>
    <row r="1275" spans="16:61" s="254" customFormat="1" ht="9.9">
      <c r="P1275" s="549"/>
      <c r="Q1275" s="549"/>
      <c r="R1275" s="549"/>
      <c r="S1275" s="549"/>
      <c r="T1275" s="549"/>
      <c r="U1275" s="549"/>
      <c r="V1275" s="549"/>
      <c r="W1275" s="549"/>
      <c r="X1275" s="549"/>
      <c r="Y1275" s="549"/>
      <c r="Z1275" s="549"/>
      <c r="AA1275" s="549"/>
      <c r="AB1275" s="549"/>
      <c r="AC1275" s="549"/>
      <c r="AD1275" s="549"/>
      <c r="AE1275" s="549"/>
      <c r="AF1275" s="549"/>
      <c r="AG1275" s="549"/>
      <c r="AH1275" s="549"/>
      <c r="AI1275" s="549"/>
      <c r="AJ1275" s="549"/>
      <c r="AK1275" s="549"/>
      <c r="AL1275" s="549"/>
      <c r="AM1275" s="549"/>
      <c r="AN1275" s="549"/>
      <c r="AO1275" s="549"/>
      <c r="AP1275" s="549"/>
      <c r="AQ1275" s="549"/>
      <c r="AR1275" s="549"/>
      <c r="AS1275" s="549"/>
      <c r="AT1275" s="549"/>
      <c r="AU1275" s="549"/>
      <c r="AV1275" s="549"/>
      <c r="AW1275" s="549"/>
      <c r="AX1275" s="549"/>
      <c r="AY1275" s="549"/>
      <c r="AZ1275" s="549"/>
      <c r="BA1275" s="549"/>
      <c r="BB1275" s="549"/>
      <c r="BC1275" s="549"/>
      <c r="BD1275" s="549"/>
      <c r="BE1275" s="549"/>
      <c r="BF1275" s="549"/>
      <c r="BG1275" s="549"/>
      <c r="BH1275" s="549"/>
      <c r="BI1275" s="549"/>
    </row>
    <row r="1276" spans="16:61" s="254" customFormat="1" ht="9.9">
      <c r="P1276" s="549"/>
      <c r="Q1276" s="549"/>
      <c r="R1276" s="549"/>
      <c r="S1276" s="549"/>
      <c r="T1276" s="549"/>
      <c r="U1276" s="549"/>
      <c r="V1276" s="549"/>
      <c r="W1276" s="549"/>
      <c r="X1276" s="549"/>
      <c r="Y1276" s="549"/>
      <c r="Z1276" s="549"/>
      <c r="AA1276" s="549"/>
      <c r="AB1276" s="549"/>
      <c r="AC1276" s="549"/>
      <c r="AD1276" s="549"/>
      <c r="AE1276" s="549"/>
      <c r="AF1276" s="549"/>
      <c r="AG1276" s="549"/>
      <c r="AH1276" s="549"/>
      <c r="AI1276" s="549"/>
      <c r="AJ1276" s="549"/>
      <c r="AK1276" s="549"/>
      <c r="AL1276" s="549"/>
      <c r="AM1276" s="549"/>
      <c r="AN1276" s="549"/>
      <c r="AO1276" s="549"/>
      <c r="AP1276" s="549"/>
      <c r="AQ1276" s="549"/>
      <c r="AR1276" s="549"/>
      <c r="AS1276" s="549"/>
      <c r="AT1276" s="549"/>
      <c r="AU1276" s="549"/>
      <c r="AV1276" s="549"/>
      <c r="AW1276" s="549"/>
      <c r="AX1276" s="549"/>
      <c r="AY1276" s="549"/>
      <c r="AZ1276" s="549"/>
      <c r="BA1276" s="549"/>
      <c r="BB1276" s="549"/>
      <c r="BC1276" s="549"/>
      <c r="BD1276" s="549"/>
      <c r="BE1276" s="549"/>
      <c r="BF1276" s="549"/>
      <c r="BG1276" s="549"/>
      <c r="BH1276" s="549"/>
      <c r="BI1276" s="549"/>
    </row>
    <row r="1277" spans="16:61" s="254" customFormat="1" ht="9.9">
      <c r="P1277" s="549"/>
      <c r="Q1277" s="549"/>
      <c r="R1277" s="549"/>
      <c r="S1277" s="549"/>
      <c r="T1277" s="549"/>
      <c r="U1277" s="549"/>
      <c r="V1277" s="549"/>
      <c r="W1277" s="549"/>
      <c r="X1277" s="549"/>
      <c r="Y1277" s="549"/>
      <c r="Z1277" s="549"/>
      <c r="AA1277" s="549"/>
      <c r="AB1277" s="549"/>
      <c r="AC1277" s="549"/>
      <c r="AD1277" s="549"/>
      <c r="AE1277" s="549"/>
      <c r="AF1277" s="549"/>
      <c r="AG1277" s="549"/>
      <c r="AH1277" s="549"/>
      <c r="AI1277" s="549"/>
      <c r="AJ1277" s="549"/>
      <c r="AK1277" s="549"/>
      <c r="AL1277" s="549"/>
      <c r="AM1277" s="549"/>
      <c r="AN1277" s="549"/>
      <c r="AO1277" s="549"/>
      <c r="AP1277" s="549"/>
      <c r="AQ1277" s="549"/>
      <c r="AR1277" s="549"/>
      <c r="AS1277" s="549"/>
      <c r="AT1277" s="549"/>
      <c r="AU1277" s="549"/>
      <c r="AV1277" s="549"/>
      <c r="AW1277" s="549"/>
      <c r="AX1277" s="549"/>
      <c r="AY1277" s="549"/>
      <c r="AZ1277" s="549"/>
      <c r="BA1277" s="549"/>
      <c r="BB1277" s="549"/>
      <c r="BC1277" s="549"/>
      <c r="BD1277" s="549"/>
      <c r="BE1277" s="549"/>
      <c r="BF1277" s="549"/>
      <c r="BG1277" s="549"/>
      <c r="BH1277" s="549"/>
      <c r="BI1277" s="549"/>
    </row>
    <row r="1278" spans="16:61" s="254" customFormat="1" ht="9.9">
      <c r="P1278" s="549"/>
      <c r="Q1278" s="549"/>
      <c r="R1278" s="549"/>
      <c r="S1278" s="549"/>
      <c r="T1278" s="549"/>
      <c r="U1278" s="549"/>
      <c r="V1278" s="549"/>
      <c r="W1278" s="549"/>
      <c r="X1278" s="549"/>
      <c r="Y1278" s="549"/>
      <c r="Z1278" s="549"/>
      <c r="AA1278" s="549"/>
      <c r="AB1278" s="549"/>
      <c r="AC1278" s="549"/>
      <c r="AD1278" s="549"/>
      <c r="AE1278" s="549"/>
      <c r="AF1278" s="549"/>
      <c r="AG1278" s="549"/>
      <c r="AH1278" s="549"/>
      <c r="AI1278" s="549"/>
      <c r="AJ1278" s="549"/>
      <c r="AK1278" s="549"/>
      <c r="AL1278" s="549"/>
      <c r="AM1278" s="549"/>
      <c r="AN1278" s="549"/>
      <c r="AO1278" s="549"/>
      <c r="AP1278" s="549"/>
      <c r="AQ1278" s="549"/>
      <c r="AR1278" s="549"/>
      <c r="AS1278" s="549"/>
      <c r="AT1278" s="549"/>
      <c r="AU1278" s="549"/>
      <c r="AV1278" s="549"/>
      <c r="AW1278" s="549"/>
      <c r="AX1278" s="549"/>
      <c r="AY1278" s="549"/>
      <c r="AZ1278" s="549"/>
      <c r="BA1278" s="549"/>
      <c r="BB1278" s="549"/>
      <c r="BC1278" s="549"/>
      <c r="BD1278" s="549"/>
      <c r="BE1278" s="549"/>
      <c r="BF1278" s="549"/>
      <c r="BG1278" s="549"/>
      <c r="BH1278" s="549"/>
      <c r="BI1278" s="549"/>
    </row>
    <row r="1279" spans="16:61" s="254" customFormat="1" ht="9.9">
      <c r="P1279" s="549"/>
      <c r="Q1279" s="549"/>
      <c r="R1279" s="549"/>
      <c r="S1279" s="549"/>
      <c r="T1279" s="549"/>
      <c r="U1279" s="549"/>
      <c r="V1279" s="549"/>
      <c r="W1279" s="549"/>
      <c r="X1279" s="549"/>
      <c r="Y1279" s="549"/>
      <c r="Z1279" s="549"/>
      <c r="AA1279" s="549"/>
      <c r="AB1279" s="549"/>
      <c r="AC1279" s="549"/>
      <c r="AD1279" s="549"/>
      <c r="AE1279" s="549"/>
      <c r="AF1279" s="549"/>
      <c r="AG1279" s="549"/>
      <c r="AH1279" s="549"/>
      <c r="AI1279" s="549"/>
      <c r="AJ1279" s="549"/>
      <c r="AK1279" s="549"/>
      <c r="AL1279" s="549"/>
      <c r="AM1279" s="549"/>
      <c r="AN1279" s="549"/>
      <c r="AO1279" s="549"/>
      <c r="AP1279" s="549"/>
      <c r="AQ1279" s="549"/>
      <c r="AR1279" s="549"/>
      <c r="AS1279" s="549"/>
      <c r="AT1279" s="549"/>
      <c r="AU1279" s="549"/>
      <c r="AV1279" s="549"/>
      <c r="AW1279" s="549"/>
      <c r="AX1279" s="549"/>
      <c r="AY1279" s="549"/>
      <c r="AZ1279" s="549"/>
      <c r="BA1279" s="549"/>
      <c r="BB1279" s="549"/>
      <c r="BC1279" s="549"/>
      <c r="BD1279" s="549"/>
      <c r="BE1279" s="549"/>
      <c r="BF1279" s="549"/>
      <c r="BG1279" s="549"/>
      <c r="BH1279" s="549"/>
      <c r="BI1279" s="549"/>
    </row>
    <row r="1280" spans="16:61" s="254" customFormat="1" ht="9.9">
      <c r="P1280" s="549"/>
      <c r="Q1280" s="549"/>
      <c r="R1280" s="549"/>
      <c r="S1280" s="549"/>
      <c r="T1280" s="549"/>
      <c r="U1280" s="549"/>
      <c r="V1280" s="549"/>
      <c r="W1280" s="549"/>
      <c r="X1280" s="549"/>
      <c r="Y1280" s="549"/>
      <c r="Z1280" s="549"/>
      <c r="AA1280" s="549"/>
      <c r="AB1280" s="549"/>
      <c r="AC1280" s="549"/>
      <c r="AD1280" s="549"/>
      <c r="AE1280" s="549"/>
      <c r="AF1280" s="549"/>
      <c r="AG1280" s="549"/>
      <c r="AH1280" s="549"/>
      <c r="AI1280" s="549"/>
      <c r="AJ1280" s="549"/>
      <c r="AK1280" s="549"/>
      <c r="AL1280" s="549"/>
      <c r="AM1280" s="549"/>
      <c r="AN1280" s="549"/>
      <c r="AO1280" s="549"/>
      <c r="AP1280" s="549"/>
      <c r="AQ1280" s="549"/>
      <c r="AR1280" s="549"/>
      <c r="AS1280" s="549"/>
      <c r="AT1280" s="549"/>
      <c r="AU1280" s="549"/>
      <c r="AV1280" s="549"/>
      <c r="AW1280" s="549"/>
      <c r="AX1280" s="549"/>
      <c r="AY1280" s="549"/>
      <c r="AZ1280" s="549"/>
      <c r="BA1280" s="549"/>
      <c r="BB1280" s="549"/>
      <c r="BC1280" s="549"/>
      <c r="BD1280" s="549"/>
      <c r="BE1280" s="549"/>
      <c r="BF1280" s="549"/>
      <c r="BG1280" s="549"/>
      <c r="BH1280" s="549"/>
      <c r="BI1280" s="549"/>
    </row>
    <row r="1281" spans="16:61" s="254" customFormat="1" ht="9.9">
      <c r="P1281" s="549"/>
      <c r="Q1281" s="549"/>
      <c r="R1281" s="549"/>
      <c r="S1281" s="549"/>
      <c r="T1281" s="549"/>
      <c r="U1281" s="549"/>
      <c r="V1281" s="549"/>
      <c r="W1281" s="549"/>
      <c r="X1281" s="549"/>
      <c r="Y1281" s="549"/>
      <c r="Z1281" s="549"/>
      <c r="AA1281" s="549"/>
      <c r="AB1281" s="549"/>
      <c r="AC1281" s="549"/>
      <c r="AD1281" s="549"/>
      <c r="AE1281" s="549"/>
      <c r="AF1281" s="549"/>
      <c r="AG1281" s="549"/>
      <c r="AH1281" s="549"/>
      <c r="AI1281" s="549"/>
      <c r="AJ1281" s="549"/>
      <c r="AK1281" s="549"/>
      <c r="AL1281" s="549"/>
      <c r="AM1281" s="549"/>
      <c r="AN1281" s="549"/>
      <c r="AO1281" s="549"/>
      <c r="AP1281" s="549"/>
      <c r="AQ1281" s="549"/>
      <c r="AR1281" s="549"/>
      <c r="AS1281" s="549"/>
      <c r="AT1281" s="549"/>
      <c r="AU1281" s="549"/>
      <c r="AV1281" s="549"/>
      <c r="AW1281" s="549"/>
      <c r="AX1281" s="549"/>
      <c r="AY1281" s="549"/>
      <c r="AZ1281" s="549"/>
      <c r="BA1281" s="549"/>
      <c r="BB1281" s="549"/>
      <c r="BC1281" s="549"/>
      <c r="BD1281" s="549"/>
      <c r="BE1281" s="549"/>
      <c r="BF1281" s="549"/>
      <c r="BG1281" s="549"/>
      <c r="BH1281" s="549"/>
      <c r="BI1281" s="549"/>
    </row>
    <row r="1282" spans="16:61" s="254" customFormat="1" ht="9.9">
      <c r="P1282" s="549"/>
      <c r="Q1282" s="549"/>
      <c r="R1282" s="549"/>
      <c r="S1282" s="549"/>
      <c r="T1282" s="549"/>
      <c r="U1282" s="549"/>
      <c r="V1282" s="549"/>
      <c r="W1282" s="549"/>
      <c r="X1282" s="549"/>
      <c r="Y1282" s="549"/>
      <c r="Z1282" s="549"/>
      <c r="AA1282" s="549"/>
      <c r="AB1282" s="549"/>
      <c r="AC1282" s="549"/>
      <c r="AD1282" s="549"/>
      <c r="AE1282" s="549"/>
      <c r="AF1282" s="549"/>
      <c r="AG1282" s="549"/>
      <c r="AH1282" s="549"/>
      <c r="AI1282" s="549"/>
      <c r="AJ1282" s="549"/>
      <c r="AK1282" s="549"/>
      <c r="AL1282" s="549"/>
      <c r="AM1282" s="549"/>
      <c r="AN1282" s="549"/>
      <c r="AO1282" s="549"/>
      <c r="AP1282" s="549"/>
      <c r="AQ1282" s="549"/>
      <c r="AR1282" s="549"/>
      <c r="AS1282" s="549"/>
      <c r="AT1282" s="549"/>
      <c r="AU1282" s="549"/>
      <c r="AV1282" s="549"/>
      <c r="AW1282" s="549"/>
      <c r="AX1282" s="549"/>
      <c r="AY1282" s="549"/>
      <c r="AZ1282" s="549"/>
      <c r="BA1282" s="549"/>
      <c r="BB1282" s="549"/>
      <c r="BC1282" s="549"/>
      <c r="BD1282" s="549"/>
      <c r="BE1282" s="549"/>
      <c r="BF1282" s="549"/>
      <c r="BG1282" s="549"/>
      <c r="BH1282" s="549"/>
      <c r="BI1282" s="549"/>
    </row>
    <row r="1283" spans="16:61" s="254" customFormat="1" ht="9.9">
      <c r="P1283" s="549"/>
      <c r="Q1283" s="549"/>
      <c r="R1283" s="549"/>
      <c r="S1283" s="549"/>
      <c r="T1283" s="549"/>
      <c r="U1283" s="549"/>
      <c r="V1283" s="549"/>
      <c r="W1283" s="549"/>
      <c r="X1283" s="549"/>
      <c r="Y1283" s="549"/>
      <c r="Z1283" s="549"/>
      <c r="AA1283" s="549"/>
      <c r="AB1283" s="549"/>
      <c r="AC1283" s="549"/>
      <c r="AD1283" s="549"/>
      <c r="AE1283" s="549"/>
      <c r="AF1283" s="549"/>
      <c r="AG1283" s="549"/>
      <c r="AH1283" s="549"/>
      <c r="AI1283" s="549"/>
      <c r="AJ1283" s="549"/>
      <c r="AK1283" s="549"/>
      <c r="AL1283" s="549"/>
      <c r="AM1283" s="549"/>
      <c r="AN1283" s="549"/>
      <c r="AO1283" s="549"/>
      <c r="AP1283" s="549"/>
      <c r="AQ1283" s="549"/>
      <c r="AR1283" s="549"/>
      <c r="AS1283" s="549"/>
      <c r="AT1283" s="549"/>
      <c r="AU1283" s="549"/>
      <c r="AV1283" s="549"/>
      <c r="AW1283" s="549"/>
      <c r="AX1283" s="549"/>
      <c r="AY1283" s="549"/>
      <c r="AZ1283" s="549"/>
      <c r="BA1283" s="549"/>
      <c r="BB1283" s="549"/>
      <c r="BC1283" s="549"/>
      <c r="BD1283" s="549"/>
      <c r="BE1283" s="549"/>
      <c r="BF1283" s="549"/>
      <c r="BG1283" s="549"/>
      <c r="BH1283" s="549"/>
      <c r="BI1283" s="549"/>
    </row>
    <row r="1284" spans="16:61" s="254" customFormat="1" ht="9.9">
      <c r="P1284" s="549"/>
      <c r="Q1284" s="549"/>
      <c r="R1284" s="549"/>
      <c r="S1284" s="549"/>
      <c r="T1284" s="549"/>
      <c r="U1284" s="549"/>
      <c r="V1284" s="549"/>
      <c r="W1284" s="549"/>
      <c r="X1284" s="549"/>
      <c r="Y1284" s="549"/>
      <c r="Z1284" s="549"/>
      <c r="AA1284" s="549"/>
      <c r="AB1284" s="549"/>
      <c r="AC1284" s="549"/>
      <c r="AD1284" s="549"/>
      <c r="AE1284" s="549"/>
      <c r="AF1284" s="549"/>
      <c r="AG1284" s="549"/>
      <c r="AH1284" s="549"/>
      <c r="AI1284" s="549"/>
      <c r="AJ1284" s="549"/>
      <c r="AK1284" s="549"/>
      <c r="AL1284" s="549"/>
      <c r="AM1284" s="549"/>
      <c r="AN1284" s="549"/>
      <c r="AO1284" s="549"/>
      <c r="AP1284" s="549"/>
      <c r="AQ1284" s="549"/>
      <c r="AR1284" s="549"/>
      <c r="AS1284" s="549"/>
      <c r="AT1284" s="549"/>
      <c r="AU1284" s="549"/>
      <c r="AV1284" s="549"/>
      <c r="AW1284" s="549"/>
      <c r="AX1284" s="549"/>
      <c r="AY1284" s="549"/>
      <c r="AZ1284" s="549"/>
      <c r="BA1284" s="549"/>
      <c r="BB1284" s="549"/>
      <c r="BC1284" s="549"/>
      <c r="BD1284" s="549"/>
      <c r="BE1284" s="549"/>
      <c r="BF1284" s="549"/>
      <c r="BG1284" s="549"/>
      <c r="BH1284" s="549"/>
      <c r="BI1284" s="549"/>
    </row>
    <row r="1285" spans="16:61" s="254" customFormat="1" ht="9.9">
      <c r="P1285" s="549"/>
      <c r="Q1285" s="549"/>
      <c r="R1285" s="549"/>
      <c r="S1285" s="549"/>
      <c r="T1285" s="549"/>
      <c r="U1285" s="549"/>
      <c r="V1285" s="549"/>
      <c r="W1285" s="549"/>
      <c r="X1285" s="549"/>
      <c r="Y1285" s="549"/>
      <c r="Z1285" s="549"/>
      <c r="AA1285" s="549"/>
      <c r="AB1285" s="549"/>
      <c r="AC1285" s="549"/>
      <c r="AD1285" s="549"/>
      <c r="AE1285" s="549"/>
      <c r="AF1285" s="549"/>
      <c r="AG1285" s="549"/>
      <c r="AH1285" s="549"/>
      <c r="AI1285" s="549"/>
      <c r="AJ1285" s="549"/>
      <c r="AK1285" s="549"/>
      <c r="AL1285" s="549"/>
      <c r="AM1285" s="549"/>
      <c r="AN1285" s="549"/>
      <c r="AO1285" s="549"/>
      <c r="AP1285" s="549"/>
      <c r="AQ1285" s="549"/>
      <c r="AR1285" s="549"/>
      <c r="AS1285" s="549"/>
      <c r="AT1285" s="549"/>
      <c r="AU1285" s="549"/>
      <c r="AV1285" s="549"/>
      <c r="AW1285" s="549"/>
      <c r="AX1285" s="549"/>
      <c r="AY1285" s="549"/>
      <c r="AZ1285" s="549"/>
      <c r="BA1285" s="549"/>
      <c r="BB1285" s="549"/>
      <c r="BC1285" s="549"/>
      <c r="BD1285" s="549"/>
      <c r="BE1285" s="549"/>
      <c r="BF1285" s="549"/>
      <c r="BG1285" s="549"/>
      <c r="BH1285" s="549"/>
      <c r="BI1285" s="549"/>
    </row>
    <row r="1286" spans="16:61" s="254" customFormat="1" ht="9.9">
      <c r="P1286" s="549"/>
      <c r="Q1286" s="549"/>
      <c r="R1286" s="549"/>
      <c r="S1286" s="549"/>
      <c r="T1286" s="549"/>
      <c r="U1286" s="549"/>
      <c r="V1286" s="549"/>
      <c r="W1286" s="549"/>
      <c r="X1286" s="549"/>
      <c r="Y1286" s="549"/>
      <c r="Z1286" s="549"/>
      <c r="AA1286" s="549"/>
      <c r="AB1286" s="549"/>
      <c r="AC1286" s="549"/>
      <c r="AD1286" s="549"/>
      <c r="AE1286" s="549"/>
      <c r="AF1286" s="549"/>
      <c r="AG1286" s="549"/>
      <c r="AH1286" s="549"/>
      <c r="AI1286" s="549"/>
      <c r="AJ1286" s="549"/>
      <c r="AK1286" s="549"/>
      <c r="AL1286" s="549"/>
      <c r="AM1286" s="549"/>
      <c r="AN1286" s="549"/>
      <c r="AO1286" s="549"/>
      <c r="AP1286" s="549"/>
      <c r="AQ1286" s="549"/>
      <c r="AR1286" s="549"/>
      <c r="AS1286" s="549"/>
      <c r="AT1286" s="549"/>
      <c r="AU1286" s="549"/>
      <c r="AV1286" s="549"/>
      <c r="AW1286" s="549"/>
      <c r="AX1286" s="549"/>
      <c r="AY1286" s="549"/>
      <c r="AZ1286" s="549"/>
      <c r="BA1286" s="549"/>
      <c r="BB1286" s="549"/>
      <c r="BC1286" s="549"/>
      <c r="BD1286" s="549"/>
      <c r="BE1286" s="549"/>
      <c r="BF1286" s="549"/>
      <c r="BG1286" s="549"/>
      <c r="BH1286" s="549"/>
      <c r="BI1286" s="549"/>
    </row>
    <row r="1287" spans="16:61" s="254" customFormat="1" ht="9.9">
      <c r="P1287" s="549"/>
      <c r="Q1287" s="549"/>
      <c r="R1287" s="549"/>
      <c r="S1287" s="549"/>
      <c r="T1287" s="549"/>
      <c r="U1287" s="549"/>
      <c r="V1287" s="549"/>
      <c r="W1287" s="549"/>
      <c r="X1287" s="549"/>
      <c r="Y1287" s="549"/>
      <c r="Z1287" s="549"/>
      <c r="AA1287" s="549"/>
      <c r="AB1287" s="549"/>
      <c r="AC1287" s="549"/>
      <c r="AD1287" s="549"/>
      <c r="AE1287" s="549"/>
      <c r="AF1287" s="549"/>
      <c r="AG1287" s="549"/>
      <c r="AH1287" s="549"/>
      <c r="AI1287" s="549"/>
      <c r="AJ1287" s="549"/>
      <c r="AK1287" s="549"/>
      <c r="AL1287" s="549"/>
      <c r="AM1287" s="549"/>
      <c r="AN1287" s="549"/>
      <c r="AO1287" s="549"/>
      <c r="AP1287" s="549"/>
      <c r="AQ1287" s="549"/>
      <c r="AR1287" s="549"/>
      <c r="AS1287" s="549"/>
      <c r="AT1287" s="549"/>
      <c r="AU1287" s="549"/>
      <c r="AV1287" s="549"/>
      <c r="AW1287" s="549"/>
      <c r="AX1287" s="549"/>
      <c r="AY1287" s="549"/>
      <c r="AZ1287" s="549"/>
      <c r="BA1287" s="549"/>
      <c r="BB1287" s="549"/>
      <c r="BC1287" s="549"/>
      <c r="BD1287" s="549"/>
      <c r="BE1287" s="549"/>
      <c r="BF1287" s="549"/>
      <c r="BG1287" s="549"/>
      <c r="BH1287" s="549"/>
      <c r="BI1287" s="549"/>
    </row>
    <row r="1288" spans="16:61" s="254" customFormat="1" ht="9.9">
      <c r="P1288" s="549"/>
      <c r="Q1288" s="549"/>
      <c r="R1288" s="549"/>
      <c r="S1288" s="549"/>
      <c r="T1288" s="549"/>
      <c r="U1288" s="549"/>
      <c r="V1288" s="549"/>
      <c r="W1288" s="549"/>
      <c r="X1288" s="549"/>
      <c r="Y1288" s="549"/>
      <c r="Z1288" s="549"/>
      <c r="AA1288" s="549"/>
      <c r="AB1288" s="549"/>
      <c r="AC1288" s="549"/>
      <c r="AD1288" s="549"/>
      <c r="AE1288" s="549"/>
      <c r="AF1288" s="549"/>
      <c r="AG1288" s="549"/>
      <c r="AH1288" s="549"/>
      <c r="AI1288" s="549"/>
      <c r="AJ1288" s="549"/>
      <c r="AK1288" s="549"/>
      <c r="AL1288" s="549"/>
      <c r="AM1288" s="549"/>
      <c r="AN1288" s="549"/>
      <c r="AO1288" s="549"/>
      <c r="AP1288" s="549"/>
      <c r="AQ1288" s="549"/>
      <c r="AR1288" s="549"/>
      <c r="AS1288" s="549"/>
      <c r="AT1288" s="549"/>
      <c r="AU1288" s="549"/>
      <c r="AV1288" s="549"/>
      <c r="AW1288" s="549"/>
      <c r="AX1288" s="549"/>
      <c r="AY1288" s="549"/>
      <c r="AZ1288" s="549"/>
      <c r="BA1288" s="549"/>
      <c r="BB1288" s="549"/>
      <c r="BC1288" s="549"/>
      <c r="BD1288" s="549"/>
      <c r="BE1288" s="549"/>
      <c r="BF1288" s="549"/>
      <c r="BG1288" s="549"/>
      <c r="BH1288" s="549"/>
      <c r="BI1288" s="549"/>
    </row>
    <row r="1289" spans="16:61" s="254" customFormat="1" ht="9.9">
      <c r="P1289" s="549"/>
      <c r="Q1289" s="549"/>
      <c r="R1289" s="549"/>
      <c r="S1289" s="549"/>
      <c r="T1289" s="549"/>
      <c r="U1289" s="549"/>
      <c r="V1289" s="549"/>
      <c r="W1289" s="549"/>
      <c r="X1289" s="549"/>
      <c r="Y1289" s="549"/>
      <c r="Z1289" s="549"/>
      <c r="AA1289" s="549"/>
      <c r="AB1289" s="549"/>
      <c r="AC1289" s="549"/>
      <c r="AD1289" s="549"/>
      <c r="AE1289" s="549"/>
      <c r="AF1289" s="549"/>
      <c r="AG1289" s="549"/>
      <c r="AH1289" s="549"/>
      <c r="AI1289" s="549"/>
      <c r="AJ1289" s="549"/>
      <c r="AK1289" s="549"/>
      <c r="AL1289" s="549"/>
      <c r="AM1289" s="549"/>
      <c r="AN1289" s="549"/>
      <c r="AO1289" s="549"/>
      <c r="AP1289" s="549"/>
      <c r="AQ1289" s="549"/>
      <c r="AR1289" s="549"/>
      <c r="AS1289" s="549"/>
      <c r="AT1289" s="549"/>
      <c r="AU1289" s="549"/>
      <c r="AV1289" s="549"/>
      <c r="AW1289" s="549"/>
      <c r="AX1289" s="549"/>
      <c r="AY1289" s="549"/>
      <c r="AZ1289" s="549"/>
      <c r="BA1289" s="549"/>
      <c r="BB1289" s="549"/>
      <c r="BC1289" s="549"/>
      <c r="BD1289" s="549"/>
      <c r="BE1289" s="549"/>
      <c r="BF1289" s="549"/>
      <c r="BG1289" s="549"/>
      <c r="BH1289" s="549"/>
      <c r="BI1289" s="549"/>
    </row>
    <row r="1290" spans="16:61" s="254" customFormat="1" ht="9.9">
      <c r="P1290" s="549"/>
      <c r="Q1290" s="549"/>
      <c r="R1290" s="549"/>
      <c r="S1290" s="549"/>
      <c r="T1290" s="549"/>
      <c r="U1290" s="549"/>
      <c r="V1290" s="549"/>
      <c r="W1290" s="549"/>
      <c r="X1290" s="549"/>
      <c r="Y1290" s="549"/>
      <c r="Z1290" s="549"/>
      <c r="AA1290" s="549"/>
      <c r="AB1290" s="549"/>
      <c r="AC1290" s="549"/>
      <c r="AD1290" s="549"/>
      <c r="AE1290" s="549"/>
      <c r="AF1290" s="549"/>
      <c r="AG1290" s="549"/>
      <c r="AH1290" s="549"/>
      <c r="AI1290" s="549"/>
      <c r="AJ1290" s="549"/>
      <c r="AK1290" s="549"/>
      <c r="AL1290" s="549"/>
      <c r="AM1290" s="549"/>
      <c r="AN1290" s="549"/>
      <c r="AO1290" s="549"/>
      <c r="AP1290" s="549"/>
      <c r="AQ1290" s="549"/>
      <c r="AR1290" s="549"/>
      <c r="AS1290" s="549"/>
      <c r="AT1290" s="549"/>
      <c r="AU1290" s="549"/>
      <c r="AV1290" s="549"/>
      <c r="AW1290" s="549"/>
      <c r="AX1290" s="549"/>
      <c r="AY1290" s="549"/>
      <c r="AZ1290" s="549"/>
      <c r="BA1290" s="549"/>
      <c r="BB1290" s="549"/>
      <c r="BC1290" s="549"/>
      <c r="BD1290" s="549"/>
      <c r="BE1290" s="549"/>
      <c r="BF1290" s="549"/>
      <c r="BG1290" s="549"/>
      <c r="BH1290" s="549"/>
      <c r="BI1290" s="549"/>
    </row>
    <row r="1291" spans="16:61" s="254" customFormat="1" ht="9.9">
      <c r="P1291" s="549"/>
      <c r="Q1291" s="549"/>
      <c r="R1291" s="549"/>
      <c r="S1291" s="549"/>
      <c r="T1291" s="549"/>
      <c r="U1291" s="549"/>
      <c r="V1291" s="549"/>
      <c r="W1291" s="549"/>
      <c r="X1291" s="549"/>
      <c r="Y1291" s="549"/>
      <c r="Z1291" s="549"/>
      <c r="AA1291" s="549"/>
      <c r="AB1291" s="549"/>
      <c r="AC1291" s="549"/>
      <c r="AD1291" s="549"/>
      <c r="AE1291" s="549"/>
      <c r="AF1291" s="549"/>
      <c r="AG1291" s="549"/>
      <c r="AH1291" s="549"/>
      <c r="AI1291" s="549"/>
      <c r="AJ1291" s="549"/>
      <c r="AK1291" s="549"/>
      <c r="AL1291" s="549"/>
      <c r="AM1291" s="549"/>
      <c r="AN1291" s="549"/>
      <c r="AO1291" s="549"/>
      <c r="AP1291" s="549"/>
      <c r="AQ1291" s="549"/>
      <c r="AR1291" s="549"/>
      <c r="AS1291" s="549"/>
      <c r="AT1291" s="549"/>
      <c r="AU1291" s="549"/>
      <c r="AV1291" s="549"/>
      <c r="AW1291" s="549"/>
      <c r="AX1291" s="549"/>
      <c r="AY1291" s="549"/>
      <c r="AZ1291" s="549"/>
      <c r="BA1291" s="549"/>
      <c r="BB1291" s="549"/>
      <c r="BC1291" s="549"/>
      <c r="BD1291" s="549"/>
      <c r="BE1291" s="549"/>
      <c r="BF1291" s="549"/>
      <c r="BG1291" s="549"/>
      <c r="BH1291" s="549"/>
      <c r="BI1291" s="549"/>
    </row>
    <row r="1292" spans="16:61" s="254" customFormat="1" ht="9.9">
      <c r="P1292" s="549"/>
      <c r="Q1292" s="549"/>
      <c r="R1292" s="549"/>
      <c r="S1292" s="549"/>
      <c r="T1292" s="549"/>
      <c r="U1292" s="549"/>
      <c r="V1292" s="549"/>
      <c r="W1292" s="549"/>
      <c r="X1292" s="549"/>
      <c r="Y1292" s="549"/>
      <c r="Z1292" s="549"/>
      <c r="AA1292" s="549"/>
      <c r="AB1292" s="549"/>
      <c r="AC1292" s="549"/>
      <c r="AD1292" s="549"/>
      <c r="AE1292" s="549"/>
      <c r="AF1292" s="549"/>
      <c r="AG1292" s="549"/>
      <c r="AH1292" s="549"/>
      <c r="AI1292" s="549"/>
      <c r="AJ1292" s="549"/>
      <c r="AK1292" s="549"/>
      <c r="AL1292" s="549"/>
      <c r="AM1292" s="549"/>
      <c r="AN1292" s="549"/>
      <c r="AO1292" s="549"/>
      <c r="AP1292" s="549"/>
      <c r="AQ1292" s="549"/>
      <c r="AR1292" s="549"/>
      <c r="AS1292" s="549"/>
      <c r="AT1292" s="549"/>
      <c r="AU1292" s="549"/>
      <c r="AV1292" s="549"/>
      <c r="AW1292" s="549"/>
      <c r="AX1292" s="549"/>
      <c r="AY1292" s="549"/>
      <c r="AZ1292" s="549"/>
      <c r="BA1292" s="549"/>
      <c r="BB1292" s="549"/>
      <c r="BC1292" s="549"/>
      <c r="BD1292" s="549"/>
      <c r="BE1292" s="549"/>
      <c r="BF1292" s="549"/>
      <c r="BG1292" s="549"/>
      <c r="BH1292" s="549"/>
      <c r="BI1292" s="549"/>
    </row>
    <row r="1293" spans="16:61" s="254" customFormat="1" ht="9.9">
      <c r="P1293" s="549"/>
      <c r="Q1293" s="549"/>
      <c r="R1293" s="549"/>
      <c r="S1293" s="549"/>
      <c r="T1293" s="549"/>
      <c r="U1293" s="549"/>
      <c r="V1293" s="549"/>
      <c r="W1293" s="549"/>
      <c r="X1293" s="549"/>
      <c r="Y1293" s="549"/>
      <c r="Z1293" s="549"/>
      <c r="AA1293" s="549"/>
      <c r="AB1293" s="549"/>
      <c r="AC1293" s="549"/>
      <c r="AD1293" s="549"/>
      <c r="AE1293" s="549"/>
      <c r="AF1293" s="549"/>
      <c r="AG1293" s="549"/>
      <c r="AH1293" s="549"/>
      <c r="AI1293" s="549"/>
      <c r="AJ1293" s="549"/>
      <c r="AK1293" s="549"/>
      <c r="AL1293" s="549"/>
      <c r="AM1293" s="549"/>
      <c r="AN1293" s="549"/>
      <c r="AO1293" s="549"/>
      <c r="AP1293" s="549"/>
      <c r="AQ1293" s="549"/>
      <c r="AR1293" s="549"/>
      <c r="AS1293" s="549"/>
      <c r="AT1293" s="549"/>
      <c r="AU1293" s="549"/>
      <c r="AV1293" s="549"/>
      <c r="AW1293" s="549"/>
      <c r="AX1293" s="549"/>
      <c r="AY1293" s="549"/>
      <c r="AZ1293" s="549"/>
      <c r="BA1293" s="549"/>
      <c r="BB1293" s="549"/>
      <c r="BC1293" s="549"/>
      <c r="BD1293" s="549"/>
      <c r="BE1293" s="549"/>
      <c r="BF1293" s="549"/>
      <c r="BG1293" s="549"/>
      <c r="BH1293" s="549"/>
      <c r="BI1293" s="549"/>
    </row>
    <row r="1294" spans="16:61" s="254" customFormat="1" ht="9.9">
      <c r="P1294" s="549"/>
      <c r="Q1294" s="549"/>
      <c r="R1294" s="549"/>
      <c r="S1294" s="549"/>
      <c r="T1294" s="549"/>
      <c r="U1294" s="549"/>
      <c r="V1294" s="549"/>
      <c r="W1294" s="549"/>
      <c r="X1294" s="549"/>
      <c r="Y1294" s="549"/>
      <c r="Z1294" s="549"/>
      <c r="AA1294" s="549"/>
      <c r="AB1294" s="549"/>
      <c r="AC1294" s="549"/>
      <c r="AD1294" s="549"/>
      <c r="AE1294" s="549"/>
      <c r="AF1294" s="549"/>
      <c r="AG1294" s="549"/>
      <c r="AH1294" s="549"/>
      <c r="AI1294" s="549"/>
      <c r="AJ1294" s="549"/>
      <c r="AK1294" s="549"/>
      <c r="AL1294" s="549"/>
      <c r="AM1294" s="549"/>
      <c r="AN1294" s="549"/>
      <c r="AO1294" s="549"/>
      <c r="AP1294" s="549"/>
      <c r="AQ1294" s="549"/>
      <c r="AR1294" s="549"/>
      <c r="AS1294" s="549"/>
      <c r="AT1294" s="549"/>
      <c r="AU1294" s="549"/>
      <c r="AV1294" s="549"/>
      <c r="AW1294" s="549"/>
      <c r="AX1294" s="549"/>
      <c r="AY1294" s="549"/>
      <c r="AZ1294" s="549"/>
      <c r="BA1294" s="549"/>
      <c r="BB1294" s="549"/>
      <c r="BC1294" s="549"/>
      <c r="BD1294" s="549"/>
      <c r="BE1294" s="549"/>
      <c r="BF1294" s="549"/>
      <c r="BG1294" s="549"/>
      <c r="BH1294" s="549"/>
      <c r="BI1294" s="549"/>
    </row>
    <row r="1295" spans="16:61" s="254" customFormat="1" ht="9.9">
      <c r="P1295" s="549"/>
      <c r="Q1295" s="549"/>
      <c r="R1295" s="549"/>
      <c r="S1295" s="549"/>
      <c r="T1295" s="549"/>
      <c r="U1295" s="549"/>
      <c r="V1295" s="549"/>
      <c r="W1295" s="549"/>
      <c r="X1295" s="549"/>
      <c r="Y1295" s="549"/>
      <c r="Z1295" s="549"/>
      <c r="AA1295" s="549"/>
      <c r="AB1295" s="549"/>
      <c r="AC1295" s="549"/>
      <c r="AD1295" s="549"/>
      <c r="AE1295" s="549"/>
      <c r="AF1295" s="549"/>
      <c r="AG1295" s="549"/>
      <c r="AH1295" s="549"/>
      <c r="AI1295" s="549"/>
      <c r="AJ1295" s="549"/>
      <c r="AK1295" s="549"/>
      <c r="AL1295" s="549"/>
      <c r="AM1295" s="549"/>
      <c r="AN1295" s="549"/>
      <c r="AO1295" s="549"/>
      <c r="AP1295" s="549"/>
      <c r="AQ1295" s="549"/>
      <c r="AR1295" s="549"/>
      <c r="AS1295" s="549"/>
      <c r="AT1295" s="549"/>
      <c r="AU1295" s="549"/>
      <c r="AV1295" s="549"/>
      <c r="AW1295" s="549"/>
      <c r="AX1295" s="549"/>
      <c r="AY1295" s="549"/>
      <c r="AZ1295" s="549"/>
      <c r="BA1295" s="549"/>
      <c r="BB1295" s="549"/>
      <c r="BC1295" s="549"/>
      <c r="BD1295" s="549"/>
      <c r="BE1295" s="549"/>
      <c r="BF1295" s="549"/>
      <c r="BG1295" s="549"/>
      <c r="BH1295" s="549"/>
      <c r="BI1295" s="549"/>
    </row>
    <row r="1296" spans="16:61" s="254" customFormat="1" ht="9.9">
      <c r="P1296" s="549"/>
      <c r="Q1296" s="549"/>
      <c r="R1296" s="549"/>
      <c r="S1296" s="549"/>
      <c r="T1296" s="549"/>
      <c r="U1296" s="549"/>
      <c r="V1296" s="549"/>
      <c r="W1296" s="549"/>
      <c r="X1296" s="549"/>
      <c r="Y1296" s="549"/>
      <c r="Z1296" s="549"/>
      <c r="AA1296" s="549"/>
      <c r="AB1296" s="549"/>
      <c r="AC1296" s="549"/>
      <c r="AD1296" s="549"/>
      <c r="AE1296" s="549"/>
      <c r="AF1296" s="549"/>
      <c r="AG1296" s="549"/>
      <c r="AH1296" s="549"/>
      <c r="AI1296" s="549"/>
      <c r="AJ1296" s="549"/>
      <c r="AK1296" s="549"/>
      <c r="AL1296" s="549"/>
      <c r="AM1296" s="549"/>
      <c r="AN1296" s="549"/>
      <c r="AO1296" s="549"/>
      <c r="AP1296" s="549"/>
      <c r="AQ1296" s="549"/>
      <c r="AR1296" s="549"/>
      <c r="AS1296" s="549"/>
      <c r="AT1296" s="549"/>
      <c r="AU1296" s="549"/>
      <c r="AV1296" s="549"/>
      <c r="AW1296" s="549"/>
      <c r="AX1296" s="549"/>
      <c r="AY1296" s="549"/>
      <c r="AZ1296" s="549"/>
      <c r="BA1296" s="549"/>
      <c r="BB1296" s="549"/>
      <c r="BC1296" s="549"/>
      <c r="BD1296" s="549"/>
      <c r="BE1296" s="549"/>
      <c r="BF1296" s="549"/>
      <c r="BG1296" s="549"/>
      <c r="BH1296" s="549"/>
      <c r="BI1296" s="549"/>
    </row>
    <row r="1297" spans="16:61" s="254" customFormat="1" ht="9.9">
      <c r="P1297" s="549"/>
      <c r="Q1297" s="549"/>
      <c r="R1297" s="549"/>
      <c r="S1297" s="549"/>
      <c r="T1297" s="549"/>
      <c r="U1297" s="549"/>
      <c r="V1297" s="549"/>
      <c r="W1297" s="549"/>
      <c r="X1297" s="549"/>
      <c r="Y1297" s="549"/>
      <c r="Z1297" s="549"/>
      <c r="AA1297" s="549"/>
      <c r="AB1297" s="549"/>
      <c r="AC1297" s="549"/>
      <c r="AD1297" s="549"/>
      <c r="AE1297" s="549"/>
      <c r="AF1297" s="549"/>
      <c r="AG1297" s="549"/>
      <c r="AH1297" s="549"/>
      <c r="AI1297" s="549"/>
      <c r="AJ1297" s="549"/>
      <c r="AK1297" s="549"/>
      <c r="AL1297" s="549"/>
      <c r="AM1297" s="549"/>
      <c r="AN1297" s="549"/>
      <c r="AO1297" s="549"/>
      <c r="AP1297" s="549"/>
      <c r="AQ1297" s="549"/>
      <c r="AR1297" s="549"/>
      <c r="AS1297" s="549"/>
      <c r="AT1297" s="549"/>
      <c r="AU1297" s="549"/>
      <c r="AV1297" s="549"/>
      <c r="AW1297" s="549"/>
      <c r="AX1297" s="549"/>
      <c r="AY1297" s="549"/>
      <c r="AZ1297" s="549"/>
      <c r="BA1297" s="549"/>
      <c r="BB1297" s="549"/>
      <c r="BC1297" s="549"/>
      <c r="BD1297" s="549"/>
      <c r="BE1297" s="549"/>
      <c r="BF1297" s="549"/>
      <c r="BG1297" s="549"/>
      <c r="BH1297" s="549"/>
      <c r="BI1297" s="549"/>
    </row>
    <row r="1298" spans="16:61" s="254" customFormat="1" ht="9.9">
      <c r="P1298" s="549"/>
      <c r="Q1298" s="549"/>
      <c r="R1298" s="549"/>
      <c r="S1298" s="549"/>
      <c r="T1298" s="549"/>
      <c r="U1298" s="549"/>
      <c r="V1298" s="549"/>
      <c r="W1298" s="549"/>
      <c r="X1298" s="549"/>
      <c r="Y1298" s="549"/>
      <c r="Z1298" s="549"/>
      <c r="AA1298" s="549"/>
      <c r="AB1298" s="549"/>
      <c r="AC1298" s="549"/>
      <c r="AD1298" s="549"/>
      <c r="AE1298" s="549"/>
      <c r="AF1298" s="549"/>
      <c r="AG1298" s="549"/>
      <c r="AH1298" s="549"/>
      <c r="AI1298" s="549"/>
      <c r="AJ1298" s="549"/>
      <c r="AK1298" s="549"/>
      <c r="AL1298" s="549"/>
      <c r="AM1298" s="549"/>
      <c r="AN1298" s="549"/>
      <c r="AO1298" s="549"/>
      <c r="AP1298" s="549"/>
      <c r="AQ1298" s="549"/>
      <c r="AR1298" s="549"/>
      <c r="AS1298" s="549"/>
      <c r="AT1298" s="549"/>
      <c r="AU1298" s="549"/>
      <c r="AV1298" s="549"/>
      <c r="AW1298" s="549"/>
      <c r="AX1298" s="549"/>
      <c r="AY1298" s="549"/>
      <c r="AZ1298" s="549"/>
      <c r="BA1298" s="549"/>
      <c r="BB1298" s="549"/>
      <c r="BC1298" s="549"/>
      <c r="BD1298" s="549"/>
      <c r="BE1298" s="549"/>
      <c r="BF1298" s="549"/>
      <c r="BG1298" s="549"/>
      <c r="BH1298" s="549"/>
      <c r="BI1298" s="549"/>
    </row>
    <row r="1299" spans="16:61" s="254" customFormat="1" ht="9.9">
      <c r="P1299" s="549"/>
      <c r="Q1299" s="549"/>
      <c r="R1299" s="549"/>
      <c r="S1299" s="549"/>
      <c r="T1299" s="549"/>
      <c r="U1299" s="549"/>
      <c r="V1299" s="549"/>
      <c r="W1299" s="549"/>
      <c r="X1299" s="549"/>
      <c r="Y1299" s="549"/>
      <c r="Z1299" s="549"/>
      <c r="AA1299" s="549"/>
      <c r="AB1299" s="549"/>
      <c r="AC1299" s="549"/>
      <c r="AD1299" s="549"/>
      <c r="AE1299" s="549"/>
      <c r="AF1299" s="549"/>
      <c r="AG1299" s="549"/>
      <c r="AH1299" s="549"/>
      <c r="AI1299" s="549"/>
      <c r="AJ1299" s="549"/>
      <c r="AK1299" s="549"/>
      <c r="AL1299" s="549"/>
      <c r="AM1299" s="549"/>
      <c r="AN1299" s="549"/>
      <c r="AO1299" s="549"/>
      <c r="AP1299" s="549"/>
      <c r="AQ1299" s="549"/>
      <c r="AR1299" s="549"/>
      <c r="AS1299" s="549"/>
      <c r="AT1299" s="549"/>
      <c r="AU1299" s="549"/>
      <c r="AV1299" s="549"/>
      <c r="AW1299" s="549"/>
      <c r="AX1299" s="549"/>
      <c r="AY1299" s="549"/>
      <c r="AZ1299" s="549"/>
      <c r="BA1299" s="549"/>
      <c r="BB1299" s="549"/>
      <c r="BC1299" s="549"/>
      <c r="BD1299" s="549"/>
      <c r="BE1299" s="549"/>
      <c r="BF1299" s="549"/>
      <c r="BG1299" s="549"/>
      <c r="BH1299" s="549"/>
      <c r="BI1299" s="549"/>
    </row>
    <row r="1300" spans="16:61" s="254" customFormat="1" ht="9.9">
      <c r="P1300" s="549"/>
      <c r="Q1300" s="549"/>
      <c r="R1300" s="549"/>
      <c r="S1300" s="549"/>
      <c r="T1300" s="549"/>
      <c r="U1300" s="549"/>
      <c r="V1300" s="549"/>
      <c r="W1300" s="549"/>
      <c r="X1300" s="549"/>
      <c r="Y1300" s="549"/>
      <c r="Z1300" s="549"/>
      <c r="AA1300" s="549"/>
      <c r="AB1300" s="549"/>
      <c r="AC1300" s="549"/>
      <c r="AD1300" s="549"/>
      <c r="AE1300" s="549"/>
      <c r="AF1300" s="549"/>
      <c r="AG1300" s="549"/>
      <c r="AH1300" s="549"/>
      <c r="AI1300" s="549"/>
      <c r="AJ1300" s="549"/>
      <c r="AK1300" s="549"/>
      <c r="AL1300" s="549"/>
      <c r="AM1300" s="549"/>
      <c r="AN1300" s="549"/>
      <c r="AO1300" s="549"/>
      <c r="AP1300" s="549"/>
      <c r="AQ1300" s="549"/>
      <c r="AR1300" s="549"/>
      <c r="AS1300" s="549"/>
      <c r="AT1300" s="549"/>
      <c r="AU1300" s="549"/>
      <c r="AV1300" s="549"/>
      <c r="AW1300" s="549"/>
      <c r="AX1300" s="549"/>
      <c r="AY1300" s="549"/>
      <c r="AZ1300" s="549"/>
      <c r="BA1300" s="549"/>
      <c r="BB1300" s="549"/>
      <c r="BC1300" s="549"/>
      <c r="BD1300" s="549"/>
      <c r="BE1300" s="549"/>
      <c r="BF1300" s="549"/>
      <c r="BG1300" s="549"/>
      <c r="BH1300" s="549"/>
      <c r="BI1300" s="549"/>
    </row>
    <row r="1301" spans="16:61" s="254" customFormat="1" ht="9.9">
      <c r="P1301" s="549"/>
      <c r="Q1301" s="549"/>
      <c r="R1301" s="549"/>
      <c r="S1301" s="549"/>
      <c r="T1301" s="549"/>
      <c r="U1301" s="549"/>
      <c r="V1301" s="549"/>
      <c r="W1301" s="549"/>
      <c r="X1301" s="549"/>
      <c r="Y1301" s="549"/>
      <c r="Z1301" s="549"/>
      <c r="AA1301" s="549"/>
      <c r="AB1301" s="549"/>
      <c r="AC1301" s="549"/>
      <c r="AD1301" s="549"/>
      <c r="AE1301" s="549"/>
      <c r="AF1301" s="549"/>
      <c r="AG1301" s="549"/>
      <c r="AH1301" s="549"/>
      <c r="AI1301" s="549"/>
      <c r="AJ1301" s="549"/>
      <c r="AK1301" s="549"/>
      <c r="AL1301" s="549"/>
      <c r="AM1301" s="549"/>
      <c r="AN1301" s="549"/>
      <c r="AO1301" s="549"/>
      <c r="AP1301" s="549"/>
      <c r="AQ1301" s="549"/>
      <c r="AR1301" s="549"/>
      <c r="AS1301" s="549"/>
      <c r="AT1301" s="549"/>
      <c r="AU1301" s="549"/>
      <c r="AV1301" s="549"/>
      <c r="AW1301" s="549"/>
      <c r="AX1301" s="549"/>
      <c r="AY1301" s="549"/>
      <c r="AZ1301" s="549"/>
      <c r="BA1301" s="549"/>
      <c r="BB1301" s="549"/>
      <c r="BC1301" s="549"/>
      <c r="BD1301" s="549"/>
      <c r="BE1301" s="549"/>
      <c r="BF1301" s="549"/>
      <c r="BG1301" s="549"/>
      <c r="BH1301" s="549"/>
      <c r="BI1301" s="549"/>
    </row>
    <row r="1302" spans="16:61" s="254" customFormat="1" ht="9.9">
      <c r="P1302" s="549"/>
      <c r="Q1302" s="549"/>
      <c r="R1302" s="549"/>
      <c r="S1302" s="549"/>
      <c r="T1302" s="549"/>
      <c r="U1302" s="549"/>
      <c r="V1302" s="549"/>
      <c r="W1302" s="549"/>
      <c r="X1302" s="549"/>
      <c r="Y1302" s="549"/>
      <c r="Z1302" s="549"/>
      <c r="AA1302" s="549"/>
      <c r="AB1302" s="549"/>
      <c r="AC1302" s="549"/>
      <c r="AD1302" s="549"/>
      <c r="AE1302" s="549"/>
      <c r="AF1302" s="549"/>
      <c r="AG1302" s="549"/>
      <c r="AH1302" s="549"/>
      <c r="AI1302" s="549"/>
      <c r="AJ1302" s="549"/>
      <c r="AK1302" s="549"/>
      <c r="AL1302" s="549"/>
      <c r="AM1302" s="549"/>
      <c r="AN1302" s="549"/>
      <c r="AO1302" s="549"/>
      <c r="AP1302" s="549"/>
      <c r="AQ1302" s="549"/>
      <c r="AR1302" s="549"/>
      <c r="AS1302" s="549"/>
      <c r="AT1302" s="549"/>
      <c r="AU1302" s="549"/>
      <c r="AV1302" s="549"/>
      <c r="AW1302" s="549"/>
      <c r="AX1302" s="549"/>
      <c r="AY1302" s="549"/>
      <c r="AZ1302" s="549"/>
      <c r="BA1302" s="549"/>
      <c r="BB1302" s="549"/>
      <c r="BC1302" s="549"/>
      <c r="BD1302" s="549"/>
      <c r="BE1302" s="549"/>
      <c r="BF1302" s="549"/>
      <c r="BG1302" s="549"/>
      <c r="BH1302" s="549"/>
      <c r="BI1302" s="549"/>
    </row>
    <row r="1303" spans="16:61" s="254" customFormat="1" ht="9.9">
      <c r="P1303" s="549"/>
      <c r="Q1303" s="549"/>
      <c r="R1303" s="549"/>
      <c r="S1303" s="549"/>
      <c r="T1303" s="549"/>
      <c r="U1303" s="549"/>
      <c r="V1303" s="549"/>
      <c r="W1303" s="549"/>
      <c r="X1303" s="549"/>
      <c r="Y1303" s="549"/>
      <c r="Z1303" s="549"/>
      <c r="AA1303" s="549"/>
      <c r="AB1303" s="549"/>
      <c r="AC1303" s="549"/>
      <c r="AD1303" s="549"/>
      <c r="AE1303" s="549"/>
      <c r="AF1303" s="549"/>
      <c r="AG1303" s="549"/>
      <c r="AH1303" s="549"/>
      <c r="AI1303" s="549"/>
      <c r="AJ1303" s="549"/>
      <c r="AK1303" s="549"/>
      <c r="AL1303" s="549"/>
      <c r="AM1303" s="549"/>
      <c r="AN1303" s="549"/>
      <c r="AO1303" s="549"/>
      <c r="AP1303" s="549"/>
      <c r="AQ1303" s="549"/>
      <c r="AR1303" s="549"/>
      <c r="AS1303" s="549"/>
      <c r="AT1303" s="549"/>
      <c r="AU1303" s="549"/>
      <c r="AV1303" s="549"/>
      <c r="AW1303" s="549"/>
      <c r="AX1303" s="549"/>
      <c r="AY1303" s="549"/>
      <c r="AZ1303" s="549"/>
      <c r="BA1303" s="549"/>
      <c r="BB1303" s="549"/>
      <c r="BC1303" s="549"/>
      <c r="BD1303" s="549"/>
      <c r="BE1303" s="549"/>
      <c r="BF1303" s="549"/>
      <c r="BG1303" s="549"/>
      <c r="BH1303" s="549"/>
      <c r="BI1303" s="549"/>
    </row>
    <row r="1304" spans="16:61" s="254" customFormat="1" ht="9.9">
      <c r="P1304" s="549"/>
      <c r="Q1304" s="549"/>
      <c r="R1304" s="549"/>
      <c r="S1304" s="549"/>
      <c r="T1304" s="549"/>
      <c r="U1304" s="549"/>
      <c r="V1304" s="549"/>
      <c r="W1304" s="549"/>
      <c r="X1304" s="549"/>
      <c r="Y1304" s="549"/>
      <c r="Z1304" s="549"/>
      <c r="AA1304" s="549"/>
      <c r="AB1304" s="549"/>
      <c r="AC1304" s="549"/>
      <c r="AD1304" s="549"/>
      <c r="AE1304" s="549"/>
      <c r="AF1304" s="549"/>
      <c r="AG1304" s="549"/>
      <c r="AH1304" s="549"/>
      <c r="AI1304" s="549"/>
      <c r="AJ1304" s="549"/>
      <c r="AK1304" s="549"/>
      <c r="AL1304" s="549"/>
      <c r="AM1304" s="549"/>
      <c r="AN1304" s="549"/>
      <c r="AO1304" s="549"/>
      <c r="AP1304" s="549"/>
      <c r="AQ1304" s="549"/>
      <c r="AR1304" s="549"/>
      <c r="AS1304" s="549"/>
      <c r="AT1304" s="549"/>
      <c r="AU1304" s="549"/>
      <c r="AV1304" s="549"/>
      <c r="AW1304" s="549"/>
      <c r="AX1304" s="549"/>
      <c r="AY1304" s="549"/>
      <c r="AZ1304" s="549"/>
      <c r="BA1304" s="549"/>
      <c r="BB1304" s="549"/>
      <c r="BC1304" s="549"/>
      <c r="BD1304" s="549"/>
      <c r="BE1304" s="549"/>
      <c r="BF1304" s="549"/>
      <c r="BG1304" s="549"/>
      <c r="BH1304" s="549"/>
      <c r="BI1304" s="549"/>
    </row>
    <row r="1305" spans="16:61" s="254" customFormat="1" ht="9.9">
      <c r="P1305" s="549"/>
      <c r="Q1305" s="549"/>
      <c r="R1305" s="549"/>
      <c r="S1305" s="549"/>
      <c r="T1305" s="549"/>
      <c r="U1305" s="549"/>
      <c r="V1305" s="549"/>
      <c r="W1305" s="549"/>
      <c r="X1305" s="549"/>
      <c r="Y1305" s="549"/>
      <c r="Z1305" s="549"/>
      <c r="AA1305" s="549"/>
      <c r="AB1305" s="549"/>
      <c r="AC1305" s="549"/>
      <c r="AD1305" s="549"/>
      <c r="AE1305" s="549"/>
      <c r="AF1305" s="549"/>
      <c r="AG1305" s="549"/>
      <c r="AH1305" s="549"/>
      <c r="AI1305" s="549"/>
      <c r="AJ1305" s="549"/>
      <c r="AK1305" s="549"/>
      <c r="AL1305" s="549"/>
      <c r="AM1305" s="549"/>
      <c r="AN1305" s="549"/>
      <c r="AO1305" s="549"/>
      <c r="AP1305" s="549"/>
      <c r="AQ1305" s="549"/>
      <c r="AR1305" s="549"/>
      <c r="AS1305" s="549"/>
      <c r="AT1305" s="549"/>
      <c r="AU1305" s="549"/>
      <c r="AV1305" s="549"/>
      <c r="AW1305" s="549"/>
      <c r="AX1305" s="549"/>
      <c r="AY1305" s="549"/>
      <c r="AZ1305" s="549"/>
      <c r="BA1305" s="549"/>
      <c r="BB1305" s="549"/>
      <c r="BC1305" s="549"/>
      <c r="BD1305" s="549"/>
      <c r="BE1305" s="549"/>
      <c r="BF1305" s="549"/>
      <c r="BG1305" s="549"/>
      <c r="BH1305" s="549"/>
      <c r="BI1305" s="549"/>
    </row>
    <row r="1306" spans="16:61" s="254" customFormat="1" ht="9.9">
      <c r="P1306" s="549"/>
      <c r="Q1306" s="549"/>
      <c r="R1306" s="549"/>
      <c r="S1306" s="549"/>
      <c r="T1306" s="549"/>
      <c r="U1306" s="549"/>
      <c r="V1306" s="549"/>
      <c r="W1306" s="549"/>
      <c r="X1306" s="549"/>
      <c r="Y1306" s="549"/>
      <c r="Z1306" s="549"/>
      <c r="AA1306" s="549"/>
      <c r="AB1306" s="549"/>
      <c r="AC1306" s="549"/>
      <c r="AD1306" s="549"/>
      <c r="AE1306" s="549"/>
      <c r="AF1306" s="549"/>
      <c r="AG1306" s="549"/>
      <c r="AH1306" s="549"/>
      <c r="AI1306" s="549"/>
      <c r="AJ1306" s="549"/>
      <c r="AK1306" s="549"/>
      <c r="AL1306" s="549"/>
      <c r="AM1306" s="549"/>
      <c r="AN1306" s="549"/>
      <c r="AO1306" s="549"/>
      <c r="AP1306" s="549"/>
      <c r="AQ1306" s="549"/>
      <c r="AR1306" s="549"/>
      <c r="AS1306" s="549"/>
      <c r="AT1306" s="549"/>
      <c r="AU1306" s="549"/>
      <c r="AV1306" s="549"/>
      <c r="AW1306" s="549"/>
      <c r="AX1306" s="549"/>
      <c r="AY1306" s="549"/>
      <c r="AZ1306" s="549"/>
      <c r="BA1306" s="549"/>
      <c r="BB1306" s="549"/>
      <c r="BC1306" s="549"/>
      <c r="BD1306" s="549"/>
      <c r="BE1306" s="549"/>
      <c r="BF1306" s="549"/>
      <c r="BG1306" s="549"/>
      <c r="BH1306" s="549"/>
      <c r="BI1306" s="549"/>
    </row>
    <row r="1307" spans="16:61" s="254" customFormat="1" ht="9.9">
      <c r="P1307" s="549"/>
      <c r="Q1307" s="549"/>
      <c r="R1307" s="549"/>
      <c r="S1307" s="549"/>
      <c r="T1307" s="549"/>
      <c r="U1307" s="549"/>
      <c r="V1307" s="549"/>
      <c r="W1307" s="549"/>
      <c r="X1307" s="549"/>
      <c r="Y1307" s="549"/>
      <c r="Z1307" s="549"/>
      <c r="AA1307" s="549"/>
      <c r="AB1307" s="549"/>
      <c r="AC1307" s="549"/>
      <c r="AD1307" s="549"/>
      <c r="AE1307" s="549"/>
      <c r="AF1307" s="549"/>
      <c r="AG1307" s="549"/>
      <c r="AH1307" s="549"/>
      <c r="AI1307" s="549"/>
      <c r="AJ1307" s="549"/>
      <c r="AK1307" s="549"/>
      <c r="AL1307" s="549"/>
      <c r="AM1307" s="549"/>
      <c r="AN1307" s="549"/>
      <c r="AO1307" s="549"/>
      <c r="AP1307" s="549"/>
      <c r="AQ1307" s="549"/>
      <c r="AR1307" s="549"/>
      <c r="AS1307" s="549"/>
      <c r="AT1307" s="549"/>
      <c r="AU1307" s="549"/>
      <c r="AV1307" s="549"/>
      <c r="AW1307" s="549"/>
      <c r="AX1307" s="549"/>
      <c r="AY1307" s="549"/>
      <c r="AZ1307" s="549"/>
      <c r="BA1307" s="549"/>
      <c r="BB1307" s="549"/>
      <c r="BC1307" s="549"/>
      <c r="BD1307" s="549"/>
      <c r="BE1307" s="549"/>
      <c r="BF1307" s="549"/>
      <c r="BG1307" s="549"/>
      <c r="BH1307" s="549"/>
      <c r="BI1307" s="549"/>
    </row>
    <row r="1308" spans="16:61" s="254" customFormat="1" ht="9.9">
      <c r="P1308" s="549"/>
      <c r="Q1308" s="549"/>
      <c r="R1308" s="549"/>
      <c r="S1308" s="549"/>
      <c r="T1308" s="549"/>
      <c r="U1308" s="549"/>
      <c r="V1308" s="549"/>
      <c r="W1308" s="549"/>
      <c r="X1308" s="549"/>
      <c r="Y1308" s="549"/>
      <c r="Z1308" s="549"/>
      <c r="AA1308" s="549"/>
      <c r="AB1308" s="549"/>
      <c r="AC1308" s="549"/>
      <c r="AD1308" s="549"/>
      <c r="AE1308" s="549"/>
      <c r="AF1308" s="549"/>
      <c r="AG1308" s="549"/>
      <c r="AH1308" s="549"/>
      <c r="AI1308" s="549"/>
      <c r="AJ1308" s="549"/>
      <c r="AK1308" s="549"/>
      <c r="AL1308" s="549"/>
      <c r="AM1308" s="549"/>
      <c r="AN1308" s="549"/>
      <c r="AO1308" s="549"/>
      <c r="AP1308" s="549"/>
      <c r="AQ1308" s="549"/>
      <c r="AR1308" s="549"/>
      <c r="AS1308" s="549"/>
      <c r="AT1308" s="549"/>
      <c r="AU1308" s="549"/>
      <c r="AV1308" s="549"/>
      <c r="AW1308" s="549"/>
      <c r="AX1308" s="549"/>
      <c r="AY1308" s="549"/>
      <c r="AZ1308" s="549"/>
      <c r="BA1308" s="549"/>
      <c r="BB1308" s="549"/>
      <c r="BC1308" s="549"/>
      <c r="BD1308" s="549"/>
      <c r="BE1308" s="549"/>
      <c r="BF1308" s="549"/>
      <c r="BG1308" s="549"/>
      <c r="BH1308" s="549"/>
      <c r="BI1308" s="549"/>
    </row>
    <row r="1309" spans="16:61" s="254" customFormat="1" ht="9.9">
      <c r="P1309" s="549"/>
      <c r="Q1309" s="549"/>
      <c r="R1309" s="549"/>
      <c r="S1309" s="549"/>
      <c r="T1309" s="549"/>
      <c r="U1309" s="549"/>
      <c r="V1309" s="549"/>
      <c r="W1309" s="549"/>
      <c r="X1309" s="549"/>
      <c r="Y1309" s="549"/>
      <c r="Z1309" s="549"/>
      <c r="AA1309" s="549"/>
      <c r="AB1309" s="549"/>
      <c r="AC1309" s="549"/>
      <c r="AD1309" s="549"/>
      <c r="AE1309" s="549"/>
      <c r="AF1309" s="549"/>
      <c r="AG1309" s="549"/>
      <c r="AH1309" s="549"/>
      <c r="AI1309" s="549"/>
      <c r="AJ1309" s="549"/>
      <c r="AK1309" s="549"/>
      <c r="AL1309" s="549"/>
      <c r="AM1309" s="549"/>
      <c r="AN1309" s="549"/>
      <c r="AO1309" s="549"/>
      <c r="AP1309" s="549"/>
      <c r="AQ1309" s="549"/>
      <c r="AR1309" s="549"/>
      <c r="AS1309" s="549"/>
      <c r="AT1309" s="549"/>
      <c r="AU1309" s="549"/>
      <c r="AV1309" s="549"/>
      <c r="AW1309" s="549"/>
      <c r="AX1309" s="549"/>
      <c r="AY1309" s="549"/>
      <c r="AZ1309" s="549"/>
      <c r="BA1309" s="549"/>
      <c r="BB1309" s="549"/>
      <c r="BC1309" s="549"/>
      <c r="BD1309" s="549"/>
      <c r="BE1309" s="549"/>
      <c r="BF1309" s="549"/>
      <c r="BG1309" s="549"/>
      <c r="BH1309" s="549"/>
      <c r="BI1309" s="549"/>
    </row>
    <row r="1310" spans="16:61" s="254" customFormat="1" ht="9.9">
      <c r="P1310" s="549"/>
      <c r="Q1310" s="549"/>
      <c r="R1310" s="549"/>
      <c r="S1310" s="549"/>
      <c r="T1310" s="549"/>
      <c r="U1310" s="549"/>
      <c r="V1310" s="549"/>
      <c r="W1310" s="549"/>
      <c r="X1310" s="549"/>
      <c r="Y1310" s="549"/>
      <c r="Z1310" s="549"/>
      <c r="AA1310" s="549"/>
      <c r="AB1310" s="549"/>
      <c r="AC1310" s="549"/>
      <c r="AD1310" s="549"/>
      <c r="AE1310" s="549"/>
      <c r="AF1310" s="549"/>
      <c r="AG1310" s="549"/>
      <c r="AH1310" s="549"/>
      <c r="AI1310" s="549"/>
      <c r="AJ1310" s="549"/>
      <c r="AK1310" s="549"/>
      <c r="AL1310" s="549"/>
      <c r="AM1310" s="549"/>
      <c r="AN1310" s="549"/>
      <c r="AO1310" s="549"/>
      <c r="AP1310" s="549"/>
      <c r="AQ1310" s="549"/>
      <c r="AR1310" s="549"/>
      <c r="AS1310" s="549"/>
      <c r="AT1310" s="549"/>
      <c r="AU1310" s="549"/>
      <c r="AV1310" s="549"/>
      <c r="AW1310" s="549"/>
      <c r="AX1310" s="549"/>
      <c r="AY1310" s="549"/>
      <c r="AZ1310" s="549"/>
      <c r="BA1310" s="549"/>
      <c r="BB1310" s="549"/>
      <c r="BC1310" s="549"/>
      <c r="BD1310" s="549"/>
      <c r="BE1310" s="549"/>
      <c r="BF1310" s="549"/>
      <c r="BG1310" s="549"/>
      <c r="BH1310" s="549"/>
      <c r="BI1310" s="549"/>
    </row>
    <row r="1311" spans="16:61" s="254" customFormat="1" ht="9.9">
      <c r="P1311" s="549"/>
      <c r="Q1311" s="549"/>
      <c r="R1311" s="549"/>
      <c r="S1311" s="549"/>
      <c r="T1311" s="549"/>
      <c r="U1311" s="549"/>
      <c r="V1311" s="549"/>
      <c r="W1311" s="549"/>
      <c r="X1311" s="549"/>
      <c r="Y1311" s="549"/>
      <c r="Z1311" s="549"/>
      <c r="AA1311" s="549"/>
      <c r="AB1311" s="549"/>
      <c r="AC1311" s="549"/>
      <c r="AD1311" s="549"/>
      <c r="AE1311" s="549"/>
      <c r="AF1311" s="549"/>
      <c r="AG1311" s="549"/>
      <c r="AH1311" s="549"/>
      <c r="AI1311" s="549"/>
      <c r="AJ1311" s="549"/>
      <c r="AK1311" s="549"/>
      <c r="AL1311" s="549"/>
      <c r="AM1311" s="549"/>
      <c r="AN1311" s="549"/>
      <c r="AO1311" s="549"/>
      <c r="AP1311" s="549"/>
      <c r="AQ1311" s="549"/>
      <c r="AR1311" s="549"/>
      <c r="AS1311" s="549"/>
      <c r="AT1311" s="549"/>
      <c r="AU1311" s="549"/>
      <c r="AV1311" s="549"/>
      <c r="AW1311" s="549"/>
      <c r="AX1311" s="549"/>
      <c r="AY1311" s="549"/>
      <c r="AZ1311" s="549"/>
      <c r="BA1311" s="549"/>
      <c r="BB1311" s="549"/>
      <c r="BC1311" s="549"/>
      <c r="BD1311" s="549"/>
      <c r="BE1311" s="549"/>
      <c r="BF1311" s="549"/>
      <c r="BG1311" s="549"/>
      <c r="BH1311" s="549"/>
      <c r="BI1311" s="549"/>
    </row>
    <row r="1312" spans="16:61" s="254" customFormat="1" ht="9.9">
      <c r="P1312" s="549"/>
      <c r="Q1312" s="549"/>
      <c r="R1312" s="549"/>
      <c r="S1312" s="549"/>
      <c r="T1312" s="549"/>
      <c r="U1312" s="549"/>
      <c r="V1312" s="549"/>
      <c r="W1312" s="549"/>
      <c r="X1312" s="549"/>
      <c r="Y1312" s="549"/>
      <c r="Z1312" s="549"/>
      <c r="AA1312" s="549"/>
      <c r="AB1312" s="549"/>
      <c r="AC1312" s="549"/>
      <c r="AD1312" s="549"/>
      <c r="AE1312" s="549"/>
      <c r="AF1312" s="549"/>
      <c r="AG1312" s="549"/>
      <c r="AH1312" s="549"/>
      <c r="AI1312" s="549"/>
      <c r="AJ1312" s="549"/>
      <c r="AK1312" s="549"/>
      <c r="AL1312" s="549"/>
      <c r="AM1312" s="549"/>
      <c r="AN1312" s="549"/>
      <c r="AO1312" s="549"/>
      <c r="AP1312" s="549"/>
      <c r="AQ1312" s="549"/>
      <c r="AR1312" s="549"/>
      <c r="AS1312" s="549"/>
      <c r="AT1312" s="549"/>
      <c r="AU1312" s="549"/>
      <c r="AV1312" s="549"/>
      <c r="AW1312" s="549"/>
      <c r="AX1312" s="549"/>
      <c r="AY1312" s="549"/>
      <c r="AZ1312" s="549"/>
      <c r="BA1312" s="549"/>
      <c r="BB1312" s="549"/>
      <c r="BC1312" s="549"/>
      <c r="BD1312" s="549"/>
      <c r="BE1312" s="549"/>
      <c r="BF1312" s="549"/>
      <c r="BG1312" s="549"/>
      <c r="BH1312" s="549"/>
      <c r="BI1312" s="549"/>
    </row>
    <row r="1313" spans="16:61" s="254" customFormat="1" ht="9.9">
      <c r="P1313" s="549"/>
      <c r="Q1313" s="549"/>
      <c r="R1313" s="549"/>
      <c r="S1313" s="549"/>
      <c r="T1313" s="549"/>
      <c r="U1313" s="549"/>
      <c r="V1313" s="549"/>
      <c r="W1313" s="549"/>
      <c r="X1313" s="549"/>
      <c r="Y1313" s="549"/>
      <c r="Z1313" s="549"/>
      <c r="AA1313" s="549"/>
      <c r="AB1313" s="549"/>
      <c r="AC1313" s="549"/>
      <c r="AD1313" s="549"/>
      <c r="AE1313" s="549"/>
      <c r="AF1313" s="549"/>
      <c r="AG1313" s="549"/>
      <c r="AH1313" s="549"/>
      <c r="AI1313" s="549"/>
      <c r="AJ1313" s="549"/>
      <c r="AK1313" s="549"/>
      <c r="AL1313" s="549"/>
      <c r="AM1313" s="549"/>
      <c r="AN1313" s="549"/>
      <c r="AO1313" s="549"/>
      <c r="AP1313" s="549"/>
      <c r="AQ1313" s="549"/>
      <c r="AR1313" s="549"/>
      <c r="AS1313" s="549"/>
      <c r="AT1313" s="549"/>
      <c r="AU1313" s="549"/>
      <c r="AV1313" s="549"/>
      <c r="AW1313" s="549"/>
      <c r="AX1313" s="549"/>
      <c r="AY1313" s="549"/>
      <c r="AZ1313" s="549"/>
      <c r="BA1313" s="549"/>
      <c r="BB1313" s="549"/>
      <c r="BC1313" s="549"/>
      <c r="BD1313" s="549"/>
      <c r="BE1313" s="549"/>
      <c r="BF1313" s="549"/>
      <c r="BG1313" s="549"/>
      <c r="BH1313" s="549"/>
      <c r="BI1313" s="549"/>
    </row>
    <row r="1314" spans="16:61" s="254" customFormat="1" ht="9.9">
      <c r="P1314" s="549"/>
      <c r="Q1314" s="549"/>
      <c r="R1314" s="549"/>
      <c r="S1314" s="549"/>
      <c r="T1314" s="549"/>
      <c r="U1314" s="549"/>
      <c r="V1314" s="549"/>
      <c r="W1314" s="549"/>
      <c r="X1314" s="549"/>
      <c r="Y1314" s="549"/>
      <c r="Z1314" s="549"/>
      <c r="AA1314" s="549"/>
      <c r="AB1314" s="549"/>
      <c r="AC1314" s="549"/>
      <c r="AD1314" s="549"/>
      <c r="AE1314" s="549"/>
      <c r="AF1314" s="549"/>
      <c r="AG1314" s="549"/>
      <c r="AH1314" s="549"/>
      <c r="AI1314" s="549"/>
      <c r="AJ1314" s="549"/>
      <c r="AK1314" s="549"/>
      <c r="AL1314" s="549"/>
      <c r="AM1314" s="549"/>
      <c r="AN1314" s="549"/>
      <c r="AO1314" s="549"/>
      <c r="AP1314" s="549"/>
      <c r="AQ1314" s="549"/>
      <c r="AR1314" s="549"/>
      <c r="AS1314" s="549"/>
      <c r="AT1314" s="549"/>
      <c r="AU1314" s="549"/>
      <c r="AV1314" s="549"/>
      <c r="AW1314" s="549"/>
      <c r="AX1314" s="549"/>
      <c r="AY1314" s="549"/>
      <c r="AZ1314" s="549"/>
      <c r="BA1314" s="549"/>
      <c r="BB1314" s="549"/>
      <c r="BC1314" s="549"/>
      <c r="BD1314" s="549"/>
      <c r="BE1314" s="549"/>
      <c r="BF1314" s="549"/>
      <c r="BG1314" s="549"/>
      <c r="BH1314" s="549"/>
      <c r="BI1314" s="549"/>
    </row>
    <row r="1315" spans="16:61" s="254" customFormat="1" ht="9.9">
      <c r="P1315" s="549"/>
      <c r="Q1315" s="549"/>
      <c r="R1315" s="549"/>
      <c r="S1315" s="549"/>
      <c r="T1315" s="549"/>
      <c r="U1315" s="549"/>
      <c r="V1315" s="549"/>
      <c r="W1315" s="549"/>
      <c r="X1315" s="549"/>
      <c r="Y1315" s="549"/>
      <c r="Z1315" s="549"/>
      <c r="AA1315" s="549"/>
      <c r="AB1315" s="549"/>
      <c r="AC1315" s="549"/>
      <c r="AD1315" s="549"/>
      <c r="AE1315" s="549"/>
      <c r="AF1315" s="549"/>
      <c r="AG1315" s="549"/>
      <c r="AH1315" s="549"/>
      <c r="AI1315" s="549"/>
      <c r="AJ1315" s="549"/>
      <c r="AK1315" s="549"/>
      <c r="AL1315" s="549"/>
      <c r="AM1315" s="549"/>
      <c r="AN1315" s="549"/>
      <c r="AO1315" s="549"/>
      <c r="AP1315" s="549"/>
      <c r="AQ1315" s="549"/>
      <c r="AR1315" s="549"/>
      <c r="AS1315" s="549"/>
      <c r="AT1315" s="549"/>
      <c r="AU1315" s="549"/>
      <c r="AV1315" s="549"/>
      <c r="AW1315" s="549"/>
      <c r="AX1315" s="549"/>
      <c r="AY1315" s="549"/>
      <c r="AZ1315" s="549"/>
      <c r="BA1315" s="549"/>
      <c r="BB1315" s="549"/>
      <c r="BC1315" s="549"/>
      <c r="BD1315" s="549"/>
      <c r="BE1315" s="549"/>
      <c r="BF1315" s="549"/>
      <c r="BG1315" s="549"/>
      <c r="BH1315" s="549"/>
      <c r="BI1315" s="549"/>
    </row>
    <row r="1316" spans="16:61" s="254" customFormat="1" ht="9.9">
      <c r="P1316" s="549"/>
      <c r="Q1316" s="549"/>
      <c r="R1316" s="549"/>
      <c r="S1316" s="549"/>
      <c r="T1316" s="549"/>
      <c r="U1316" s="549"/>
      <c r="V1316" s="549"/>
      <c r="W1316" s="549"/>
      <c r="X1316" s="549"/>
      <c r="Y1316" s="549"/>
      <c r="Z1316" s="549"/>
      <c r="AA1316" s="549"/>
      <c r="AB1316" s="549"/>
      <c r="AC1316" s="549"/>
      <c r="AD1316" s="549"/>
      <c r="AE1316" s="549"/>
      <c r="AF1316" s="549"/>
      <c r="AG1316" s="549"/>
      <c r="AH1316" s="549"/>
      <c r="AI1316" s="549"/>
      <c r="AJ1316" s="549"/>
      <c r="AK1316" s="549"/>
      <c r="AL1316" s="549"/>
      <c r="AM1316" s="549"/>
      <c r="AN1316" s="549"/>
      <c r="AO1316" s="549"/>
      <c r="AP1316" s="549"/>
      <c r="AQ1316" s="549"/>
      <c r="AR1316" s="549"/>
      <c r="AS1316" s="549"/>
      <c r="AT1316" s="549"/>
      <c r="AU1316" s="549"/>
      <c r="AV1316" s="549"/>
      <c r="AW1316" s="549"/>
      <c r="AX1316" s="549"/>
      <c r="AY1316" s="549"/>
      <c r="AZ1316" s="549"/>
      <c r="BA1316" s="549"/>
      <c r="BB1316" s="549"/>
      <c r="BC1316" s="549"/>
      <c r="BD1316" s="549"/>
      <c r="BE1316" s="549"/>
      <c r="BF1316" s="549"/>
      <c r="BG1316" s="549"/>
      <c r="BH1316" s="549"/>
      <c r="BI1316" s="549"/>
    </row>
    <row r="1317" spans="16:61" s="254" customFormat="1" ht="9.9">
      <c r="P1317" s="549"/>
      <c r="Q1317" s="549"/>
      <c r="R1317" s="549"/>
      <c r="S1317" s="549"/>
      <c r="T1317" s="549"/>
      <c r="U1317" s="549"/>
      <c r="V1317" s="549"/>
      <c r="W1317" s="549"/>
      <c r="X1317" s="549"/>
      <c r="Y1317" s="549"/>
      <c r="Z1317" s="549"/>
      <c r="AA1317" s="549"/>
      <c r="AB1317" s="549"/>
      <c r="AC1317" s="549"/>
      <c r="AD1317" s="549"/>
      <c r="AE1317" s="549"/>
      <c r="AF1317" s="549"/>
      <c r="AG1317" s="549"/>
      <c r="AH1317" s="549"/>
      <c r="AI1317" s="549"/>
      <c r="AJ1317" s="549"/>
      <c r="AK1317" s="549"/>
      <c r="AL1317" s="549"/>
      <c r="AM1317" s="549"/>
      <c r="AN1317" s="549"/>
      <c r="AO1317" s="549"/>
      <c r="AP1317" s="549"/>
      <c r="AQ1317" s="549"/>
      <c r="AR1317" s="549"/>
      <c r="AS1317" s="549"/>
      <c r="AT1317" s="549"/>
      <c r="AU1317" s="549"/>
      <c r="AV1317" s="549"/>
      <c r="AW1317" s="549"/>
      <c r="AX1317" s="549"/>
      <c r="AY1317" s="549"/>
      <c r="AZ1317" s="549"/>
      <c r="BA1317" s="549"/>
      <c r="BB1317" s="549"/>
      <c r="BC1317" s="549"/>
      <c r="BD1317" s="549"/>
      <c r="BE1317" s="549"/>
      <c r="BF1317" s="549"/>
      <c r="BG1317" s="549"/>
      <c r="BH1317" s="549"/>
      <c r="BI1317" s="549"/>
    </row>
    <row r="1318" spans="16:61" s="254" customFormat="1" ht="9.9">
      <c r="P1318" s="549"/>
      <c r="Q1318" s="549"/>
      <c r="R1318" s="549"/>
      <c r="S1318" s="549"/>
      <c r="T1318" s="549"/>
      <c r="U1318" s="549"/>
      <c r="V1318" s="549"/>
      <c r="W1318" s="549"/>
      <c r="X1318" s="549"/>
      <c r="Y1318" s="549"/>
      <c r="Z1318" s="549"/>
      <c r="AA1318" s="549"/>
      <c r="AB1318" s="549"/>
      <c r="AC1318" s="549"/>
      <c r="AD1318" s="549"/>
      <c r="AE1318" s="549"/>
      <c r="AF1318" s="549"/>
      <c r="AG1318" s="549"/>
      <c r="AH1318" s="549"/>
      <c r="AI1318" s="549"/>
      <c r="AJ1318" s="549"/>
      <c r="AK1318" s="549"/>
      <c r="AL1318" s="549"/>
      <c r="AM1318" s="549"/>
      <c r="AN1318" s="549"/>
      <c r="AO1318" s="549"/>
      <c r="AP1318" s="549"/>
      <c r="AQ1318" s="549"/>
      <c r="AR1318" s="549"/>
      <c r="AS1318" s="549"/>
      <c r="AT1318" s="549"/>
      <c r="AU1318" s="549"/>
      <c r="AV1318" s="549"/>
      <c r="AW1318" s="549"/>
      <c r="AX1318" s="549"/>
      <c r="AY1318" s="549"/>
      <c r="AZ1318" s="549"/>
      <c r="BA1318" s="549"/>
      <c r="BB1318" s="549"/>
      <c r="BC1318" s="549"/>
      <c r="BD1318" s="549"/>
      <c r="BE1318" s="549"/>
      <c r="BF1318" s="549"/>
      <c r="BG1318" s="549"/>
      <c r="BH1318" s="549"/>
      <c r="BI1318" s="549"/>
    </row>
    <row r="1319" spans="16:61" s="254" customFormat="1" ht="9.9">
      <c r="P1319" s="549"/>
      <c r="Q1319" s="549"/>
      <c r="R1319" s="549"/>
      <c r="S1319" s="549"/>
      <c r="T1319" s="549"/>
      <c r="U1319" s="549"/>
      <c r="V1319" s="549"/>
      <c r="W1319" s="549"/>
      <c r="X1319" s="549"/>
      <c r="Y1319" s="549"/>
      <c r="Z1319" s="549"/>
      <c r="AA1319" s="549"/>
      <c r="AB1319" s="549"/>
      <c r="AC1319" s="549"/>
      <c r="AD1319" s="549"/>
      <c r="AE1319" s="549"/>
      <c r="AF1319" s="549"/>
      <c r="AG1319" s="549"/>
      <c r="AH1319" s="549"/>
      <c r="AI1319" s="549"/>
      <c r="AJ1319" s="549"/>
      <c r="AK1319" s="549"/>
      <c r="AL1319" s="549"/>
      <c r="AM1319" s="549"/>
      <c r="AN1319" s="549"/>
      <c r="AO1319" s="549"/>
      <c r="AP1319" s="549"/>
      <c r="AQ1319" s="549"/>
      <c r="AR1319" s="549"/>
      <c r="AS1319" s="549"/>
      <c r="AT1319" s="549"/>
      <c r="AU1319" s="549"/>
      <c r="AV1319" s="549"/>
      <c r="AW1319" s="549"/>
      <c r="AX1319" s="549"/>
      <c r="AY1319" s="549"/>
      <c r="AZ1319" s="549"/>
      <c r="BA1319" s="549"/>
      <c r="BB1319" s="549"/>
      <c r="BC1319" s="549"/>
      <c r="BD1319" s="549"/>
      <c r="BE1319" s="549"/>
      <c r="BF1319" s="549"/>
      <c r="BG1319" s="549"/>
      <c r="BH1319" s="549"/>
      <c r="BI1319" s="549"/>
    </row>
    <row r="1320" spans="16:61" s="254" customFormat="1" ht="9.9">
      <c r="P1320" s="549"/>
      <c r="Q1320" s="549"/>
      <c r="R1320" s="549"/>
      <c r="S1320" s="549"/>
      <c r="T1320" s="549"/>
      <c r="U1320" s="549"/>
      <c r="V1320" s="549"/>
      <c r="W1320" s="549"/>
      <c r="X1320" s="549"/>
      <c r="Y1320" s="549"/>
      <c r="Z1320" s="549"/>
      <c r="AA1320" s="549"/>
      <c r="AB1320" s="549"/>
      <c r="AC1320" s="549"/>
      <c r="AD1320" s="549"/>
      <c r="AE1320" s="549"/>
      <c r="AF1320" s="549"/>
      <c r="AG1320" s="549"/>
      <c r="AH1320" s="549"/>
      <c r="AI1320" s="549"/>
      <c r="AJ1320" s="549"/>
      <c r="AK1320" s="549"/>
      <c r="AL1320" s="549"/>
      <c r="AM1320" s="549"/>
      <c r="AN1320" s="549"/>
      <c r="AO1320" s="549"/>
      <c r="AP1320" s="549"/>
      <c r="AQ1320" s="549"/>
      <c r="AR1320" s="549"/>
      <c r="AS1320" s="549"/>
      <c r="AT1320" s="549"/>
      <c r="AU1320" s="549"/>
      <c r="AV1320" s="549"/>
      <c r="AW1320" s="549"/>
      <c r="AX1320" s="549"/>
      <c r="AY1320" s="549"/>
      <c r="AZ1320" s="549"/>
      <c r="BA1320" s="549"/>
      <c r="BB1320" s="549"/>
      <c r="BC1320" s="549"/>
      <c r="BD1320" s="549"/>
      <c r="BE1320" s="549"/>
      <c r="BF1320" s="549"/>
      <c r="BG1320" s="549"/>
      <c r="BH1320" s="549"/>
      <c r="BI1320" s="549"/>
    </row>
    <row r="1321" spans="16:61" s="254" customFormat="1" ht="9.9">
      <c r="P1321" s="549"/>
      <c r="Q1321" s="549"/>
      <c r="R1321" s="549"/>
      <c r="S1321" s="549"/>
      <c r="T1321" s="549"/>
      <c r="U1321" s="549"/>
      <c r="V1321" s="549"/>
      <c r="W1321" s="549"/>
      <c r="X1321" s="549"/>
      <c r="Y1321" s="549"/>
      <c r="Z1321" s="549"/>
      <c r="AA1321" s="549"/>
      <c r="AB1321" s="549"/>
      <c r="AC1321" s="549"/>
      <c r="AD1321" s="549"/>
      <c r="AE1321" s="549"/>
      <c r="AF1321" s="549"/>
      <c r="AG1321" s="549"/>
      <c r="AH1321" s="549"/>
      <c r="AI1321" s="549"/>
      <c r="AJ1321" s="549"/>
      <c r="AK1321" s="549"/>
      <c r="AL1321" s="549"/>
      <c r="AM1321" s="549"/>
      <c r="AN1321" s="549"/>
      <c r="AO1321" s="549"/>
      <c r="AP1321" s="549"/>
      <c r="AQ1321" s="549"/>
      <c r="AR1321" s="549"/>
      <c r="AS1321" s="549"/>
      <c r="AT1321" s="549"/>
      <c r="AU1321" s="549"/>
      <c r="AV1321" s="549"/>
      <c r="AW1321" s="549"/>
      <c r="AX1321" s="549"/>
      <c r="AY1321" s="549"/>
      <c r="AZ1321" s="549"/>
      <c r="BA1321" s="549"/>
      <c r="BB1321" s="549"/>
      <c r="BC1321" s="549"/>
      <c r="BD1321" s="549"/>
      <c r="BE1321" s="549"/>
      <c r="BF1321" s="549"/>
      <c r="BG1321" s="549"/>
      <c r="BH1321" s="549"/>
      <c r="BI1321" s="549"/>
    </row>
    <row r="1322" spans="16:61" s="254" customFormat="1" ht="9.9">
      <c r="P1322" s="549"/>
      <c r="Q1322" s="549"/>
      <c r="R1322" s="549"/>
      <c r="S1322" s="549"/>
      <c r="T1322" s="549"/>
      <c r="U1322" s="549"/>
      <c r="V1322" s="549"/>
      <c r="W1322" s="549"/>
      <c r="X1322" s="549"/>
      <c r="Y1322" s="549"/>
      <c r="Z1322" s="549"/>
      <c r="AA1322" s="549"/>
      <c r="AB1322" s="549"/>
      <c r="AC1322" s="549"/>
      <c r="AD1322" s="549"/>
      <c r="AE1322" s="549"/>
      <c r="AF1322" s="549"/>
      <c r="AG1322" s="549"/>
      <c r="AH1322" s="549"/>
      <c r="AI1322" s="549"/>
      <c r="AJ1322" s="549"/>
      <c r="AK1322" s="549"/>
      <c r="AL1322" s="549"/>
      <c r="AM1322" s="549"/>
      <c r="AN1322" s="549"/>
      <c r="AO1322" s="549"/>
      <c r="AP1322" s="549"/>
      <c r="AQ1322" s="549"/>
      <c r="AR1322" s="549"/>
      <c r="AS1322" s="549"/>
      <c r="AT1322" s="549"/>
      <c r="AU1322" s="549"/>
      <c r="AV1322" s="549"/>
      <c r="AW1322" s="549"/>
      <c r="AX1322" s="549"/>
      <c r="AY1322" s="549"/>
      <c r="AZ1322" s="549"/>
      <c r="BA1322" s="549"/>
      <c r="BB1322" s="549"/>
      <c r="BC1322" s="549"/>
      <c r="BD1322" s="549"/>
      <c r="BE1322" s="549"/>
      <c r="BF1322" s="549"/>
      <c r="BG1322" s="549"/>
      <c r="BH1322" s="549"/>
      <c r="BI1322" s="549"/>
    </row>
    <row r="1323" spans="16:61" s="254" customFormat="1" ht="9.9">
      <c r="P1323" s="549"/>
      <c r="Q1323" s="549"/>
      <c r="R1323" s="549"/>
      <c r="S1323" s="549"/>
      <c r="T1323" s="549"/>
      <c r="U1323" s="549"/>
      <c r="V1323" s="549"/>
      <c r="W1323" s="549"/>
      <c r="X1323" s="549"/>
      <c r="Y1323" s="549"/>
      <c r="Z1323" s="549"/>
      <c r="AA1323" s="549"/>
      <c r="AB1323" s="549"/>
      <c r="AC1323" s="549"/>
      <c r="AD1323" s="549"/>
      <c r="AE1323" s="549"/>
      <c r="AF1323" s="549"/>
      <c r="AG1323" s="549"/>
      <c r="AH1323" s="549"/>
      <c r="AI1323" s="549"/>
      <c r="AJ1323" s="549"/>
      <c r="AK1323" s="549"/>
      <c r="AL1323" s="549"/>
      <c r="AM1323" s="549"/>
      <c r="AN1323" s="549"/>
      <c r="AO1323" s="549"/>
      <c r="AP1323" s="549"/>
      <c r="AQ1323" s="549"/>
      <c r="AR1323" s="549"/>
      <c r="AS1323" s="549"/>
      <c r="AT1323" s="549"/>
      <c r="AU1323" s="549"/>
      <c r="AV1323" s="549"/>
      <c r="AW1323" s="549"/>
      <c r="AX1323" s="549"/>
      <c r="AY1323" s="549"/>
      <c r="AZ1323" s="549"/>
      <c r="BA1323" s="549"/>
      <c r="BB1323" s="549"/>
      <c r="BC1323" s="549"/>
      <c r="BD1323" s="549"/>
      <c r="BE1323" s="549"/>
      <c r="BF1323" s="549"/>
      <c r="BG1323" s="549"/>
      <c r="BH1323" s="549"/>
      <c r="BI1323" s="549"/>
    </row>
    <row r="1324" spans="16:61" s="254" customFormat="1" ht="9.9">
      <c r="P1324" s="549"/>
      <c r="Q1324" s="549"/>
      <c r="R1324" s="549"/>
      <c r="S1324" s="549"/>
      <c r="T1324" s="549"/>
      <c r="U1324" s="549"/>
      <c r="V1324" s="549"/>
      <c r="W1324" s="549"/>
      <c r="X1324" s="549"/>
      <c r="Y1324" s="549"/>
      <c r="Z1324" s="549"/>
      <c r="AA1324" s="549"/>
      <c r="AB1324" s="549"/>
      <c r="AC1324" s="549"/>
      <c r="AD1324" s="549"/>
      <c r="AE1324" s="549"/>
      <c r="AF1324" s="549"/>
      <c r="AG1324" s="549"/>
      <c r="AH1324" s="549"/>
      <c r="AI1324" s="549"/>
      <c r="AJ1324" s="549"/>
      <c r="AK1324" s="549"/>
      <c r="AL1324" s="549"/>
      <c r="AM1324" s="549"/>
      <c r="AN1324" s="549"/>
      <c r="AO1324" s="549"/>
      <c r="AP1324" s="549"/>
      <c r="AQ1324" s="549"/>
      <c r="AR1324" s="549"/>
      <c r="AS1324" s="549"/>
      <c r="AT1324" s="549"/>
      <c r="AU1324" s="549"/>
      <c r="AV1324" s="549"/>
      <c r="AW1324" s="549"/>
      <c r="AX1324" s="549"/>
      <c r="AY1324" s="549"/>
      <c r="AZ1324" s="549"/>
      <c r="BA1324" s="549"/>
      <c r="BB1324" s="549"/>
      <c r="BC1324" s="549"/>
      <c r="BD1324" s="549"/>
      <c r="BE1324" s="549"/>
      <c r="BF1324" s="549"/>
      <c r="BG1324" s="549"/>
      <c r="BH1324" s="549"/>
      <c r="BI1324" s="549"/>
    </row>
    <row r="1325" spans="16:61" s="254" customFormat="1" ht="9.9">
      <c r="P1325" s="549"/>
      <c r="Q1325" s="549"/>
      <c r="R1325" s="549"/>
      <c r="S1325" s="549"/>
      <c r="T1325" s="549"/>
      <c r="U1325" s="549"/>
      <c r="V1325" s="549"/>
      <c r="W1325" s="549"/>
      <c r="X1325" s="549"/>
      <c r="Y1325" s="549"/>
      <c r="Z1325" s="549"/>
      <c r="AA1325" s="549"/>
      <c r="AB1325" s="549"/>
      <c r="AC1325" s="549"/>
      <c r="AD1325" s="549"/>
      <c r="AE1325" s="549"/>
      <c r="AF1325" s="549"/>
      <c r="AG1325" s="549"/>
      <c r="AH1325" s="549"/>
      <c r="AI1325" s="549"/>
      <c r="AJ1325" s="549"/>
      <c r="AK1325" s="549"/>
      <c r="AL1325" s="549"/>
      <c r="AM1325" s="549"/>
      <c r="AN1325" s="549"/>
      <c r="AO1325" s="549"/>
      <c r="AP1325" s="549"/>
      <c r="AQ1325" s="549"/>
      <c r="AR1325" s="549"/>
      <c r="AS1325" s="549"/>
      <c r="AT1325" s="549"/>
      <c r="AU1325" s="549"/>
      <c r="AV1325" s="549"/>
      <c r="AW1325" s="549"/>
      <c r="AX1325" s="549"/>
      <c r="AY1325" s="549"/>
      <c r="AZ1325" s="549"/>
      <c r="BA1325" s="549"/>
      <c r="BB1325" s="549"/>
      <c r="BC1325" s="549"/>
      <c r="BD1325" s="549"/>
      <c r="BE1325" s="549"/>
      <c r="BF1325" s="549"/>
      <c r="BG1325" s="549"/>
      <c r="BH1325" s="549"/>
      <c r="BI1325" s="549"/>
    </row>
    <row r="1326" spans="16:61" s="254" customFormat="1" ht="9.9">
      <c r="P1326" s="549"/>
      <c r="Q1326" s="549"/>
      <c r="R1326" s="549"/>
      <c r="S1326" s="549"/>
      <c r="T1326" s="549"/>
      <c r="U1326" s="549"/>
      <c r="V1326" s="549"/>
      <c r="W1326" s="549"/>
      <c r="X1326" s="549"/>
      <c r="Y1326" s="549"/>
      <c r="Z1326" s="549"/>
      <c r="AA1326" s="549"/>
      <c r="AB1326" s="549"/>
      <c r="AC1326" s="549"/>
      <c r="AD1326" s="549"/>
      <c r="AE1326" s="549"/>
      <c r="AF1326" s="549"/>
      <c r="AG1326" s="549"/>
      <c r="AH1326" s="549"/>
      <c r="AI1326" s="549"/>
      <c r="AJ1326" s="549"/>
      <c r="AK1326" s="549"/>
      <c r="AL1326" s="549"/>
      <c r="AM1326" s="549"/>
      <c r="AN1326" s="549"/>
      <c r="AO1326" s="549"/>
      <c r="AP1326" s="549"/>
      <c r="AQ1326" s="549"/>
      <c r="AR1326" s="549"/>
      <c r="AS1326" s="549"/>
      <c r="AT1326" s="549"/>
      <c r="AU1326" s="549"/>
      <c r="AV1326" s="549"/>
      <c r="AW1326" s="549"/>
      <c r="AX1326" s="549"/>
      <c r="AY1326" s="549"/>
      <c r="AZ1326" s="549"/>
      <c r="BA1326" s="549"/>
      <c r="BB1326" s="549"/>
      <c r="BC1326" s="549"/>
      <c r="BD1326" s="549"/>
      <c r="BE1326" s="549"/>
      <c r="BF1326" s="549"/>
      <c r="BG1326" s="549"/>
      <c r="BH1326" s="549"/>
      <c r="BI1326" s="549"/>
    </row>
    <row r="1327" spans="16:61" s="254" customFormat="1" ht="9.9">
      <c r="P1327" s="549"/>
      <c r="Q1327" s="549"/>
      <c r="R1327" s="549"/>
      <c r="S1327" s="549"/>
      <c r="T1327" s="549"/>
      <c r="U1327" s="549"/>
      <c r="V1327" s="549"/>
      <c r="W1327" s="549"/>
      <c r="X1327" s="549"/>
      <c r="Y1327" s="549"/>
      <c r="Z1327" s="549"/>
      <c r="AA1327" s="549"/>
      <c r="AB1327" s="549"/>
      <c r="AC1327" s="549"/>
      <c r="AD1327" s="549"/>
      <c r="AE1327" s="549"/>
      <c r="AF1327" s="549"/>
      <c r="AG1327" s="549"/>
      <c r="AH1327" s="549"/>
      <c r="AI1327" s="549"/>
      <c r="AJ1327" s="549"/>
      <c r="AK1327" s="549"/>
      <c r="AL1327" s="549"/>
      <c r="AM1327" s="549"/>
      <c r="AN1327" s="549"/>
      <c r="AO1327" s="549"/>
      <c r="AP1327" s="549"/>
      <c r="AQ1327" s="549"/>
      <c r="AR1327" s="549"/>
      <c r="AS1327" s="549"/>
      <c r="AT1327" s="549"/>
      <c r="AU1327" s="549"/>
      <c r="AV1327" s="549"/>
      <c r="AW1327" s="549"/>
      <c r="AX1327" s="549"/>
      <c r="AY1327" s="549"/>
      <c r="AZ1327" s="549"/>
      <c r="BA1327" s="549"/>
      <c r="BB1327" s="549"/>
      <c r="BC1327" s="549"/>
      <c r="BD1327" s="549"/>
      <c r="BE1327" s="549"/>
      <c r="BF1327" s="549"/>
      <c r="BG1327" s="549"/>
      <c r="BH1327" s="549"/>
      <c r="BI1327" s="549"/>
    </row>
    <row r="1328" spans="16:61" s="254" customFormat="1" ht="9.9">
      <c r="P1328" s="549"/>
      <c r="Q1328" s="549"/>
      <c r="R1328" s="549"/>
      <c r="S1328" s="549"/>
      <c r="T1328" s="549"/>
      <c r="U1328" s="549"/>
      <c r="V1328" s="549"/>
      <c r="W1328" s="549"/>
      <c r="X1328" s="549"/>
      <c r="Y1328" s="549"/>
      <c r="Z1328" s="549"/>
      <c r="AA1328" s="549"/>
      <c r="AB1328" s="549"/>
      <c r="AC1328" s="549"/>
      <c r="AD1328" s="549"/>
      <c r="AE1328" s="549"/>
      <c r="AF1328" s="549"/>
      <c r="AG1328" s="549"/>
      <c r="AH1328" s="549"/>
      <c r="AI1328" s="549"/>
      <c r="AJ1328" s="549"/>
      <c r="AK1328" s="549"/>
      <c r="AL1328" s="549"/>
      <c r="AM1328" s="549"/>
      <c r="AN1328" s="549"/>
      <c r="AO1328" s="549"/>
      <c r="AP1328" s="549"/>
      <c r="AQ1328" s="549"/>
      <c r="AR1328" s="549"/>
      <c r="AS1328" s="549"/>
      <c r="AT1328" s="549"/>
      <c r="AU1328" s="549"/>
      <c r="AV1328" s="549"/>
      <c r="AW1328" s="549"/>
      <c r="AX1328" s="549"/>
      <c r="AY1328" s="549"/>
      <c r="AZ1328" s="549"/>
      <c r="BA1328" s="549"/>
      <c r="BB1328" s="549"/>
      <c r="BC1328" s="549"/>
      <c r="BD1328" s="549"/>
      <c r="BE1328" s="549"/>
      <c r="BF1328" s="549"/>
      <c r="BG1328" s="549"/>
      <c r="BH1328" s="549"/>
      <c r="BI1328" s="549"/>
    </row>
    <row r="1329" spans="16:61" s="254" customFormat="1" ht="9.9">
      <c r="P1329" s="549"/>
      <c r="Q1329" s="549"/>
      <c r="R1329" s="549"/>
      <c r="S1329" s="549"/>
      <c r="T1329" s="549"/>
      <c r="U1329" s="549"/>
      <c r="V1329" s="549"/>
      <c r="W1329" s="549"/>
      <c r="X1329" s="549"/>
      <c r="Y1329" s="549"/>
      <c r="Z1329" s="549"/>
      <c r="AA1329" s="549"/>
      <c r="AB1329" s="549"/>
      <c r="AC1329" s="549"/>
      <c r="AD1329" s="549"/>
      <c r="AE1329" s="549"/>
      <c r="AF1329" s="549"/>
      <c r="AG1329" s="549"/>
      <c r="AH1329" s="549"/>
      <c r="AI1329" s="549"/>
      <c r="AJ1329" s="549"/>
      <c r="AK1329" s="549"/>
      <c r="AL1329" s="549"/>
      <c r="AM1329" s="549"/>
      <c r="AN1329" s="549"/>
      <c r="AO1329" s="549"/>
      <c r="AP1329" s="549"/>
      <c r="AQ1329" s="549"/>
      <c r="AR1329" s="549"/>
      <c r="AS1329" s="549"/>
      <c r="AT1329" s="549"/>
      <c r="AU1329" s="549"/>
      <c r="AV1329" s="549"/>
      <c r="AW1329" s="549"/>
      <c r="AX1329" s="549"/>
      <c r="AY1329" s="549"/>
      <c r="AZ1329" s="549"/>
      <c r="BA1329" s="549"/>
      <c r="BB1329" s="549"/>
      <c r="BC1329" s="549"/>
      <c r="BD1329" s="549"/>
      <c r="BE1329" s="549"/>
      <c r="BF1329" s="549"/>
      <c r="BG1329" s="549"/>
      <c r="BH1329" s="549"/>
      <c r="BI1329" s="549"/>
    </row>
    <row r="1330" spans="16:61" s="254" customFormat="1" ht="9.9">
      <c r="P1330" s="549"/>
      <c r="Q1330" s="549"/>
      <c r="R1330" s="549"/>
      <c r="S1330" s="549"/>
      <c r="T1330" s="549"/>
      <c r="U1330" s="549"/>
      <c r="V1330" s="549"/>
      <c r="W1330" s="549"/>
      <c r="X1330" s="549"/>
      <c r="Y1330" s="549"/>
      <c r="Z1330" s="549"/>
      <c r="AA1330" s="549"/>
      <c r="AB1330" s="549"/>
      <c r="AC1330" s="549"/>
      <c r="AD1330" s="549"/>
      <c r="AE1330" s="549"/>
      <c r="AF1330" s="549"/>
      <c r="AG1330" s="549"/>
      <c r="AH1330" s="549"/>
      <c r="AI1330" s="549"/>
      <c r="AJ1330" s="549"/>
      <c r="AK1330" s="549"/>
      <c r="AL1330" s="549"/>
      <c r="AM1330" s="549"/>
      <c r="AN1330" s="549"/>
      <c r="AO1330" s="549"/>
      <c r="AP1330" s="549"/>
      <c r="AQ1330" s="549"/>
      <c r="AR1330" s="549"/>
      <c r="AS1330" s="549"/>
      <c r="AT1330" s="549"/>
      <c r="AU1330" s="549"/>
      <c r="AV1330" s="549"/>
      <c r="AW1330" s="549"/>
      <c r="AX1330" s="549"/>
      <c r="AY1330" s="549"/>
      <c r="AZ1330" s="549"/>
      <c r="BA1330" s="549"/>
      <c r="BB1330" s="549"/>
      <c r="BC1330" s="549"/>
      <c r="BD1330" s="549"/>
      <c r="BE1330" s="549"/>
      <c r="BF1330" s="549"/>
      <c r="BG1330" s="549"/>
      <c r="BH1330" s="549"/>
      <c r="BI1330" s="549"/>
    </row>
    <row r="1331" spans="16:61" s="254" customFormat="1" ht="9.9">
      <c r="P1331" s="549"/>
      <c r="Q1331" s="549"/>
      <c r="R1331" s="549"/>
      <c r="S1331" s="549"/>
      <c r="T1331" s="549"/>
      <c r="U1331" s="549"/>
      <c r="V1331" s="549"/>
      <c r="W1331" s="549"/>
      <c r="X1331" s="549"/>
      <c r="Y1331" s="549"/>
      <c r="Z1331" s="549"/>
      <c r="AA1331" s="549"/>
      <c r="AB1331" s="549"/>
      <c r="AC1331" s="549"/>
      <c r="AD1331" s="549"/>
      <c r="AE1331" s="549"/>
      <c r="AF1331" s="549"/>
      <c r="AG1331" s="549"/>
      <c r="AH1331" s="549"/>
      <c r="AI1331" s="549"/>
      <c r="AJ1331" s="549"/>
      <c r="AK1331" s="549"/>
      <c r="AL1331" s="549"/>
      <c r="AM1331" s="549"/>
      <c r="AN1331" s="549"/>
      <c r="AO1331" s="549"/>
      <c r="AP1331" s="549"/>
      <c r="AQ1331" s="549"/>
      <c r="AR1331" s="549"/>
      <c r="AS1331" s="549"/>
      <c r="AT1331" s="549"/>
      <c r="AU1331" s="549"/>
      <c r="AV1331" s="549"/>
      <c r="AW1331" s="549"/>
      <c r="AX1331" s="549"/>
      <c r="AY1331" s="549"/>
      <c r="AZ1331" s="549"/>
      <c r="BA1331" s="549"/>
      <c r="BB1331" s="549"/>
      <c r="BC1331" s="549"/>
      <c r="BD1331" s="549"/>
      <c r="BE1331" s="549"/>
      <c r="BF1331" s="549"/>
      <c r="BG1331" s="549"/>
      <c r="BH1331" s="549"/>
      <c r="BI1331" s="549"/>
    </row>
    <row r="1332" spans="16:61" s="254" customFormat="1" ht="9.9">
      <c r="P1332" s="549"/>
      <c r="Q1332" s="549"/>
      <c r="R1332" s="549"/>
      <c r="S1332" s="549"/>
      <c r="T1332" s="549"/>
      <c r="U1332" s="549"/>
      <c r="V1332" s="549"/>
      <c r="W1332" s="549"/>
      <c r="X1332" s="549"/>
      <c r="Y1332" s="549"/>
      <c r="Z1332" s="549"/>
      <c r="AA1332" s="549"/>
      <c r="AB1332" s="549"/>
      <c r="AC1332" s="549"/>
      <c r="AD1332" s="549"/>
      <c r="AE1332" s="549"/>
      <c r="AF1332" s="549"/>
      <c r="AG1332" s="549"/>
      <c r="AH1332" s="549"/>
      <c r="AI1332" s="549"/>
      <c r="AJ1332" s="549"/>
      <c r="AK1332" s="549"/>
      <c r="AL1332" s="549"/>
      <c r="AM1332" s="549"/>
      <c r="AN1332" s="549"/>
      <c r="AO1332" s="549"/>
      <c r="AP1332" s="549"/>
      <c r="AQ1332" s="549"/>
      <c r="AR1332" s="549"/>
      <c r="AS1332" s="549"/>
      <c r="AT1332" s="549"/>
      <c r="AU1332" s="549"/>
      <c r="AV1332" s="549"/>
      <c r="AW1332" s="549"/>
      <c r="AX1332" s="549"/>
      <c r="AY1332" s="549"/>
      <c r="AZ1332" s="549"/>
      <c r="BA1332" s="549"/>
      <c r="BB1332" s="549"/>
      <c r="BC1332" s="549"/>
      <c r="BD1332" s="549"/>
      <c r="BE1332" s="549"/>
      <c r="BF1332" s="549"/>
      <c r="BG1332" s="549"/>
      <c r="BH1332" s="549"/>
      <c r="BI1332" s="549"/>
    </row>
    <row r="1333" spans="16:61" s="254" customFormat="1" ht="9.9">
      <c r="P1333" s="549"/>
      <c r="Q1333" s="549"/>
      <c r="R1333" s="549"/>
      <c r="S1333" s="549"/>
      <c r="T1333" s="549"/>
      <c r="U1333" s="549"/>
      <c r="V1333" s="549"/>
      <c r="W1333" s="549"/>
      <c r="X1333" s="549"/>
      <c r="Y1333" s="549"/>
      <c r="Z1333" s="549"/>
      <c r="AA1333" s="549"/>
      <c r="AB1333" s="549"/>
      <c r="AC1333" s="549"/>
      <c r="AD1333" s="549"/>
      <c r="AE1333" s="549"/>
      <c r="AF1333" s="549"/>
      <c r="AG1333" s="549"/>
      <c r="AH1333" s="549"/>
      <c r="AI1333" s="549"/>
      <c r="AJ1333" s="549"/>
      <c r="AK1333" s="549"/>
      <c r="AL1333" s="549"/>
      <c r="AM1333" s="549"/>
      <c r="AN1333" s="549"/>
      <c r="AO1333" s="549"/>
      <c r="AP1333" s="549"/>
      <c r="AQ1333" s="549"/>
      <c r="AR1333" s="549"/>
      <c r="AS1333" s="549"/>
      <c r="AT1333" s="549"/>
      <c r="AU1333" s="549"/>
      <c r="AV1333" s="549"/>
      <c r="AW1333" s="549"/>
      <c r="AX1333" s="549"/>
      <c r="AY1333" s="549"/>
      <c r="AZ1333" s="549"/>
      <c r="BA1333" s="549"/>
      <c r="BB1333" s="549"/>
      <c r="BC1333" s="549"/>
      <c r="BD1333" s="549"/>
      <c r="BE1333" s="549"/>
      <c r="BF1333" s="549"/>
      <c r="BG1333" s="549"/>
      <c r="BH1333" s="549"/>
      <c r="BI1333" s="549"/>
    </row>
    <row r="1334" spans="16:61" s="254" customFormat="1" ht="9.9">
      <c r="P1334" s="549"/>
      <c r="Q1334" s="549"/>
      <c r="R1334" s="549"/>
      <c r="S1334" s="549"/>
      <c r="T1334" s="549"/>
      <c r="U1334" s="549"/>
      <c r="V1334" s="549"/>
      <c r="W1334" s="549"/>
      <c r="X1334" s="549"/>
      <c r="Y1334" s="549"/>
      <c r="Z1334" s="549"/>
      <c r="AA1334" s="549"/>
      <c r="AB1334" s="549"/>
      <c r="AC1334" s="549"/>
      <c r="AD1334" s="549"/>
      <c r="AE1334" s="549"/>
      <c r="AF1334" s="549"/>
      <c r="AG1334" s="549"/>
      <c r="AH1334" s="549"/>
      <c r="AI1334" s="549"/>
      <c r="AJ1334" s="549"/>
      <c r="AK1334" s="549"/>
      <c r="AL1334" s="549"/>
      <c r="AM1334" s="549"/>
      <c r="AN1334" s="549"/>
      <c r="AO1334" s="549"/>
      <c r="AP1334" s="549"/>
      <c r="AQ1334" s="549"/>
      <c r="AR1334" s="549"/>
      <c r="AS1334" s="549"/>
      <c r="AT1334" s="549"/>
      <c r="AU1334" s="549"/>
      <c r="AV1334" s="549"/>
      <c r="AW1334" s="549"/>
      <c r="AX1334" s="549"/>
      <c r="AY1334" s="549"/>
      <c r="AZ1334" s="549"/>
      <c r="BA1334" s="549"/>
      <c r="BB1334" s="549"/>
      <c r="BC1334" s="549"/>
      <c r="BD1334" s="549"/>
      <c r="BE1334" s="549"/>
      <c r="BF1334" s="549"/>
      <c r="BG1334" s="549"/>
      <c r="BH1334" s="549"/>
      <c r="BI1334" s="549"/>
    </row>
    <row r="1335" spans="16:61" s="254" customFormat="1" ht="9.9">
      <c r="P1335" s="549"/>
      <c r="Q1335" s="549"/>
      <c r="R1335" s="549"/>
      <c r="S1335" s="549"/>
      <c r="T1335" s="549"/>
      <c r="U1335" s="549"/>
      <c r="V1335" s="549"/>
      <c r="W1335" s="549"/>
      <c r="X1335" s="549"/>
      <c r="Y1335" s="549"/>
      <c r="Z1335" s="549"/>
      <c r="AA1335" s="549"/>
      <c r="AB1335" s="549"/>
      <c r="AC1335" s="549"/>
      <c r="AD1335" s="549"/>
      <c r="AE1335" s="549"/>
      <c r="AF1335" s="549"/>
      <c r="AG1335" s="549"/>
      <c r="AH1335" s="549"/>
      <c r="AI1335" s="549"/>
      <c r="AJ1335" s="549"/>
      <c r="AK1335" s="549"/>
      <c r="AL1335" s="549"/>
      <c r="AM1335" s="549"/>
      <c r="AN1335" s="549"/>
      <c r="AO1335" s="549"/>
      <c r="AP1335" s="549"/>
      <c r="AQ1335" s="549"/>
      <c r="AR1335" s="549"/>
      <c r="AS1335" s="549"/>
      <c r="AT1335" s="549"/>
      <c r="AU1335" s="549"/>
      <c r="AV1335" s="549"/>
      <c r="AW1335" s="549"/>
      <c r="AX1335" s="549"/>
      <c r="AY1335" s="549"/>
      <c r="AZ1335" s="549"/>
      <c r="BA1335" s="549"/>
      <c r="BB1335" s="549"/>
      <c r="BC1335" s="549"/>
      <c r="BD1335" s="549"/>
      <c r="BE1335" s="549"/>
      <c r="BF1335" s="549"/>
      <c r="BG1335" s="549"/>
      <c r="BH1335" s="549"/>
      <c r="BI1335" s="549"/>
    </row>
    <row r="1336" spans="16:61" s="254" customFormat="1" ht="9.9">
      <c r="P1336" s="549"/>
      <c r="Q1336" s="549"/>
      <c r="R1336" s="549"/>
      <c r="S1336" s="549"/>
      <c r="T1336" s="549"/>
      <c r="U1336" s="549"/>
      <c r="V1336" s="549"/>
      <c r="W1336" s="549"/>
      <c r="X1336" s="549"/>
      <c r="Y1336" s="549"/>
      <c r="Z1336" s="549"/>
      <c r="AA1336" s="549"/>
      <c r="AB1336" s="549"/>
      <c r="AC1336" s="549"/>
      <c r="AD1336" s="549"/>
      <c r="AE1336" s="549"/>
      <c r="AF1336" s="549"/>
      <c r="AG1336" s="549"/>
      <c r="AH1336" s="549"/>
      <c r="AI1336" s="549"/>
      <c r="AJ1336" s="549"/>
      <c r="AK1336" s="549"/>
      <c r="AL1336" s="549"/>
      <c r="AM1336" s="549"/>
      <c r="AN1336" s="549"/>
      <c r="AO1336" s="549"/>
      <c r="AP1336" s="549"/>
      <c r="AQ1336" s="549"/>
      <c r="AR1336" s="549"/>
      <c r="AS1336" s="549"/>
      <c r="AT1336" s="549"/>
      <c r="AU1336" s="549"/>
      <c r="AV1336" s="549"/>
      <c r="AW1336" s="549"/>
      <c r="AX1336" s="549"/>
      <c r="AY1336" s="549"/>
      <c r="AZ1336" s="549"/>
      <c r="BA1336" s="549"/>
      <c r="BB1336" s="549"/>
      <c r="BC1336" s="549"/>
      <c r="BD1336" s="549"/>
      <c r="BE1336" s="549"/>
      <c r="BF1336" s="549"/>
      <c r="BG1336" s="549"/>
      <c r="BH1336" s="549"/>
      <c r="BI1336" s="549"/>
    </row>
    <row r="1337" spans="16:61" s="254" customFormat="1" ht="9.9">
      <c r="P1337" s="549"/>
      <c r="Q1337" s="549"/>
      <c r="R1337" s="549"/>
      <c r="S1337" s="549"/>
      <c r="T1337" s="549"/>
      <c r="U1337" s="549"/>
      <c r="V1337" s="549"/>
      <c r="W1337" s="549"/>
      <c r="X1337" s="549"/>
      <c r="Y1337" s="549"/>
      <c r="Z1337" s="549"/>
      <c r="AA1337" s="549"/>
      <c r="AB1337" s="549"/>
      <c r="AC1337" s="549"/>
      <c r="AD1337" s="549"/>
      <c r="AE1337" s="549"/>
      <c r="AF1337" s="549"/>
      <c r="AG1337" s="549"/>
      <c r="AH1337" s="549"/>
      <c r="AI1337" s="549"/>
      <c r="AJ1337" s="549"/>
      <c r="AK1337" s="549"/>
      <c r="AL1337" s="549"/>
      <c r="AM1337" s="549"/>
      <c r="AN1337" s="549"/>
      <c r="AO1337" s="549"/>
      <c r="AP1337" s="549"/>
      <c r="AQ1337" s="549"/>
      <c r="AR1337" s="549"/>
      <c r="AS1337" s="549"/>
      <c r="AT1337" s="549"/>
      <c r="AU1337" s="549"/>
      <c r="AV1337" s="549"/>
      <c r="AW1337" s="549"/>
      <c r="AX1337" s="549"/>
      <c r="AY1337" s="549"/>
      <c r="AZ1337" s="549"/>
      <c r="BA1337" s="549"/>
      <c r="BB1337" s="549"/>
      <c r="BC1337" s="549"/>
      <c r="BD1337" s="549"/>
      <c r="BE1337" s="549"/>
      <c r="BF1337" s="549"/>
      <c r="BG1337" s="549"/>
      <c r="BH1337" s="549"/>
      <c r="BI1337" s="549"/>
    </row>
    <row r="1338" spans="16:61" s="254" customFormat="1" ht="9.9">
      <c r="P1338" s="549"/>
      <c r="Q1338" s="549"/>
      <c r="R1338" s="549"/>
      <c r="S1338" s="549"/>
      <c r="T1338" s="549"/>
      <c r="U1338" s="549"/>
      <c r="V1338" s="549"/>
      <c r="W1338" s="549"/>
      <c r="X1338" s="549"/>
      <c r="Y1338" s="549"/>
      <c r="Z1338" s="549"/>
      <c r="AA1338" s="549"/>
      <c r="AB1338" s="549"/>
      <c r="AC1338" s="549"/>
      <c r="AD1338" s="549"/>
      <c r="AE1338" s="549"/>
      <c r="AF1338" s="549"/>
      <c r="AG1338" s="549"/>
      <c r="AH1338" s="549"/>
      <c r="AI1338" s="549"/>
      <c r="AJ1338" s="549"/>
      <c r="AK1338" s="549"/>
      <c r="AL1338" s="549"/>
      <c r="AM1338" s="549"/>
      <c r="AN1338" s="549"/>
      <c r="AO1338" s="549"/>
      <c r="AP1338" s="549"/>
      <c r="AQ1338" s="549"/>
      <c r="AR1338" s="549"/>
      <c r="AS1338" s="549"/>
      <c r="AT1338" s="549"/>
      <c r="AU1338" s="549"/>
      <c r="AV1338" s="549"/>
      <c r="AW1338" s="549"/>
      <c r="AX1338" s="549"/>
      <c r="AY1338" s="549"/>
      <c r="AZ1338" s="549"/>
      <c r="BA1338" s="549"/>
      <c r="BB1338" s="549"/>
      <c r="BC1338" s="549"/>
      <c r="BD1338" s="549"/>
      <c r="BE1338" s="549"/>
      <c r="BF1338" s="549"/>
      <c r="BG1338" s="549"/>
      <c r="BH1338" s="549"/>
      <c r="BI1338" s="549"/>
    </row>
    <row r="1339" spans="16:61" s="254" customFormat="1" ht="9.9">
      <c r="P1339" s="549"/>
      <c r="Q1339" s="549"/>
      <c r="R1339" s="549"/>
      <c r="S1339" s="549"/>
      <c r="T1339" s="549"/>
      <c r="U1339" s="549"/>
      <c r="V1339" s="549"/>
      <c r="W1339" s="549"/>
      <c r="X1339" s="549"/>
      <c r="Y1339" s="549"/>
      <c r="Z1339" s="549"/>
      <c r="AA1339" s="549"/>
      <c r="AB1339" s="549"/>
      <c r="AC1339" s="549"/>
      <c r="AD1339" s="549"/>
      <c r="AE1339" s="549"/>
      <c r="AF1339" s="549"/>
      <c r="AG1339" s="549"/>
      <c r="AH1339" s="549"/>
      <c r="AI1339" s="549"/>
      <c r="AJ1339" s="549"/>
      <c r="AK1339" s="549"/>
      <c r="AL1339" s="549"/>
      <c r="AM1339" s="549"/>
      <c r="AN1339" s="549"/>
      <c r="AO1339" s="549"/>
      <c r="AP1339" s="549"/>
      <c r="AQ1339" s="549"/>
      <c r="AR1339" s="549"/>
      <c r="AS1339" s="549"/>
      <c r="AT1339" s="549"/>
      <c r="AU1339" s="549"/>
      <c r="AV1339" s="549"/>
      <c r="AW1339" s="549"/>
      <c r="AX1339" s="549"/>
      <c r="AY1339" s="549"/>
      <c r="AZ1339" s="549"/>
      <c r="BA1339" s="549"/>
      <c r="BB1339" s="549"/>
      <c r="BC1339" s="549"/>
      <c r="BD1339" s="549"/>
      <c r="BE1339" s="549"/>
      <c r="BF1339" s="549"/>
      <c r="BG1339" s="549"/>
      <c r="BH1339" s="549"/>
      <c r="BI1339" s="549"/>
    </row>
    <row r="1340" spans="16:61" s="254" customFormat="1" ht="9.9">
      <c r="P1340" s="549"/>
      <c r="Q1340" s="549"/>
      <c r="R1340" s="549"/>
      <c r="S1340" s="549"/>
      <c r="T1340" s="549"/>
      <c r="U1340" s="549"/>
      <c r="V1340" s="549"/>
      <c r="W1340" s="549"/>
      <c r="X1340" s="549"/>
      <c r="Y1340" s="549"/>
      <c r="Z1340" s="549"/>
      <c r="AA1340" s="549"/>
      <c r="AB1340" s="549"/>
      <c r="AC1340" s="549"/>
      <c r="AD1340" s="549"/>
      <c r="AE1340" s="549"/>
      <c r="AF1340" s="549"/>
      <c r="AG1340" s="549"/>
      <c r="AH1340" s="549"/>
      <c r="AI1340" s="549"/>
      <c r="AJ1340" s="549"/>
      <c r="AK1340" s="549"/>
      <c r="AL1340" s="549"/>
      <c r="AM1340" s="549"/>
      <c r="AN1340" s="549"/>
      <c r="AO1340" s="549"/>
      <c r="AP1340" s="549"/>
      <c r="AQ1340" s="549"/>
      <c r="AR1340" s="549"/>
      <c r="AS1340" s="549"/>
      <c r="AT1340" s="549"/>
      <c r="AU1340" s="549"/>
      <c r="AV1340" s="549"/>
      <c r="AW1340" s="549"/>
      <c r="AX1340" s="549"/>
      <c r="AY1340" s="549"/>
      <c r="AZ1340" s="549"/>
      <c r="BA1340" s="549"/>
      <c r="BB1340" s="549"/>
      <c r="BC1340" s="549"/>
      <c r="BD1340" s="549"/>
      <c r="BE1340" s="549"/>
      <c r="BF1340" s="549"/>
      <c r="BG1340" s="549"/>
      <c r="BH1340" s="549"/>
      <c r="BI1340" s="549"/>
    </row>
    <row r="1341" spans="16:61" s="254" customFormat="1" ht="9.9">
      <c r="P1341" s="549"/>
      <c r="Q1341" s="549"/>
      <c r="R1341" s="549"/>
      <c r="S1341" s="549"/>
      <c r="T1341" s="549"/>
      <c r="U1341" s="549"/>
      <c r="V1341" s="549"/>
      <c r="W1341" s="549"/>
      <c r="X1341" s="549"/>
      <c r="Y1341" s="549"/>
      <c r="Z1341" s="549"/>
      <c r="AA1341" s="549"/>
      <c r="AB1341" s="549"/>
      <c r="AC1341" s="549"/>
      <c r="AD1341" s="549"/>
      <c r="AE1341" s="549"/>
      <c r="AF1341" s="549"/>
      <c r="AG1341" s="549"/>
      <c r="AH1341" s="549"/>
      <c r="AI1341" s="549"/>
      <c r="AJ1341" s="549"/>
      <c r="AK1341" s="549"/>
      <c r="AL1341" s="549"/>
      <c r="AM1341" s="549"/>
      <c r="AN1341" s="549"/>
      <c r="AO1341" s="549"/>
      <c r="AP1341" s="549"/>
      <c r="AQ1341" s="549"/>
      <c r="AR1341" s="549"/>
      <c r="AS1341" s="549"/>
      <c r="AT1341" s="549"/>
      <c r="AU1341" s="549"/>
      <c r="AV1341" s="549"/>
      <c r="AW1341" s="549"/>
      <c r="AX1341" s="549"/>
      <c r="AY1341" s="549"/>
      <c r="AZ1341" s="549"/>
      <c r="BA1341" s="549"/>
      <c r="BB1341" s="549"/>
      <c r="BC1341" s="549"/>
      <c r="BD1341" s="549"/>
      <c r="BE1341" s="549"/>
      <c r="BF1341" s="549"/>
      <c r="BG1341" s="549"/>
      <c r="BH1341" s="549"/>
      <c r="BI1341" s="549"/>
    </row>
    <row r="1342" spans="16:61" s="254" customFormat="1" ht="9.9">
      <c r="P1342" s="549"/>
      <c r="Q1342" s="549"/>
      <c r="R1342" s="549"/>
      <c r="S1342" s="549"/>
      <c r="T1342" s="549"/>
      <c r="U1342" s="549"/>
      <c r="V1342" s="549"/>
      <c r="W1342" s="549"/>
      <c r="X1342" s="549"/>
      <c r="Y1342" s="549"/>
      <c r="Z1342" s="549"/>
      <c r="AA1342" s="549"/>
      <c r="AB1342" s="549"/>
      <c r="AC1342" s="549"/>
      <c r="AD1342" s="549"/>
      <c r="AE1342" s="549"/>
      <c r="AF1342" s="549"/>
      <c r="AG1342" s="549"/>
      <c r="AH1342" s="549"/>
      <c r="AI1342" s="549"/>
      <c r="AJ1342" s="549"/>
      <c r="AK1342" s="549"/>
      <c r="AL1342" s="549"/>
      <c r="AM1342" s="549"/>
      <c r="AN1342" s="549"/>
      <c r="AO1342" s="549"/>
      <c r="AP1342" s="549"/>
      <c r="AQ1342" s="549"/>
      <c r="AR1342" s="549"/>
      <c r="AS1342" s="549"/>
      <c r="AT1342" s="549"/>
      <c r="AU1342" s="549"/>
      <c r="AV1342" s="549"/>
      <c r="AW1342" s="549"/>
      <c r="AX1342" s="549"/>
      <c r="AY1342" s="549"/>
      <c r="AZ1342" s="549"/>
      <c r="BA1342" s="549"/>
      <c r="BB1342" s="549"/>
      <c r="BC1342" s="549"/>
      <c r="BD1342" s="549"/>
      <c r="BE1342" s="549"/>
      <c r="BF1342" s="549"/>
      <c r="BG1342" s="549"/>
      <c r="BH1342" s="549"/>
      <c r="BI1342" s="549"/>
    </row>
    <row r="1343" spans="16:61" s="254" customFormat="1" ht="9.9">
      <c r="P1343" s="549"/>
      <c r="Q1343" s="549"/>
      <c r="R1343" s="549"/>
      <c r="S1343" s="549"/>
      <c r="T1343" s="549"/>
      <c r="U1343" s="549"/>
      <c r="V1343" s="549"/>
      <c r="W1343" s="549"/>
      <c r="X1343" s="549"/>
      <c r="Y1343" s="549"/>
      <c r="Z1343" s="549"/>
      <c r="AA1343" s="549"/>
      <c r="AB1343" s="549"/>
      <c r="AC1343" s="549"/>
      <c r="AD1343" s="549"/>
      <c r="AE1343" s="549"/>
      <c r="AF1343" s="549"/>
      <c r="AG1343" s="549"/>
      <c r="AH1343" s="549"/>
      <c r="AI1343" s="549"/>
      <c r="AJ1343" s="549"/>
      <c r="AK1343" s="549"/>
      <c r="AL1343" s="549"/>
      <c r="AM1343" s="549"/>
      <c r="AN1343" s="549"/>
      <c r="AO1343" s="549"/>
      <c r="AP1343" s="549"/>
      <c r="AQ1343" s="549"/>
      <c r="AR1343" s="549"/>
      <c r="AS1343" s="549"/>
      <c r="AT1343" s="549"/>
      <c r="AU1343" s="549"/>
      <c r="AV1343" s="549"/>
      <c r="AW1343" s="549"/>
      <c r="AX1343" s="549"/>
      <c r="AY1343" s="549"/>
      <c r="AZ1343" s="549"/>
      <c r="BA1343" s="549"/>
      <c r="BB1343" s="549"/>
      <c r="BC1343" s="549"/>
      <c r="BD1343" s="549"/>
      <c r="BE1343" s="549"/>
      <c r="BF1343" s="549"/>
      <c r="BG1343" s="549"/>
      <c r="BH1343" s="549"/>
      <c r="BI1343" s="549"/>
    </row>
    <row r="1344" spans="16:61" s="254" customFormat="1" ht="9.9">
      <c r="P1344" s="549"/>
      <c r="Q1344" s="549"/>
      <c r="R1344" s="549"/>
      <c r="S1344" s="549"/>
      <c r="T1344" s="549"/>
      <c r="U1344" s="549"/>
      <c r="V1344" s="549"/>
      <c r="W1344" s="549"/>
      <c r="X1344" s="549"/>
      <c r="Y1344" s="549"/>
      <c r="Z1344" s="549"/>
      <c r="AA1344" s="549"/>
      <c r="AB1344" s="549"/>
      <c r="AC1344" s="549"/>
      <c r="AD1344" s="549"/>
      <c r="AE1344" s="549"/>
      <c r="AF1344" s="549"/>
      <c r="AG1344" s="549"/>
      <c r="AH1344" s="549"/>
      <c r="AI1344" s="549"/>
      <c r="AJ1344" s="549"/>
      <c r="AK1344" s="549"/>
      <c r="AL1344" s="549"/>
      <c r="AM1344" s="549"/>
      <c r="AN1344" s="549"/>
      <c r="AO1344" s="549"/>
      <c r="AP1344" s="549"/>
      <c r="AQ1344" s="549"/>
      <c r="AR1344" s="549"/>
      <c r="AS1344" s="549"/>
      <c r="AT1344" s="549"/>
      <c r="AU1344" s="549"/>
      <c r="AV1344" s="549"/>
      <c r="AW1344" s="549"/>
      <c r="AX1344" s="549"/>
      <c r="AY1344" s="549"/>
      <c r="AZ1344" s="549"/>
      <c r="BA1344" s="549"/>
      <c r="BB1344" s="549"/>
      <c r="BC1344" s="549"/>
      <c r="BD1344" s="549"/>
      <c r="BE1344" s="549"/>
      <c r="BF1344" s="549"/>
      <c r="BG1344" s="549"/>
      <c r="BH1344" s="549"/>
      <c r="BI1344" s="549"/>
    </row>
    <row r="1345" spans="16:61" s="254" customFormat="1" ht="9.9">
      <c r="P1345" s="549"/>
      <c r="Q1345" s="549"/>
      <c r="R1345" s="549"/>
      <c r="S1345" s="549"/>
      <c r="T1345" s="549"/>
      <c r="U1345" s="549"/>
      <c r="V1345" s="549"/>
      <c r="W1345" s="549"/>
      <c r="X1345" s="549"/>
      <c r="Y1345" s="549"/>
      <c r="Z1345" s="549"/>
      <c r="AA1345" s="549"/>
      <c r="AB1345" s="549"/>
      <c r="AC1345" s="549"/>
      <c r="AD1345" s="549"/>
      <c r="AE1345" s="549"/>
      <c r="AF1345" s="549"/>
      <c r="AG1345" s="549"/>
      <c r="AH1345" s="549"/>
      <c r="AI1345" s="549"/>
      <c r="AJ1345" s="549"/>
      <c r="AK1345" s="549"/>
      <c r="AL1345" s="549"/>
      <c r="AM1345" s="549"/>
      <c r="AN1345" s="549"/>
      <c r="AO1345" s="549"/>
      <c r="AP1345" s="549"/>
      <c r="AQ1345" s="549"/>
      <c r="AR1345" s="549"/>
      <c r="AS1345" s="549"/>
      <c r="AT1345" s="549"/>
      <c r="AU1345" s="549"/>
      <c r="AV1345" s="549"/>
      <c r="AW1345" s="549"/>
      <c r="AX1345" s="549"/>
      <c r="AY1345" s="549"/>
      <c r="AZ1345" s="549"/>
      <c r="BA1345" s="549"/>
      <c r="BB1345" s="549"/>
      <c r="BC1345" s="549"/>
      <c r="BD1345" s="549"/>
      <c r="BE1345" s="549"/>
      <c r="BF1345" s="549"/>
      <c r="BG1345" s="549"/>
      <c r="BH1345" s="549"/>
      <c r="BI1345" s="549"/>
    </row>
    <row r="1346" spans="16:61" s="254" customFormat="1" ht="9.9">
      <c r="P1346" s="549"/>
      <c r="Q1346" s="549"/>
      <c r="R1346" s="549"/>
      <c r="S1346" s="549"/>
      <c r="T1346" s="549"/>
      <c r="U1346" s="549"/>
      <c r="V1346" s="549"/>
      <c r="W1346" s="549"/>
      <c r="X1346" s="549"/>
      <c r="Y1346" s="549"/>
      <c r="Z1346" s="549"/>
      <c r="AA1346" s="549"/>
      <c r="AB1346" s="549"/>
      <c r="AC1346" s="549"/>
      <c r="AD1346" s="549"/>
      <c r="AE1346" s="549"/>
      <c r="AF1346" s="549"/>
      <c r="AG1346" s="549"/>
      <c r="AH1346" s="549"/>
      <c r="AI1346" s="549"/>
      <c r="AJ1346" s="549"/>
      <c r="AK1346" s="549"/>
      <c r="AL1346" s="549"/>
      <c r="AM1346" s="549"/>
      <c r="AN1346" s="549"/>
      <c r="AO1346" s="549"/>
      <c r="AP1346" s="549"/>
      <c r="AQ1346" s="549"/>
      <c r="AR1346" s="549"/>
      <c r="AS1346" s="549"/>
      <c r="AT1346" s="549"/>
      <c r="AU1346" s="549"/>
      <c r="AV1346" s="549"/>
      <c r="AW1346" s="549"/>
      <c r="AX1346" s="549"/>
      <c r="AY1346" s="549"/>
      <c r="AZ1346" s="549"/>
      <c r="BA1346" s="549"/>
      <c r="BB1346" s="549"/>
      <c r="BC1346" s="549"/>
      <c r="BD1346" s="549"/>
      <c r="BE1346" s="549"/>
      <c r="BF1346" s="549"/>
      <c r="BG1346" s="549"/>
      <c r="BH1346" s="549"/>
      <c r="BI1346" s="549"/>
    </row>
    <row r="1347" spans="16:61" s="254" customFormat="1" ht="9.9">
      <c r="P1347" s="549"/>
      <c r="Q1347" s="549"/>
      <c r="R1347" s="549"/>
      <c r="S1347" s="549"/>
      <c r="T1347" s="549"/>
      <c r="U1347" s="549"/>
      <c r="V1347" s="549"/>
      <c r="W1347" s="549"/>
      <c r="X1347" s="549"/>
      <c r="Y1347" s="549"/>
      <c r="Z1347" s="549"/>
      <c r="AA1347" s="549"/>
      <c r="AB1347" s="549"/>
      <c r="AC1347" s="549"/>
      <c r="AD1347" s="549"/>
      <c r="AE1347" s="549"/>
      <c r="AF1347" s="549"/>
      <c r="AG1347" s="549"/>
      <c r="AH1347" s="549"/>
      <c r="AI1347" s="549"/>
      <c r="AJ1347" s="549"/>
      <c r="AK1347" s="549"/>
      <c r="AL1347" s="549"/>
      <c r="AM1347" s="549"/>
      <c r="AN1347" s="549"/>
      <c r="AO1347" s="549"/>
      <c r="AP1347" s="549"/>
      <c r="AQ1347" s="549"/>
      <c r="AR1347" s="549"/>
      <c r="AS1347" s="549"/>
      <c r="AT1347" s="549"/>
      <c r="AU1347" s="549"/>
      <c r="AV1347" s="549"/>
      <c r="AW1347" s="549"/>
      <c r="AX1347" s="549"/>
      <c r="AY1347" s="549"/>
      <c r="AZ1347" s="549"/>
      <c r="BA1347" s="549"/>
      <c r="BB1347" s="549"/>
      <c r="BC1347" s="549"/>
      <c r="BD1347" s="549"/>
      <c r="BE1347" s="549"/>
      <c r="BF1347" s="549"/>
      <c r="BG1347" s="549"/>
      <c r="BH1347" s="549"/>
      <c r="BI1347" s="549"/>
    </row>
    <row r="1348" spans="16:61" s="254" customFormat="1" ht="9.9">
      <c r="P1348" s="549"/>
      <c r="Q1348" s="549"/>
      <c r="R1348" s="549"/>
      <c r="S1348" s="549"/>
      <c r="T1348" s="549"/>
      <c r="U1348" s="549"/>
      <c r="V1348" s="549"/>
      <c r="W1348" s="549"/>
      <c r="X1348" s="549"/>
      <c r="Y1348" s="549"/>
      <c r="Z1348" s="549"/>
      <c r="AA1348" s="549"/>
      <c r="AB1348" s="549"/>
      <c r="AC1348" s="549"/>
      <c r="AD1348" s="549"/>
      <c r="AE1348" s="549"/>
      <c r="AF1348" s="549"/>
      <c r="AG1348" s="549"/>
      <c r="AH1348" s="549"/>
      <c r="AI1348" s="549"/>
      <c r="AJ1348" s="549"/>
      <c r="AK1348" s="549"/>
      <c r="AL1348" s="549"/>
      <c r="AM1348" s="549"/>
      <c r="AN1348" s="549"/>
      <c r="AO1348" s="549"/>
      <c r="AP1348" s="549"/>
      <c r="AQ1348" s="549"/>
      <c r="AR1348" s="549"/>
      <c r="AS1348" s="549"/>
      <c r="AT1348" s="549"/>
      <c r="AU1348" s="549"/>
      <c r="AV1348" s="549"/>
      <c r="AW1348" s="549"/>
      <c r="AX1348" s="549"/>
      <c r="AY1348" s="549"/>
      <c r="AZ1348" s="549"/>
      <c r="BA1348" s="549"/>
      <c r="BB1348" s="549"/>
      <c r="BC1348" s="549"/>
      <c r="BD1348" s="549"/>
      <c r="BE1348" s="549"/>
      <c r="BF1348" s="549"/>
      <c r="BG1348" s="549"/>
      <c r="BH1348" s="549"/>
      <c r="BI1348" s="549"/>
    </row>
    <row r="1349" spans="16:61" s="254" customFormat="1" ht="9.9">
      <c r="P1349" s="549"/>
      <c r="Q1349" s="549"/>
      <c r="R1349" s="549"/>
      <c r="S1349" s="549"/>
      <c r="T1349" s="549"/>
      <c r="U1349" s="549"/>
      <c r="V1349" s="549"/>
      <c r="W1349" s="549"/>
      <c r="X1349" s="549"/>
      <c r="Y1349" s="549"/>
      <c r="Z1349" s="549"/>
      <c r="AA1349" s="549"/>
      <c r="AB1349" s="549"/>
      <c r="AC1349" s="549"/>
      <c r="AD1349" s="549"/>
      <c r="AE1349" s="549"/>
      <c r="AF1349" s="549"/>
      <c r="AG1349" s="549"/>
      <c r="AH1349" s="549"/>
      <c r="AI1349" s="549"/>
      <c r="AJ1349" s="549"/>
      <c r="AK1349" s="549"/>
      <c r="AL1349" s="549"/>
      <c r="AM1349" s="549"/>
      <c r="AN1349" s="549"/>
      <c r="AO1349" s="549"/>
      <c r="AP1349" s="549"/>
      <c r="AQ1349" s="549"/>
      <c r="AR1349" s="549"/>
      <c r="AS1349" s="549"/>
      <c r="AT1349" s="549"/>
      <c r="AU1349" s="549"/>
      <c r="AV1349" s="549"/>
      <c r="AW1349" s="549"/>
      <c r="AX1349" s="549"/>
      <c r="AY1349" s="549"/>
      <c r="AZ1349" s="549"/>
      <c r="BA1349" s="549"/>
      <c r="BB1349" s="549"/>
      <c r="BC1349" s="549"/>
      <c r="BD1349" s="549"/>
      <c r="BE1349" s="549"/>
      <c r="BF1349" s="549"/>
      <c r="BG1349" s="549"/>
      <c r="BH1349" s="549"/>
      <c r="BI1349" s="549"/>
    </row>
    <row r="1350" spans="16:61" s="254" customFormat="1" ht="9.9">
      <c r="P1350" s="549"/>
      <c r="Q1350" s="549"/>
      <c r="R1350" s="549"/>
      <c r="S1350" s="549"/>
      <c r="T1350" s="549"/>
      <c r="U1350" s="549"/>
      <c r="V1350" s="549"/>
      <c r="W1350" s="549"/>
      <c r="X1350" s="549"/>
      <c r="Y1350" s="549"/>
      <c r="Z1350" s="549"/>
      <c r="AA1350" s="549"/>
      <c r="AB1350" s="549"/>
      <c r="AC1350" s="549"/>
      <c r="AD1350" s="549"/>
      <c r="AE1350" s="549"/>
      <c r="AF1350" s="549"/>
      <c r="AG1350" s="549"/>
      <c r="AH1350" s="549"/>
      <c r="AI1350" s="549"/>
      <c r="AJ1350" s="549"/>
      <c r="AK1350" s="549"/>
      <c r="AL1350" s="549"/>
      <c r="AM1350" s="549"/>
      <c r="AN1350" s="549"/>
      <c r="AO1350" s="549"/>
      <c r="AP1350" s="549"/>
      <c r="AQ1350" s="549"/>
      <c r="AR1350" s="549"/>
      <c r="AS1350" s="549"/>
      <c r="AT1350" s="549"/>
      <c r="AU1350" s="549"/>
      <c r="AV1350" s="549"/>
      <c r="AW1350" s="549"/>
      <c r="AX1350" s="549"/>
      <c r="AY1350" s="549"/>
      <c r="AZ1350" s="549"/>
      <c r="BA1350" s="549"/>
      <c r="BB1350" s="549"/>
      <c r="BC1350" s="549"/>
      <c r="BD1350" s="549"/>
      <c r="BE1350" s="549"/>
      <c r="BF1350" s="549"/>
      <c r="BG1350" s="549"/>
      <c r="BH1350" s="549"/>
      <c r="BI1350" s="549"/>
    </row>
    <row r="1351" spans="16:61" s="254" customFormat="1" ht="9.9">
      <c r="P1351" s="549"/>
      <c r="Q1351" s="549"/>
      <c r="R1351" s="549"/>
      <c r="S1351" s="549"/>
      <c r="T1351" s="549"/>
      <c r="U1351" s="549"/>
      <c r="V1351" s="549"/>
      <c r="W1351" s="549"/>
      <c r="X1351" s="549"/>
      <c r="Y1351" s="549"/>
      <c r="Z1351" s="549"/>
      <c r="AA1351" s="549"/>
      <c r="AB1351" s="549"/>
      <c r="AC1351" s="549"/>
      <c r="AD1351" s="549"/>
      <c r="AE1351" s="549"/>
      <c r="AF1351" s="549"/>
      <c r="AG1351" s="549"/>
      <c r="AH1351" s="549"/>
      <c r="AI1351" s="549"/>
      <c r="AJ1351" s="549"/>
      <c r="AK1351" s="549"/>
      <c r="AL1351" s="549"/>
      <c r="AM1351" s="549"/>
      <c r="AN1351" s="549"/>
      <c r="AO1351" s="549"/>
      <c r="AP1351" s="549"/>
      <c r="AQ1351" s="549"/>
      <c r="AR1351" s="549"/>
      <c r="AS1351" s="549"/>
      <c r="AT1351" s="549"/>
      <c r="AU1351" s="549"/>
      <c r="AV1351" s="549"/>
      <c r="AW1351" s="549"/>
      <c r="AX1351" s="549"/>
      <c r="AY1351" s="549"/>
      <c r="AZ1351" s="549"/>
      <c r="BA1351" s="549"/>
      <c r="BB1351" s="549"/>
      <c r="BC1351" s="549"/>
      <c r="BD1351" s="549"/>
      <c r="BE1351" s="549"/>
      <c r="BF1351" s="549"/>
      <c r="BG1351" s="549"/>
      <c r="BH1351" s="549"/>
      <c r="BI1351" s="549"/>
    </row>
    <row r="1352" spans="16:61" s="254" customFormat="1" ht="9.9">
      <c r="P1352" s="549"/>
      <c r="Q1352" s="549"/>
      <c r="R1352" s="549"/>
      <c r="S1352" s="549"/>
      <c r="T1352" s="549"/>
      <c r="U1352" s="549"/>
      <c r="V1352" s="549"/>
      <c r="W1352" s="549"/>
      <c r="X1352" s="549"/>
      <c r="Y1352" s="549"/>
      <c r="Z1352" s="549"/>
      <c r="AA1352" s="549"/>
      <c r="AB1352" s="549"/>
      <c r="AC1352" s="549"/>
      <c r="AD1352" s="549"/>
      <c r="AE1352" s="549"/>
      <c r="AF1352" s="549"/>
      <c r="AG1352" s="549"/>
      <c r="AH1352" s="549"/>
      <c r="AI1352" s="549"/>
      <c r="AJ1352" s="549"/>
      <c r="AK1352" s="549"/>
      <c r="AL1352" s="549"/>
      <c r="AM1352" s="549"/>
      <c r="AN1352" s="549"/>
      <c r="AO1352" s="549"/>
      <c r="AP1352" s="549"/>
      <c r="AQ1352" s="549"/>
      <c r="AR1352" s="549"/>
      <c r="AS1352" s="549"/>
      <c r="AT1352" s="549"/>
      <c r="AU1352" s="549"/>
      <c r="AV1352" s="549"/>
      <c r="AW1352" s="549"/>
      <c r="AX1352" s="549"/>
      <c r="AY1352" s="549"/>
      <c r="AZ1352" s="549"/>
      <c r="BA1352" s="549"/>
      <c r="BB1352" s="549"/>
      <c r="BC1352" s="549"/>
      <c r="BD1352" s="549"/>
      <c r="BE1352" s="549"/>
      <c r="BF1352" s="549"/>
      <c r="BG1352" s="549"/>
      <c r="BH1352" s="549"/>
      <c r="BI1352" s="549"/>
    </row>
    <row r="1353" spans="16:61" s="254" customFormat="1" ht="9.9">
      <c r="P1353" s="549"/>
      <c r="Q1353" s="549"/>
      <c r="R1353" s="549"/>
      <c r="S1353" s="549"/>
      <c r="T1353" s="549"/>
      <c r="U1353" s="549"/>
      <c r="V1353" s="549"/>
      <c r="W1353" s="549"/>
      <c r="X1353" s="549"/>
      <c r="Y1353" s="549"/>
      <c r="Z1353" s="549"/>
      <c r="AA1353" s="549"/>
      <c r="AB1353" s="549"/>
      <c r="AC1353" s="549"/>
      <c r="AD1353" s="549"/>
      <c r="AE1353" s="549"/>
      <c r="AF1353" s="549"/>
      <c r="AG1353" s="549"/>
      <c r="AH1353" s="549"/>
      <c r="AI1353" s="549"/>
      <c r="AJ1353" s="549"/>
      <c r="AK1353" s="549"/>
      <c r="AL1353" s="549"/>
      <c r="AM1353" s="549"/>
      <c r="AN1353" s="549"/>
      <c r="AO1353" s="549"/>
      <c r="AP1353" s="549"/>
      <c r="AQ1353" s="549"/>
      <c r="AR1353" s="549"/>
      <c r="AS1353" s="549"/>
      <c r="AT1353" s="549"/>
      <c r="AU1353" s="549"/>
      <c r="AV1353" s="549"/>
      <c r="AW1353" s="549"/>
      <c r="AX1353" s="549"/>
      <c r="AY1353" s="549"/>
      <c r="AZ1353" s="549"/>
      <c r="BA1353" s="549"/>
      <c r="BB1353" s="549"/>
      <c r="BC1353" s="549"/>
      <c r="BD1353" s="549"/>
      <c r="BE1353" s="549"/>
      <c r="BF1353" s="549"/>
      <c r="BG1353" s="549"/>
      <c r="BH1353" s="549"/>
      <c r="BI1353" s="549"/>
    </row>
    <row r="1354" spans="16:61" s="254" customFormat="1" ht="9.9">
      <c r="P1354" s="549"/>
      <c r="Q1354" s="549"/>
      <c r="R1354" s="549"/>
      <c r="S1354" s="549"/>
      <c r="T1354" s="549"/>
      <c r="U1354" s="549"/>
      <c r="V1354" s="549"/>
      <c r="W1354" s="549"/>
      <c r="X1354" s="549"/>
      <c r="Y1354" s="549"/>
      <c r="Z1354" s="549"/>
      <c r="AA1354" s="549"/>
      <c r="AB1354" s="549"/>
      <c r="AC1354" s="549"/>
      <c r="AD1354" s="549"/>
      <c r="AE1354" s="549"/>
      <c r="AF1354" s="549"/>
      <c r="AG1354" s="549"/>
      <c r="AH1354" s="549"/>
      <c r="AI1354" s="549"/>
      <c r="AJ1354" s="549"/>
      <c r="AK1354" s="549"/>
      <c r="AL1354" s="549"/>
      <c r="AM1354" s="549"/>
      <c r="AN1354" s="549"/>
      <c r="AO1354" s="549"/>
      <c r="AP1354" s="549"/>
      <c r="AQ1354" s="549"/>
      <c r="AR1354" s="549"/>
      <c r="AS1354" s="549"/>
      <c r="AT1354" s="549"/>
      <c r="AU1354" s="549"/>
      <c r="AV1354" s="549"/>
      <c r="AW1354" s="549"/>
      <c r="AX1354" s="549"/>
      <c r="AY1354" s="549"/>
      <c r="AZ1354" s="549"/>
      <c r="BA1354" s="549"/>
      <c r="BB1354" s="549"/>
      <c r="BC1354" s="549"/>
      <c r="BD1354" s="549"/>
      <c r="BE1354" s="549"/>
      <c r="BF1354" s="549"/>
      <c r="BG1354" s="549"/>
      <c r="BH1354" s="549"/>
      <c r="BI1354" s="549"/>
    </row>
    <row r="1355" spans="16:61" s="254" customFormat="1" ht="9.9">
      <c r="P1355" s="549"/>
      <c r="Q1355" s="549"/>
      <c r="R1355" s="549"/>
      <c r="S1355" s="549"/>
      <c r="T1355" s="549"/>
      <c r="U1355" s="549"/>
      <c r="V1355" s="549"/>
      <c r="W1355" s="549"/>
      <c r="X1355" s="549"/>
      <c r="Y1355" s="549"/>
      <c r="Z1355" s="549"/>
      <c r="AA1355" s="549"/>
      <c r="AB1355" s="549"/>
      <c r="AC1355" s="549"/>
      <c r="AD1355" s="549"/>
      <c r="AE1355" s="549"/>
      <c r="AF1355" s="549"/>
      <c r="AG1355" s="549"/>
      <c r="AH1355" s="549"/>
      <c r="AI1355" s="549"/>
      <c r="AJ1355" s="549"/>
      <c r="AK1355" s="549"/>
      <c r="AL1355" s="549"/>
      <c r="AM1355" s="549"/>
      <c r="AN1355" s="549"/>
      <c r="AO1355" s="549"/>
      <c r="AP1355" s="549"/>
      <c r="AQ1355" s="549"/>
      <c r="AR1355" s="549"/>
      <c r="AS1355" s="549"/>
      <c r="AT1355" s="549"/>
      <c r="AU1355" s="549"/>
      <c r="AV1355" s="549"/>
      <c r="AW1355" s="549"/>
      <c r="AX1355" s="549"/>
      <c r="AY1355" s="549"/>
      <c r="AZ1355" s="549"/>
      <c r="BA1355" s="549"/>
      <c r="BB1355" s="549"/>
      <c r="BC1355" s="549"/>
      <c r="BD1355" s="549"/>
      <c r="BE1355" s="549"/>
      <c r="BF1355" s="549"/>
      <c r="BG1355" s="549"/>
      <c r="BH1355" s="549"/>
      <c r="BI1355" s="549"/>
    </row>
    <row r="1356" spans="16:61" s="254" customFormat="1" ht="9.9">
      <c r="P1356" s="549"/>
      <c r="Q1356" s="549"/>
      <c r="R1356" s="549"/>
      <c r="S1356" s="549"/>
      <c r="T1356" s="549"/>
      <c r="U1356" s="549"/>
      <c r="V1356" s="549"/>
      <c r="W1356" s="549"/>
      <c r="X1356" s="549"/>
      <c r="Y1356" s="549"/>
      <c r="Z1356" s="549"/>
      <c r="AA1356" s="549"/>
      <c r="AB1356" s="549"/>
      <c r="AC1356" s="549"/>
      <c r="AD1356" s="549"/>
      <c r="AE1356" s="549"/>
      <c r="AF1356" s="549"/>
      <c r="AG1356" s="549"/>
      <c r="AH1356" s="549"/>
      <c r="AI1356" s="549"/>
      <c r="AJ1356" s="549"/>
      <c r="AK1356" s="549"/>
      <c r="AL1356" s="549"/>
      <c r="AM1356" s="549"/>
      <c r="AN1356" s="549"/>
      <c r="AO1356" s="549"/>
      <c r="AP1356" s="549"/>
      <c r="AQ1356" s="549"/>
      <c r="AR1356" s="549"/>
      <c r="AS1356" s="549"/>
      <c r="AT1356" s="549"/>
      <c r="AU1356" s="549"/>
      <c r="AV1356" s="549"/>
      <c r="AW1356" s="549"/>
      <c r="AX1356" s="549"/>
      <c r="AY1356" s="549"/>
      <c r="AZ1356" s="549"/>
      <c r="BA1356" s="549"/>
      <c r="BB1356" s="549"/>
      <c r="BC1356" s="549"/>
      <c r="BD1356" s="549"/>
      <c r="BE1356" s="549"/>
      <c r="BF1356" s="549"/>
      <c r="BG1356" s="549"/>
      <c r="BH1356" s="549"/>
      <c r="BI1356" s="549"/>
    </row>
    <row r="1357" spans="16:61" s="254" customFormat="1" ht="9.9">
      <c r="P1357" s="549"/>
      <c r="Q1357" s="549"/>
      <c r="R1357" s="549"/>
      <c r="S1357" s="549"/>
      <c r="T1357" s="549"/>
      <c r="U1357" s="549"/>
      <c r="V1357" s="549"/>
      <c r="W1357" s="549"/>
      <c r="X1357" s="549"/>
      <c r="Y1357" s="549"/>
      <c r="Z1357" s="549"/>
      <c r="AA1357" s="549"/>
      <c r="AB1357" s="549"/>
      <c r="AC1357" s="549"/>
      <c r="AD1357" s="549"/>
      <c r="AE1357" s="549"/>
      <c r="AF1357" s="549"/>
      <c r="AG1357" s="549"/>
      <c r="AH1357" s="549"/>
      <c r="AI1357" s="549"/>
      <c r="AJ1357" s="549"/>
      <c r="AK1357" s="549"/>
      <c r="AL1357" s="549"/>
      <c r="AM1357" s="549"/>
      <c r="AN1357" s="549"/>
      <c r="AO1357" s="549"/>
      <c r="AP1357" s="549"/>
      <c r="AQ1357" s="549"/>
      <c r="AR1357" s="549"/>
      <c r="AS1357" s="549"/>
      <c r="AT1357" s="549"/>
      <c r="AU1357" s="549"/>
      <c r="AV1357" s="549"/>
      <c r="AW1357" s="549"/>
      <c r="AX1357" s="549"/>
      <c r="AY1357" s="549"/>
      <c r="AZ1357" s="549"/>
      <c r="BA1357" s="549"/>
      <c r="BB1357" s="549"/>
      <c r="BC1357" s="549"/>
      <c r="BD1357" s="549"/>
      <c r="BE1357" s="549"/>
      <c r="BF1357" s="549"/>
      <c r="BG1357" s="549"/>
      <c r="BH1357" s="549"/>
      <c r="BI1357" s="549"/>
    </row>
    <row r="1358" spans="16:61" s="254" customFormat="1" ht="9.9">
      <c r="P1358" s="549"/>
      <c r="Q1358" s="549"/>
      <c r="R1358" s="549"/>
      <c r="S1358" s="549"/>
      <c r="T1358" s="549"/>
      <c r="U1358" s="549"/>
      <c r="V1358" s="549"/>
      <c r="W1358" s="549"/>
      <c r="X1358" s="549"/>
      <c r="Y1358" s="549"/>
      <c r="Z1358" s="549"/>
      <c r="AA1358" s="549"/>
      <c r="AB1358" s="549"/>
      <c r="AC1358" s="549"/>
      <c r="AD1358" s="549"/>
      <c r="AE1358" s="549"/>
      <c r="AF1358" s="549"/>
      <c r="AG1358" s="549"/>
      <c r="AH1358" s="549"/>
      <c r="AI1358" s="549"/>
      <c r="AJ1358" s="549"/>
      <c r="AK1358" s="549"/>
      <c r="AL1358" s="549"/>
      <c r="AM1358" s="549"/>
      <c r="AN1358" s="549"/>
      <c r="AO1358" s="549"/>
      <c r="AP1358" s="549"/>
      <c r="AQ1358" s="549"/>
      <c r="AR1358" s="549"/>
      <c r="AS1358" s="549"/>
      <c r="AT1358" s="549"/>
      <c r="AU1358" s="549"/>
      <c r="AV1358" s="549"/>
      <c r="AW1358" s="549"/>
      <c r="AX1358" s="549"/>
      <c r="AY1358" s="549"/>
      <c r="AZ1358" s="549"/>
      <c r="BA1358" s="549"/>
      <c r="BB1358" s="549"/>
      <c r="BC1358" s="549"/>
      <c r="BD1358" s="549"/>
      <c r="BE1358" s="549"/>
      <c r="BF1358" s="549"/>
      <c r="BG1358" s="549"/>
      <c r="BH1358" s="549"/>
      <c r="BI1358" s="549"/>
    </row>
    <row r="1359" spans="16:61" s="254" customFormat="1" ht="9.9">
      <c r="P1359" s="549"/>
      <c r="Q1359" s="549"/>
      <c r="R1359" s="549"/>
      <c r="S1359" s="549"/>
      <c r="T1359" s="549"/>
      <c r="U1359" s="549"/>
      <c r="V1359" s="549"/>
      <c r="W1359" s="549"/>
      <c r="X1359" s="549"/>
      <c r="Y1359" s="549"/>
      <c r="Z1359" s="549"/>
      <c r="AA1359" s="549"/>
      <c r="AB1359" s="549"/>
      <c r="AC1359" s="549"/>
      <c r="AD1359" s="549"/>
      <c r="AE1359" s="549"/>
      <c r="AF1359" s="549"/>
      <c r="AG1359" s="549"/>
      <c r="AH1359" s="549"/>
      <c r="AI1359" s="549"/>
      <c r="AJ1359" s="549"/>
      <c r="AK1359" s="549"/>
      <c r="AL1359" s="549"/>
      <c r="AM1359" s="549"/>
      <c r="AN1359" s="549"/>
      <c r="AO1359" s="549"/>
      <c r="AP1359" s="549"/>
      <c r="AQ1359" s="549"/>
      <c r="AR1359" s="549"/>
      <c r="AS1359" s="549"/>
      <c r="AT1359" s="549"/>
      <c r="AU1359" s="549"/>
      <c r="AV1359" s="549"/>
      <c r="AW1359" s="549"/>
      <c r="AX1359" s="549"/>
      <c r="AY1359" s="549"/>
      <c r="AZ1359" s="549"/>
      <c r="BA1359" s="549"/>
      <c r="BB1359" s="549"/>
      <c r="BC1359" s="549"/>
      <c r="BD1359" s="549"/>
      <c r="BE1359" s="549"/>
      <c r="BF1359" s="549"/>
      <c r="BG1359" s="549"/>
      <c r="BH1359" s="549"/>
      <c r="BI1359" s="549"/>
    </row>
    <row r="1360" spans="16:61" s="254" customFormat="1" ht="9.9">
      <c r="P1360" s="549"/>
      <c r="Q1360" s="549"/>
      <c r="R1360" s="549"/>
      <c r="S1360" s="549"/>
      <c r="T1360" s="549"/>
      <c r="U1360" s="549"/>
      <c r="V1360" s="549"/>
      <c r="W1360" s="549"/>
      <c r="X1360" s="549"/>
      <c r="Y1360" s="549"/>
      <c r="Z1360" s="549"/>
      <c r="AA1360" s="549"/>
      <c r="AB1360" s="549"/>
      <c r="AC1360" s="549"/>
      <c r="AD1360" s="549"/>
      <c r="AE1360" s="549"/>
      <c r="AF1360" s="549"/>
      <c r="AG1360" s="549"/>
      <c r="AH1360" s="549"/>
      <c r="AI1360" s="549"/>
      <c r="AJ1360" s="549"/>
      <c r="AK1360" s="549"/>
      <c r="AL1360" s="549"/>
      <c r="AM1360" s="549"/>
      <c r="AN1360" s="549"/>
      <c r="AO1360" s="549"/>
      <c r="AP1360" s="549"/>
      <c r="AQ1360" s="549"/>
      <c r="AR1360" s="549"/>
      <c r="AS1360" s="549"/>
      <c r="AT1360" s="549"/>
      <c r="AU1360" s="549"/>
      <c r="AV1360" s="549"/>
      <c r="AW1360" s="549"/>
      <c r="AX1360" s="549"/>
      <c r="AY1360" s="549"/>
      <c r="AZ1360" s="549"/>
      <c r="BA1360" s="549"/>
      <c r="BB1360" s="549"/>
      <c r="BC1360" s="549"/>
      <c r="BD1360" s="549"/>
      <c r="BE1360" s="549"/>
      <c r="BF1360" s="549"/>
      <c r="BG1360" s="549"/>
      <c r="BH1360" s="549"/>
      <c r="BI1360" s="549"/>
    </row>
    <row r="1361" spans="16:61" s="254" customFormat="1" ht="9.9">
      <c r="P1361" s="549"/>
      <c r="Q1361" s="549"/>
      <c r="R1361" s="549"/>
      <c r="S1361" s="549"/>
      <c r="T1361" s="549"/>
      <c r="U1361" s="549"/>
      <c r="V1361" s="549"/>
      <c r="W1361" s="549"/>
      <c r="X1361" s="549"/>
      <c r="Y1361" s="549"/>
      <c r="Z1361" s="549"/>
      <c r="AA1361" s="549"/>
      <c r="AB1361" s="549"/>
      <c r="AC1361" s="549"/>
      <c r="AD1361" s="549"/>
      <c r="AE1361" s="549"/>
      <c r="AF1361" s="549"/>
      <c r="AG1361" s="549"/>
      <c r="AH1361" s="549"/>
      <c r="AI1361" s="549"/>
      <c r="AJ1361" s="549"/>
      <c r="AK1361" s="549"/>
      <c r="AL1361" s="549"/>
      <c r="AM1361" s="549"/>
      <c r="AN1361" s="549"/>
      <c r="AO1361" s="549"/>
      <c r="AP1361" s="549"/>
      <c r="AQ1361" s="549"/>
      <c r="AR1361" s="549"/>
      <c r="AS1361" s="549"/>
      <c r="AT1361" s="549"/>
      <c r="AU1361" s="549"/>
      <c r="AV1361" s="549"/>
      <c r="AW1361" s="549"/>
      <c r="AX1361" s="549"/>
      <c r="AY1361" s="549"/>
      <c r="AZ1361" s="549"/>
      <c r="BA1361" s="549"/>
      <c r="BB1361" s="549"/>
      <c r="BC1361" s="549"/>
      <c r="BD1361" s="549"/>
      <c r="BE1361" s="549"/>
      <c r="BF1361" s="549"/>
      <c r="BG1361" s="549"/>
      <c r="BH1361" s="549"/>
      <c r="BI1361" s="549"/>
    </row>
    <row r="1362" spans="16:61" s="254" customFormat="1" ht="9.9">
      <c r="P1362" s="549"/>
      <c r="Q1362" s="549"/>
      <c r="R1362" s="549"/>
      <c r="S1362" s="549"/>
      <c r="T1362" s="549"/>
      <c r="U1362" s="549"/>
      <c r="V1362" s="549"/>
      <c r="W1362" s="549"/>
      <c r="X1362" s="549"/>
      <c r="Y1362" s="549"/>
      <c r="Z1362" s="549"/>
      <c r="AA1362" s="549"/>
      <c r="AB1362" s="549"/>
      <c r="AC1362" s="549"/>
      <c r="AD1362" s="549"/>
      <c r="AE1362" s="549"/>
      <c r="AF1362" s="549"/>
      <c r="AG1362" s="549"/>
      <c r="AH1362" s="549"/>
      <c r="AI1362" s="549"/>
      <c r="AJ1362" s="549"/>
      <c r="AK1362" s="549"/>
      <c r="AL1362" s="549"/>
      <c r="AM1362" s="549"/>
      <c r="AN1362" s="549"/>
      <c r="AO1362" s="549"/>
      <c r="AP1362" s="549"/>
      <c r="AQ1362" s="549"/>
      <c r="AR1362" s="549"/>
      <c r="AS1362" s="549"/>
      <c r="AT1362" s="549"/>
      <c r="AU1362" s="549"/>
      <c r="AV1362" s="549"/>
      <c r="AW1362" s="549"/>
      <c r="AX1362" s="549"/>
      <c r="AY1362" s="549"/>
      <c r="AZ1362" s="549"/>
      <c r="BA1362" s="549"/>
      <c r="BB1362" s="549"/>
      <c r="BC1362" s="549"/>
      <c r="BD1362" s="549"/>
      <c r="BE1362" s="549"/>
      <c r="BF1362" s="549"/>
      <c r="BG1362" s="549"/>
      <c r="BH1362" s="549"/>
      <c r="BI1362" s="549"/>
    </row>
    <row r="1363" spans="16:61" s="254" customFormat="1" ht="9.9">
      <c r="P1363" s="549"/>
      <c r="Q1363" s="549"/>
      <c r="R1363" s="549"/>
      <c r="S1363" s="549"/>
      <c r="T1363" s="549"/>
      <c r="U1363" s="549"/>
      <c r="V1363" s="549"/>
      <c r="W1363" s="549"/>
      <c r="X1363" s="549"/>
      <c r="Y1363" s="549"/>
      <c r="Z1363" s="549"/>
      <c r="AA1363" s="549"/>
      <c r="AB1363" s="549"/>
      <c r="AC1363" s="549"/>
      <c r="AD1363" s="549"/>
      <c r="AE1363" s="549"/>
      <c r="AF1363" s="549"/>
      <c r="AG1363" s="549"/>
      <c r="AH1363" s="549"/>
      <c r="AI1363" s="549"/>
      <c r="AJ1363" s="549"/>
      <c r="AK1363" s="549"/>
      <c r="AL1363" s="549"/>
      <c r="AM1363" s="549"/>
      <c r="AN1363" s="549"/>
      <c r="AO1363" s="549"/>
      <c r="AP1363" s="549"/>
      <c r="AQ1363" s="549"/>
      <c r="AR1363" s="549"/>
      <c r="AS1363" s="549"/>
      <c r="AT1363" s="549"/>
      <c r="AU1363" s="549"/>
      <c r="AV1363" s="549"/>
      <c r="AW1363" s="549"/>
      <c r="AX1363" s="549"/>
      <c r="AY1363" s="549"/>
      <c r="AZ1363" s="549"/>
      <c r="BA1363" s="549"/>
      <c r="BB1363" s="549"/>
      <c r="BC1363" s="549"/>
      <c r="BD1363" s="549"/>
      <c r="BE1363" s="549"/>
      <c r="BF1363" s="549"/>
      <c r="BG1363" s="549"/>
      <c r="BH1363" s="549"/>
      <c r="BI1363" s="549"/>
    </row>
    <row r="1364" spans="16:61" s="254" customFormat="1" ht="9.9">
      <c r="P1364" s="549"/>
      <c r="Q1364" s="549"/>
      <c r="R1364" s="549"/>
      <c r="S1364" s="549"/>
      <c r="T1364" s="549"/>
      <c r="U1364" s="549"/>
      <c r="V1364" s="549"/>
      <c r="W1364" s="549"/>
      <c r="X1364" s="549"/>
      <c r="Y1364" s="549"/>
      <c r="Z1364" s="549"/>
      <c r="AA1364" s="549"/>
      <c r="AB1364" s="549"/>
      <c r="AC1364" s="549"/>
      <c r="AD1364" s="549"/>
      <c r="AE1364" s="549"/>
      <c r="AF1364" s="549"/>
      <c r="AG1364" s="549"/>
      <c r="AH1364" s="549"/>
      <c r="AI1364" s="549"/>
      <c r="AJ1364" s="549"/>
      <c r="AK1364" s="549"/>
      <c r="AL1364" s="549"/>
      <c r="AM1364" s="549"/>
      <c r="AN1364" s="549"/>
      <c r="AO1364" s="549"/>
      <c r="AP1364" s="549"/>
      <c r="AQ1364" s="549"/>
      <c r="AR1364" s="549"/>
      <c r="AS1364" s="549"/>
      <c r="AT1364" s="549"/>
      <c r="AU1364" s="549"/>
      <c r="AV1364" s="549"/>
      <c r="AW1364" s="549"/>
      <c r="AX1364" s="549"/>
      <c r="AY1364" s="549"/>
      <c r="AZ1364" s="549"/>
      <c r="BA1364" s="549"/>
      <c r="BB1364" s="549"/>
      <c r="BC1364" s="549"/>
      <c r="BD1364" s="549"/>
      <c r="BE1364" s="549"/>
      <c r="BF1364" s="549"/>
      <c r="BG1364" s="549"/>
      <c r="BH1364" s="549"/>
      <c r="BI1364" s="549"/>
    </row>
    <row r="1365" spans="16:61" s="254" customFormat="1" ht="9.9">
      <c r="P1365" s="549"/>
      <c r="Q1365" s="549"/>
      <c r="R1365" s="549"/>
      <c r="S1365" s="549"/>
      <c r="T1365" s="549"/>
      <c r="U1365" s="549"/>
      <c r="V1365" s="549"/>
      <c r="W1365" s="549"/>
      <c r="X1365" s="549"/>
      <c r="Y1365" s="549"/>
      <c r="Z1365" s="549"/>
      <c r="AA1365" s="549"/>
      <c r="AB1365" s="549"/>
      <c r="AC1365" s="549"/>
      <c r="AD1365" s="549"/>
      <c r="AE1365" s="549"/>
      <c r="AF1365" s="549"/>
      <c r="AG1365" s="549"/>
      <c r="AH1365" s="549"/>
      <c r="AI1365" s="549"/>
      <c r="AJ1365" s="549"/>
      <c r="AK1365" s="549"/>
      <c r="AL1365" s="549"/>
      <c r="AM1365" s="549"/>
      <c r="AN1365" s="549"/>
      <c r="AO1365" s="549"/>
      <c r="AP1365" s="549"/>
      <c r="AQ1365" s="549"/>
      <c r="AR1365" s="549"/>
      <c r="AS1365" s="549"/>
      <c r="AT1365" s="549"/>
      <c r="AU1365" s="549"/>
      <c r="AV1365" s="549"/>
      <c r="AW1365" s="549"/>
      <c r="AX1365" s="549"/>
      <c r="AY1365" s="549"/>
      <c r="AZ1365" s="549"/>
      <c r="BA1365" s="549"/>
      <c r="BB1365" s="549"/>
      <c r="BC1365" s="549"/>
      <c r="BD1365" s="549"/>
      <c r="BE1365" s="549"/>
      <c r="BF1365" s="549"/>
      <c r="BG1365" s="549"/>
      <c r="BH1365" s="549"/>
      <c r="BI1365" s="549"/>
    </row>
    <row r="1366" spans="16:61" s="254" customFormat="1" ht="9.9">
      <c r="P1366" s="549"/>
      <c r="Q1366" s="549"/>
      <c r="R1366" s="549"/>
      <c r="S1366" s="549"/>
      <c r="T1366" s="549"/>
      <c r="U1366" s="549"/>
      <c r="V1366" s="549"/>
      <c r="W1366" s="549"/>
      <c r="X1366" s="549"/>
      <c r="Y1366" s="549"/>
      <c r="Z1366" s="549"/>
      <c r="AA1366" s="549"/>
      <c r="AB1366" s="549"/>
      <c r="AC1366" s="549"/>
      <c r="AD1366" s="549"/>
      <c r="AE1366" s="549"/>
      <c r="AF1366" s="549"/>
      <c r="AG1366" s="549"/>
      <c r="AH1366" s="549"/>
      <c r="AI1366" s="549"/>
      <c r="AJ1366" s="549"/>
      <c r="AK1366" s="549"/>
      <c r="AL1366" s="549"/>
      <c r="AM1366" s="549"/>
      <c r="AN1366" s="549"/>
      <c r="AO1366" s="549"/>
      <c r="AP1366" s="549"/>
      <c r="AQ1366" s="549"/>
      <c r="AR1366" s="549"/>
      <c r="AS1366" s="549"/>
      <c r="AT1366" s="549"/>
      <c r="AU1366" s="549"/>
      <c r="AV1366" s="549"/>
      <c r="AW1366" s="549"/>
      <c r="AX1366" s="549"/>
      <c r="AY1366" s="549"/>
      <c r="AZ1366" s="549"/>
      <c r="BA1366" s="549"/>
      <c r="BB1366" s="549"/>
      <c r="BC1366" s="549"/>
      <c r="BD1366" s="549"/>
      <c r="BE1366" s="549"/>
      <c r="BF1366" s="549"/>
      <c r="BG1366" s="549"/>
      <c r="BH1366" s="549"/>
      <c r="BI1366" s="549"/>
    </row>
    <row r="1367" spans="16:61" s="254" customFormat="1" ht="9.9">
      <c r="P1367" s="549"/>
      <c r="Q1367" s="549"/>
      <c r="R1367" s="549"/>
      <c r="S1367" s="549"/>
      <c r="T1367" s="549"/>
      <c r="U1367" s="549"/>
      <c r="V1367" s="549"/>
      <c r="W1367" s="549"/>
      <c r="X1367" s="549"/>
      <c r="Y1367" s="549"/>
      <c r="Z1367" s="549"/>
      <c r="AA1367" s="549"/>
      <c r="AB1367" s="549"/>
      <c r="AC1367" s="549"/>
      <c r="AD1367" s="549"/>
      <c r="AE1367" s="549"/>
      <c r="AF1367" s="549"/>
      <c r="AG1367" s="549"/>
      <c r="AH1367" s="549"/>
      <c r="AI1367" s="549"/>
      <c r="AJ1367" s="549"/>
      <c r="AK1367" s="549"/>
      <c r="AL1367" s="549"/>
      <c r="AM1367" s="549"/>
      <c r="AN1367" s="549"/>
      <c r="AO1367" s="549"/>
      <c r="AP1367" s="549"/>
      <c r="AQ1367" s="549"/>
      <c r="AR1367" s="549"/>
      <c r="AS1367" s="549"/>
      <c r="AT1367" s="549"/>
      <c r="AU1367" s="549"/>
      <c r="AV1367" s="549"/>
      <c r="AW1367" s="549"/>
      <c r="AX1367" s="549"/>
      <c r="AY1367" s="549"/>
      <c r="AZ1367" s="549"/>
      <c r="BA1367" s="549"/>
      <c r="BB1367" s="549"/>
      <c r="BC1367" s="549"/>
      <c r="BD1367" s="549"/>
      <c r="BE1367" s="549"/>
      <c r="BF1367" s="549"/>
      <c r="BG1367" s="549"/>
      <c r="BH1367" s="549"/>
      <c r="BI1367" s="549"/>
    </row>
    <row r="1368" spans="16:61" s="254" customFormat="1" ht="9.9">
      <c r="P1368" s="549"/>
      <c r="Q1368" s="549"/>
      <c r="R1368" s="549"/>
      <c r="S1368" s="549"/>
      <c r="T1368" s="549"/>
      <c r="U1368" s="549"/>
      <c r="V1368" s="549"/>
      <c r="W1368" s="549"/>
      <c r="X1368" s="549"/>
      <c r="Y1368" s="549"/>
      <c r="Z1368" s="549"/>
      <c r="AA1368" s="549"/>
      <c r="AB1368" s="549"/>
      <c r="AC1368" s="549"/>
      <c r="AD1368" s="549"/>
      <c r="AE1368" s="549"/>
      <c r="AF1368" s="549"/>
      <c r="AG1368" s="549"/>
      <c r="AH1368" s="549"/>
      <c r="AI1368" s="549"/>
      <c r="AJ1368" s="549"/>
      <c r="AK1368" s="549"/>
      <c r="AL1368" s="549"/>
      <c r="AM1368" s="549"/>
      <c r="AN1368" s="549"/>
      <c r="AO1368" s="549"/>
      <c r="AP1368" s="549"/>
      <c r="AQ1368" s="549"/>
      <c r="AR1368" s="549"/>
      <c r="AS1368" s="549"/>
      <c r="AT1368" s="549"/>
      <c r="AU1368" s="549"/>
      <c r="AV1368" s="549"/>
      <c r="AW1368" s="549"/>
      <c r="AX1368" s="549"/>
      <c r="AY1368" s="549"/>
      <c r="AZ1368" s="549"/>
      <c r="BA1368" s="549"/>
      <c r="BB1368" s="549"/>
      <c r="BC1368" s="549"/>
      <c r="BD1368" s="549"/>
      <c r="BE1368" s="549"/>
      <c r="BF1368" s="549"/>
      <c r="BG1368" s="549"/>
      <c r="BH1368" s="549"/>
      <c r="BI1368" s="549"/>
    </row>
    <row r="1369" spans="16:61" s="254" customFormat="1" ht="9.9">
      <c r="P1369" s="549"/>
      <c r="Q1369" s="549"/>
      <c r="R1369" s="549"/>
      <c r="S1369" s="549"/>
      <c r="T1369" s="549"/>
      <c r="U1369" s="549"/>
      <c r="V1369" s="549"/>
      <c r="W1369" s="549"/>
      <c r="X1369" s="549"/>
      <c r="Y1369" s="549"/>
      <c r="Z1369" s="549"/>
      <c r="AA1369" s="549"/>
      <c r="AB1369" s="549"/>
      <c r="AC1369" s="549"/>
      <c r="AD1369" s="549"/>
      <c r="AE1369" s="549"/>
      <c r="AF1369" s="549"/>
      <c r="AG1369" s="549"/>
      <c r="AH1369" s="549"/>
      <c r="AI1369" s="549"/>
      <c r="AJ1369" s="549"/>
      <c r="AK1369" s="549"/>
      <c r="AL1369" s="549"/>
      <c r="AM1369" s="549"/>
      <c r="AN1369" s="549"/>
      <c r="AO1369" s="549"/>
      <c r="AP1369" s="549"/>
      <c r="AQ1369" s="549"/>
      <c r="AR1369" s="549"/>
      <c r="AS1369" s="549"/>
      <c r="AT1369" s="549"/>
      <c r="AU1369" s="549"/>
      <c r="AV1369" s="549"/>
      <c r="AW1369" s="549"/>
      <c r="AX1369" s="549"/>
      <c r="AY1369" s="549"/>
      <c r="AZ1369" s="549"/>
      <c r="BA1369" s="549"/>
      <c r="BB1369" s="549"/>
      <c r="BC1369" s="549"/>
      <c r="BD1369" s="549"/>
      <c r="BE1369" s="549"/>
      <c r="BF1369" s="549"/>
      <c r="BG1369" s="549"/>
      <c r="BH1369" s="549"/>
      <c r="BI1369" s="549"/>
    </row>
    <row r="1370" spans="16:61" s="254" customFormat="1" ht="9.9">
      <c r="P1370" s="549"/>
      <c r="Q1370" s="549"/>
      <c r="R1370" s="549"/>
      <c r="S1370" s="549"/>
      <c r="T1370" s="549"/>
      <c r="U1370" s="549"/>
      <c r="V1370" s="549"/>
      <c r="W1370" s="549"/>
      <c r="X1370" s="549"/>
      <c r="Y1370" s="549"/>
      <c r="Z1370" s="549"/>
      <c r="AA1370" s="549"/>
      <c r="AB1370" s="549"/>
      <c r="AC1370" s="549"/>
      <c r="AD1370" s="549"/>
      <c r="AE1370" s="549"/>
      <c r="AF1370" s="549"/>
      <c r="AG1370" s="549"/>
      <c r="AH1370" s="549"/>
      <c r="AI1370" s="549"/>
      <c r="AJ1370" s="549"/>
      <c r="AK1370" s="549"/>
      <c r="AL1370" s="549"/>
      <c r="AM1370" s="549"/>
      <c r="AN1370" s="549"/>
      <c r="AO1370" s="549"/>
      <c r="AP1370" s="549"/>
      <c r="AQ1370" s="549"/>
      <c r="AR1370" s="549"/>
      <c r="AS1370" s="549"/>
      <c r="AT1370" s="549"/>
      <c r="AU1370" s="549"/>
      <c r="AV1370" s="549"/>
      <c r="AW1370" s="549"/>
      <c r="AX1370" s="549"/>
      <c r="AY1370" s="549"/>
      <c r="AZ1370" s="549"/>
      <c r="BA1370" s="549"/>
      <c r="BB1370" s="549"/>
      <c r="BC1370" s="549"/>
      <c r="BD1370" s="549"/>
      <c r="BE1370" s="549"/>
      <c r="BF1370" s="549"/>
      <c r="BG1370" s="549"/>
      <c r="BH1370" s="549"/>
      <c r="BI1370" s="549"/>
    </row>
    <row r="1371" spans="16:61" s="254" customFormat="1" ht="9.9">
      <c r="P1371" s="549"/>
      <c r="Q1371" s="549"/>
      <c r="R1371" s="549"/>
      <c r="S1371" s="549"/>
      <c r="T1371" s="549"/>
      <c r="U1371" s="549"/>
      <c r="V1371" s="549"/>
      <c r="W1371" s="549"/>
      <c r="X1371" s="549"/>
      <c r="Y1371" s="549"/>
      <c r="Z1371" s="549"/>
      <c r="AA1371" s="549"/>
      <c r="AB1371" s="549"/>
      <c r="AC1371" s="549"/>
      <c r="AD1371" s="549"/>
      <c r="AE1371" s="549"/>
      <c r="AF1371" s="549"/>
      <c r="AG1371" s="549"/>
      <c r="AH1371" s="549"/>
      <c r="AI1371" s="549"/>
      <c r="AJ1371" s="549"/>
      <c r="AK1371" s="549"/>
      <c r="AL1371" s="549"/>
      <c r="AM1371" s="549"/>
      <c r="AN1371" s="549"/>
      <c r="AO1371" s="549"/>
      <c r="AP1371" s="549"/>
      <c r="AQ1371" s="549"/>
      <c r="AR1371" s="549"/>
      <c r="AS1371" s="549"/>
      <c r="AT1371" s="549"/>
      <c r="AU1371" s="549"/>
      <c r="AV1371" s="549"/>
      <c r="AW1371" s="549"/>
      <c r="AX1371" s="549"/>
      <c r="AY1371" s="549"/>
      <c r="AZ1371" s="549"/>
      <c r="BA1371" s="549"/>
      <c r="BB1371" s="549"/>
      <c r="BC1371" s="549"/>
      <c r="BD1371" s="549"/>
      <c r="BE1371" s="549"/>
      <c r="BF1371" s="549"/>
      <c r="BG1371" s="549"/>
      <c r="BH1371" s="549"/>
      <c r="BI1371" s="549"/>
    </row>
    <row r="1372" spans="16:61" s="254" customFormat="1" ht="9.9">
      <c r="P1372" s="549"/>
      <c r="Q1372" s="549"/>
      <c r="R1372" s="549"/>
      <c r="S1372" s="549"/>
      <c r="T1372" s="549"/>
      <c r="U1372" s="549"/>
      <c r="V1372" s="549"/>
      <c r="W1372" s="549"/>
      <c r="X1372" s="549"/>
      <c r="Y1372" s="549"/>
      <c r="Z1372" s="549"/>
      <c r="AA1372" s="549"/>
      <c r="AB1372" s="549"/>
      <c r="AC1372" s="549"/>
      <c r="AD1372" s="549"/>
      <c r="AE1372" s="549"/>
      <c r="AF1372" s="549"/>
      <c r="AG1372" s="549"/>
      <c r="AH1372" s="549"/>
      <c r="AI1372" s="549"/>
      <c r="AJ1372" s="549"/>
      <c r="AK1372" s="549"/>
      <c r="AL1372" s="549"/>
      <c r="AM1372" s="549"/>
      <c r="AN1372" s="549"/>
      <c r="AO1372" s="549"/>
      <c r="AP1372" s="549"/>
      <c r="AQ1372" s="549"/>
      <c r="AR1372" s="549"/>
      <c r="AS1372" s="549"/>
      <c r="AT1372" s="549"/>
      <c r="AU1372" s="549"/>
      <c r="AV1372" s="549"/>
      <c r="AW1372" s="549"/>
      <c r="AX1372" s="549"/>
      <c r="AY1372" s="549"/>
      <c r="AZ1372" s="549"/>
      <c r="BA1372" s="549"/>
      <c r="BB1372" s="549"/>
      <c r="BC1372" s="549"/>
      <c r="BD1372" s="549"/>
      <c r="BE1372" s="549"/>
      <c r="BF1372" s="549"/>
      <c r="BG1372" s="549"/>
      <c r="BH1372" s="549"/>
      <c r="BI1372" s="549"/>
    </row>
    <row r="1373" spans="16:61" s="254" customFormat="1" ht="9.9">
      <c r="P1373" s="549"/>
      <c r="Q1373" s="549"/>
      <c r="R1373" s="549"/>
      <c r="S1373" s="549"/>
      <c r="T1373" s="549"/>
      <c r="U1373" s="549"/>
      <c r="V1373" s="549"/>
      <c r="W1373" s="549"/>
      <c r="X1373" s="549"/>
      <c r="Y1373" s="549"/>
      <c r="Z1373" s="549"/>
      <c r="AA1373" s="549"/>
      <c r="AB1373" s="549"/>
      <c r="AC1373" s="549"/>
      <c r="AD1373" s="549"/>
      <c r="AE1373" s="549"/>
      <c r="AF1373" s="549"/>
      <c r="AG1373" s="549"/>
      <c r="AH1373" s="549"/>
      <c r="AI1373" s="549"/>
      <c r="AJ1373" s="549"/>
      <c r="AK1373" s="549"/>
      <c r="AL1373" s="549"/>
      <c r="AM1373" s="549"/>
      <c r="AN1373" s="549"/>
      <c r="AO1373" s="549"/>
      <c r="AP1373" s="549"/>
      <c r="AQ1373" s="549"/>
      <c r="AR1373" s="549"/>
      <c r="AS1373" s="549"/>
      <c r="AT1373" s="549"/>
      <c r="AU1373" s="549"/>
      <c r="AV1373" s="549"/>
      <c r="AW1373" s="549"/>
      <c r="AX1373" s="549"/>
      <c r="AY1373" s="549"/>
      <c r="AZ1373" s="549"/>
      <c r="BA1373" s="549"/>
      <c r="BB1373" s="549"/>
      <c r="BC1373" s="549"/>
      <c r="BD1373" s="549"/>
      <c r="BE1373" s="549"/>
      <c r="BF1373" s="549"/>
      <c r="BG1373" s="549"/>
      <c r="BH1373" s="549"/>
      <c r="BI1373" s="549"/>
    </row>
    <row r="1374" spans="16:61" s="254" customFormat="1" ht="9.9">
      <c r="P1374" s="549"/>
      <c r="Q1374" s="549"/>
      <c r="R1374" s="549"/>
      <c r="S1374" s="549"/>
      <c r="T1374" s="549"/>
      <c r="U1374" s="549"/>
      <c r="V1374" s="549"/>
      <c r="W1374" s="549"/>
      <c r="X1374" s="549"/>
      <c r="Y1374" s="549"/>
      <c r="Z1374" s="549"/>
      <c r="AA1374" s="549"/>
      <c r="AB1374" s="549"/>
      <c r="AC1374" s="549"/>
      <c r="AD1374" s="549"/>
      <c r="AE1374" s="549"/>
      <c r="AF1374" s="549"/>
      <c r="AG1374" s="549"/>
      <c r="AH1374" s="549"/>
      <c r="AI1374" s="549"/>
      <c r="AJ1374" s="549"/>
      <c r="AK1374" s="549"/>
      <c r="AL1374" s="549"/>
      <c r="AM1374" s="549"/>
      <c r="AN1374" s="549"/>
      <c r="AO1374" s="549"/>
      <c r="AP1374" s="549"/>
      <c r="AQ1374" s="549"/>
      <c r="AR1374" s="549"/>
      <c r="AS1374" s="549"/>
      <c r="AT1374" s="549"/>
      <c r="AU1374" s="549"/>
      <c r="AV1374" s="549"/>
      <c r="AW1374" s="549"/>
      <c r="AX1374" s="549"/>
      <c r="AY1374" s="549"/>
      <c r="AZ1374" s="549"/>
      <c r="BA1374" s="549"/>
      <c r="BB1374" s="549"/>
      <c r="BC1374" s="549"/>
      <c r="BD1374" s="549"/>
      <c r="BE1374" s="549"/>
      <c r="BF1374" s="549"/>
      <c r="BG1374" s="549"/>
      <c r="BH1374" s="549"/>
      <c r="BI1374" s="549"/>
    </row>
    <row r="1375" spans="16:61" s="254" customFormat="1" ht="9.9">
      <c r="P1375" s="549"/>
      <c r="Q1375" s="549"/>
      <c r="R1375" s="549"/>
      <c r="S1375" s="549"/>
      <c r="T1375" s="549"/>
      <c r="U1375" s="549"/>
      <c r="V1375" s="549"/>
      <c r="W1375" s="549"/>
      <c r="X1375" s="549"/>
      <c r="Y1375" s="549"/>
      <c r="Z1375" s="549"/>
      <c r="AA1375" s="549"/>
      <c r="AB1375" s="549"/>
      <c r="AC1375" s="549"/>
      <c r="AD1375" s="549"/>
      <c r="AE1375" s="549"/>
      <c r="AF1375" s="549"/>
      <c r="AG1375" s="549"/>
      <c r="AH1375" s="549"/>
      <c r="AI1375" s="549"/>
      <c r="AJ1375" s="549"/>
      <c r="AK1375" s="549"/>
      <c r="AL1375" s="549"/>
      <c r="AM1375" s="549"/>
      <c r="AN1375" s="549"/>
      <c r="AO1375" s="549"/>
      <c r="AP1375" s="549"/>
      <c r="AQ1375" s="549"/>
      <c r="AR1375" s="549"/>
      <c r="AS1375" s="549"/>
      <c r="AT1375" s="549"/>
      <c r="AU1375" s="549"/>
      <c r="AV1375" s="549"/>
      <c r="AW1375" s="549"/>
      <c r="AX1375" s="549"/>
      <c r="AY1375" s="549"/>
      <c r="AZ1375" s="549"/>
      <c r="BA1375" s="549"/>
      <c r="BB1375" s="549"/>
      <c r="BC1375" s="549"/>
      <c r="BD1375" s="549"/>
      <c r="BE1375" s="549"/>
      <c r="BF1375" s="549"/>
      <c r="BG1375" s="549"/>
      <c r="BH1375" s="549"/>
      <c r="BI1375" s="549"/>
    </row>
    <row r="1376" spans="16:61" s="254" customFormat="1" ht="9.9">
      <c r="P1376" s="549"/>
      <c r="Q1376" s="549"/>
      <c r="R1376" s="549"/>
      <c r="S1376" s="549"/>
      <c r="T1376" s="549"/>
      <c r="U1376" s="549"/>
      <c r="V1376" s="549"/>
      <c r="W1376" s="549"/>
      <c r="X1376" s="549"/>
      <c r="Y1376" s="549"/>
      <c r="Z1376" s="549"/>
      <c r="AA1376" s="549"/>
      <c r="AB1376" s="549"/>
      <c r="AC1376" s="549"/>
      <c r="AD1376" s="549"/>
      <c r="AE1376" s="549"/>
      <c r="AF1376" s="549"/>
      <c r="AG1376" s="549"/>
      <c r="AH1376" s="549"/>
      <c r="AI1376" s="549"/>
      <c r="AJ1376" s="549"/>
      <c r="AK1376" s="549"/>
      <c r="AL1376" s="549"/>
      <c r="AM1376" s="549"/>
      <c r="AN1376" s="549"/>
      <c r="AO1376" s="549"/>
      <c r="AP1376" s="549"/>
      <c r="AQ1376" s="549"/>
      <c r="AR1376" s="549"/>
      <c r="AS1376" s="549"/>
      <c r="AT1376" s="549"/>
      <c r="AU1376" s="549"/>
      <c r="AV1376" s="549"/>
      <c r="AW1376" s="549"/>
      <c r="AX1376" s="549"/>
      <c r="AY1376" s="549"/>
      <c r="AZ1376" s="549"/>
      <c r="BA1376" s="549"/>
      <c r="BB1376" s="549"/>
      <c r="BC1376" s="549"/>
      <c r="BD1376" s="549"/>
      <c r="BE1376" s="549"/>
      <c r="BF1376" s="549"/>
      <c r="BG1376" s="549"/>
      <c r="BH1376" s="549"/>
      <c r="BI1376" s="549"/>
    </row>
    <row r="1377" spans="16:61" s="254" customFormat="1" ht="9.9">
      <c r="P1377" s="549"/>
      <c r="Q1377" s="549"/>
      <c r="R1377" s="549"/>
      <c r="S1377" s="549"/>
      <c r="T1377" s="549"/>
      <c r="U1377" s="549"/>
      <c r="V1377" s="549"/>
      <c r="W1377" s="549"/>
      <c r="X1377" s="549"/>
      <c r="Y1377" s="549"/>
      <c r="Z1377" s="549"/>
      <c r="AA1377" s="549"/>
      <c r="AB1377" s="549"/>
      <c r="AC1377" s="549"/>
      <c r="AD1377" s="549"/>
      <c r="AE1377" s="549"/>
      <c r="AF1377" s="549"/>
      <c r="AG1377" s="549"/>
      <c r="AH1377" s="549"/>
      <c r="AI1377" s="549"/>
      <c r="AJ1377" s="549"/>
      <c r="AK1377" s="549"/>
      <c r="AL1377" s="549"/>
      <c r="AM1377" s="549"/>
      <c r="AN1377" s="549"/>
      <c r="AO1377" s="549"/>
      <c r="AP1377" s="549"/>
      <c r="AQ1377" s="549"/>
      <c r="AR1377" s="549"/>
      <c r="AS1377" s="549"/>
      <c r="AT1377" s="549"/>
      <c r="AU1377" s="549"/>
      <c r="AV1377" s="549"/>
      <c r="AW1377" s="549"/>
      <c r="AX1377" s="549"/>
      <c r="AY1377" s="549"/>
      <c r="AZ1377" s="549"/>
      <c r="BA1377" s="549"/>
      <c r="BB1377" s="549"/>
      <c r="BC1377" s="549"/>
      <c r="BD1377" s="549"/>
      <c r="BE1377" s="549"/>
      <c r="BF1377" s="549"/>
      <c r="BG1377" s="549"/>
      <c r="BH1377" s="549"/>
      <c r="BI1377" s="549"/>
    </row>
    <row r="1378" spans="16:61" s="254" customFormat="1" ht="9.9">
      <c r="P1378" s="549"/>
      <c r="Q1378" s="549"/>
      <c r="R1378" s="549"/>
      <c r="S1378" s="549"/>
      <c r="T1378" s="549"/>
      <c r="U1378" s="549"/>
      <c r="V1378" s="549"/>
      <c r="W1378" s="549"/>
      <c r="X1378" s="549"/>
      <c r="Y1378" s="549"/>
      <c r="Z1378" s="549"/>
      <c r="AA1378" s="549"/>
      <c r="AB1378" s="549"/>
      <c r="AC1378" s="549"/>
      <c r="AD1378" s="549"/>
      <c r="AE1378" s="549"/>
      <c r="AF1378" s="549"/>
      <c r="AG1378" s="549"/>
      <c r="AH1378" s="549"/>
      <c r="AI1378" s="549"/>
      <c r="AJ1378" s="549"/>
      <c r="AK1378" s="549"/>
      <c r="AL1378" s="549"/>
      <c r="AM1378" s="549"/>
      <c r="AN1378" s="549"/>
      <c r="AO1378" s="549"/>
      <c r="AP1378" s="549"/>
      <c r="AQ1378" s="549"/>
      <c r="AR1378" s="549"/>
      <c r="AS1378" s="549"/>
      <c r="AT1378" s="549"/>
      <c r="AU1378" s="549"/>
      <c r="AV1378" s="549"/>
      <c r="AW1378" s="549"/>
      <c r="AX1378" s="549"/>
      <c r="AY1378" s="549"/>
      <c r="AZ1378" s="549"/>
      <c r="BA1378" s="549"/>
      <c r="BB1378" s="549"/>
      <c r="BC1378" s="549"/>
      <c r="BD1378" s="549"/>
      <c r="BE1378" s="549"/>
      <c r="BF1378" s="549"/>
      <c r="BG1378" s="549"/>
      <c r="BH1378" s="549"/>
      <c r="BI1378" s="549"/>
    </row>
    <row r="1379" spans="16:61" s="254" customFormat="1" ht="9.9">
      <c r="P1379" s="549"/>
      <c r="Q1379" s="549"/>
      <c r="R1379" s="549"/>
      <c r="S1379" s="549"/>
      <c r="T1379" s="549"/>
      <c r="U1379" s="549"/>
      <c r="V1379" s="549"/>
      <c r="W1379" s="549"/>
      <c r="X1379" s="549"/>
      <c r="Y1379" s="549"/>
      <c r="Z1379" s="549"/>
      <c r="AA1379" s="549"/>
      <c r="AB1379" s="549"/>
      <c r="AC1379" s="549"/>
      <c r="AD1379" s="549"/>
      <c r="AE1379" s="549"/>
      <c r="AF1379" s="549"/>
      <c r="AG1379" s="549"/>
      <c r="AH1379" s="549"/>
      <c r="AI1379" s="549"/>
      <c r="AJ1379" s="549"/>
      <c r="AK1379" s="549"/>
      <c r="AL1379" s="549"/>
      <c r="AM1379" s="549"/>
      <c r="AN1379" s="549"/>
      <c r="AO1379" s="549"/>
      <c r="AP1379" s="549"/>
      <c r="AQ1379" s="549"/>
      <c r="AR1379" s="549"/>
      <c r="AS1379" s="549"/>
      <c r="AT1379" s="549"/>
      <c r="AU1379" s="549"/>
      <c r="AV1379" s="549"/>
      <c r="AW1379" s="549"/>
      <c r="AX1379" s="549"/>
      <c r="AY1379" s="549"/>
      <c r="AZ1379" s="549"/>
      <c r="BA1379" s="549"/>
      <c r="BB1379" s="549"/>
      <c r="BC1379" s="549"/>
      <c r="BD1379" s="549"/>
      <c r="BE1379" s="549"/>
      <c r="BF1379" s="549"/>
      <c r="BG1379" s="549"/>
      <c r="BH1379" s="549"/>
      <c r="BI1379" s="549"/>
    </row>
    <row r="1380" spans="16:61" s="254" customFormat="1" ht="9.9">
      <c r="P1380" s="549"/>
      <c r="Q1380" s="549"/>
      <c r="R1380" s="549"/>
      <c r="S1380" s="549"/>
      <c r="T1380" s="549"/>
      <c r="U1380" s="549"/>
      <c r="V1380" s="549"/>
      <c r="W1380" s="549"/>
      <c r="X1380" s="549"/>
      <c r="Y1380" s="549"/>
      <c r="Z1380" s="549"/>
      <c r="AA1380" s="549"/>
      <c r="AB1380" s="549"/>
      <c r="AC1380" s="549"/>
      <c r="AD1380" s="549"/>
      <c r="AE1380" s="549"/>
      <c r="AF1380" s="549"/>
      <c r="AG1380" s="549"/>
      <c r="AH1380" s="549"/>
      <c r="AI1380" s="549"/>
      <c r="AJ1380" s="549"/>
      <c r="AK1380" s="549"/>
      <c r="AL1380" s="549"/>
      <c r="AM1380" s="549"/>
      <c r="AN1380" s="549"/>
      <c r="AO1380" s="549"/>
      <c r="AP1380" s="549"/>
      <c r="AQ1380" s="549"/>
      <c r="AR1380" s="549"/>
      <c r="AS1380" s="549"/>
      <c r="AT1380" s="549"/>
      <c r="AU1380" s="549"/>
      <c r="AV1380" s="549"/>
      <c r="AW1380" s="549"/>
      <c r="AX1380" s="549"/>
      <c r="AY1380" s="549"/>
      <c r="AZ1380" s="549"/>
      <c r="BA1380" s="549"/>
      <c r="BB1380" s="549"/>
      <c r="BC1380" s="549"/>
      <c r="BD1380" s="549"/>
      <c r="BE1380" s="549"/>
      <c r="BF1380" s="549"/>
      <c r="BG1380" s="549"/>
      <c r="BH1380" s="549"/>
      <c r="BI1380" s="549"/>
    </row>
    <row r="1381" spans="16:61" s="254" customFormat="1" ht="9.9">
      <c r="P1381" s="549"/>
      <c r="Q1381" s="549"/>
      <c r="R1381" s="549"/>
      <c r="S1381" s="549"/>
      <c r="T1381" s="549"/>
      <c r="U1381" s="549"/>
      <c r="V1381" s="549"/>
      <c r="W1381" s="549"/>
      <c r="X1381" s="549"/>
      <c r="Y1381" s="549"/>
      <c r="Z1381" s="549"/>
      <c r="AA1381" s="549"/>
      <c r="AB1381" s="549"/>
      <c r="AC1381" s="549"/>
      <c r="AD1381" s="549"/>
      <c r="AE1381" s="549"/>
      <c r="AF1381" s="549"/>
      <c r="AG1381" s="549"/>
      <c r="AH1381" s="549"/>
      <c r="AI1381" s="549"/>
      <c r="AJ1381" s="549"/>
      <c r="AK1381" s="549"/>
      <c r="AL1381" s="549"/>
      <c r="AM1381" s="549"/>
      <c r="AN1381" s="549"/>
      <c r="AO1381" s="549"/>
      <c r="AP1381" s="549"/>
      <c r="AQ1381" s="549"/>
      <c r="AR1381" s="549"/>
      <c r="AS1381" s="549"/>
      <c r="AT1381" s="549"/>
      <c r="AU1381" s="549"/>
      <c r="AV1381" s="549"/>
      <c r="AW1381" s="549"/>
      <c r="AX1381" s="549"/>
      <c r="AY1381" s="549"/>
      <c r="AZ1381" s="549"/>
      <c r="BA1381" s="549"/>
      <c r="BB1381" s="549"/>
      <c r="BC1381" s="549"/>
      <c r="BD1381" s="549"/>
      <c r="BE1381" s="549"/>
      <c r="BF1381" s="549"/>
      <c r="BG1381" s="549"/>
      <c r="BH1381" s="549"/>
      <c r="BI1381" s="549"/>
    </row>
    <row r="1382" spans="16:61" s="254" customFormat="1" ht="9.9">
      <c r="P1382" s="549"/>
      <c r="Q1382" s="549"/>
      <c r="R1382" s="549"/>
      <c r="S1382" s="549"/>
      <c r="T1382" s="549"/>
      <c r="U1382" s="549"/>
      <c r="V1382" s="549"/>
      <c r="W1382" s="549"/>
      <c r="X1382" s="549"/>
      <c r="Y1382" s="549"/>
      <c r="Z1382" s="549"/>
      <c r="AA1382" s="549"/>
      <c r="AB1382" s="549"/>
      <c r="AC1382" s="549"/>
      <c r="AD1382" s="549"/>
      <c r="AE1382" s="549"/>
      <c r="AF1382" s="549"/>
      <c r="AG1382" s="549"/>
      <c r="AH1382" s="549"/>
      <c r="AI1382" s="549"/>
      <c r="AJ1382" s="549"/>
      <c r="AK1382" s="549"/>
      <c r="AL1382" s="549"/>
      <c r="AM1382" s="549"/>
      <c r="AN1382" s="549"/>
      <c r="AO1382" s="549"/>
      <c r="AP1382" s="549"/>
      <c r="AQ1382" s="549"/>
      <c r="AR1382" s="549"/>
      <c r="AS1382" s="549"/>
      <c r="AT1382" s="549"/>
      <c r="AU1382" s="549"/>
      <c r="AV1382" s="549"/>
      <c r="AW1382" s="549"/>
      <c r="AX1382" s="549"/>
      <c r="AY1382" s="549"/>
      <c r="AZ1382" s="549"/>
      <c r="BA1382" s="549"/>
      <c r="BB1382" s="549"/>
      <c r="BC1382" s="549"/>
      <c r="BD1382" s="549"/>
      <c r="BE1382" s="549"/>
      <c r="BF1382" s="549"/>
      <c r="BG1382" s="549"/>
      <c r="BH1382" s="549"/>
      <c r="BI1382" s="549"/>
    </row>
    <row r="1383" spans="16:61" s="254" customFormat="1" ht="9.9">
      <c r="P1383" s="549"/>
      <c r="Q1383" s="549"/>
      <c r="R1383" s="549"/>
      <c r="S1383" s="549"/>
      <c r="T1383" s="549"/>
      <c r="U1383" s="549"/>
      <c r="V1383" s="549"/>
      <c r="W1383" s="549"/>
      <c r="X1383" s="549"/>
      <c r="Y1383" s="549"/>
      <c r="Z1383" s="549"/>
      <c r="AA1383" s="549"/>
      <c r="AB1383" s="549"/>
      <c r="AC1383" s="549"/>
      <c r="AD1383" s="549"/>
      <c r="AE1383" s="549"/>
      <c r="AF1383" s="549"/>
      <c r="AG1383" s="549"/>
      <c r="AH1383" s="549"/>
      <c r="AI1383" s="549"/>
      <c r="AJ1383" s="549"/>
      <c r="AK1383" s="549"/>
      <c r="AL1383" s="549"/>
      <c r="AM1383" s="549"/>
      <c r="AN1383" s="549"/>
      <c r="AO1383" s="549"/>
      <c r="AP1383" s="549"/>
      <c r="AQ1383" s="549"/>
      <c r="AR1383" s="549"/>
      <c r="AS1383" s="549"/>
      <c r="AT1383" s="549"/>
      <c r="AU1383" s="549"/>
      <c r="AV1383" s="549"/>
      <c r="AW1383" s="549"/>
      <c r="AX1383" s="549"/>
      <c r="AY1383" s="549"/>
      <c r="AZ1383" s="549"/>
      <c r="BA1383" s="549"/>
      <c r="BB1383" s="549"/>
      <c r="BC1383" s="549"/>
      <c r="BD1383" s="549"/>
      <c r="BE1383" s="549"/>
      <c r="BF1383" s="549"/>
      <c r="BG1383" s="549"/>
      <c r="BH1383" s="549"/>
      <c r="BI1383" s="549"/>
    </row>
    <row r="1384" spans="16:61" s="254" customFormat="1" ht="9.9">
      <c r="P1384" s="549"/>
      <c r="Q1384" s="549"/>
      <c r="R1384" s="549"/>
      <c r="S1384" s="549"/>
      <c r="T1384" s="549"/>
      <c r="U1384" s="549"/>
      <c r="V1384" s="549"/>
      <c r="W1384" s="549"/>
      <c r="X1384" s="549"/>
      <c r="Y1384" s="549"/>
      <c r="Z1384" s="549"/>
      <c r="AA1384" s="549"/>
      <c r="AB1384" s="549"/>
      <c r="AC1384" s="549"/>
      <c r="AD1384" s="549"/>
      <c r="AE1384" s="549"/>
      <c r="AF1384" s="549"/>
      <c r="AG1384" s="549"/>
      <c r="AH1384" s="549"/>
      <c r="AI1384" s="549"/>
      <c r="AJ1384" s="549"/>
      <c r="AK1384" s="549"/>
      <c r="AL1384" s="549"/>
      <c r="AM1384" s="549"/>
      <c r="AN1384" s="549"/>
      <c r="AO1384" s="549"/>
      <c r="AP1384" s="549"/>
      <c r="AQ1384" s="549"/>
      <c r="AR1384" s="549"/>
      <c r="AS1384" s="549"/>
      <c r="AT1384" s="549"/>
      <c r="AU1384" s="549"/>
      <c r="AV1384" s="549"/>
      <c r="AW1384" s="549"/>
      <c r="AX1384" s="549"/>
      <c r="AY1384" s="549"/>
      <c r="AZ1384" s="549"/>
      <c r="BA1384" s="549"/>
      <c r="BB1384" s="549"/>
      <c r="BC1384" s="549"/>
      <c r="BD1384" s="549"/>
      <c r="BE1384" s="549"/>
      <c r="BF1384" s="549"/>
      <c r="BG1384" s="549"/>
      <c r="BH1384" s="549"/>
      <c r="BI1384" s="549"/>
    </row>
    <row r="1385" spans="16:61" s="254" customFormat="1" ht="9.9">
      <c r="P1385" s="549"/>
      <c r="Q1385" s="549"/>
      <c r="R1385" s="549"/>
      <c r="S1385" s="549"/>
      <c r="T1385" s="549"/>
      <c r="U1385" s="549"/>
      <c r="V1385" s="549"/>
      <c r="W1385" s="549"/>
      <c r="X1385" s="549"/>
      <c r="Y1385" s="549"/>
      <c r="Z1385" s="549"/>
      <c r="AA1385" s="549"/>
      <c r="AB1385" s="549"/>
      <c r="AC1385" s="549"/>
      <c r="AD1385" s="549"/>
      <c r="AE1385" s="549"/>
      <c r="AF1385" s="549"/>
      <c r="AG1385" s="549"/>
      <c r="AH1385" s="549"/>
      <c r="AI1385" s="549"/>
      <c r="AJ1385" s="549"/>
      <c r="AK1385" s="549"/>
      <c r="AL1385" s="549"/>
      <c r="AM1385" s="549"/>
      <c r="AN1385" s="549"/>
      <c r="AO1385" s="549"/>
      <c r="AP1385" s="549"/>
      <c r="AQ1385" s="549"/>
      <c r="AR1385" s="549"/>
      <c r="AS1385" s="549"/>
      <c r="AT1385" s="549"/>
      <c r="AU1385" s="549"/>
      <c r="AV1385" s="549"/>
      <c r="AW1385" s="549"/>
      <c r="AX1385" s="549"/>
      <c r="AY1385" s="549"/>
      <c r="AZ1385" s="549"/>
      <c r="BA1385" s="549"/>
      <c r="BB1385" s="549"/>
      <c r="BC1385" s="549"/>
      <c r="BD1385" s="549"/>
      <c r="BE1385" s="549"/>
      <c r="BF1385" s="549"/>
      <c r="BG1385" s="549"/>
      <c r="BH1385" s="549"/>
      <c r="BI1385" s="549"/>
    </row>
    <row r="1386" spans="16:61" s="254" customFormat="1" ht="9.9">
      <c r="P1386" s="549"/>
      <c r="Q1386" s="549"/>
      <c r="R1386" s="549"/>
      <c r="S1386" s="549"/>
      <c r="T1386" s="549"/>
      <c r="U1386" s="549"/>
      <c r="V1386" s="549"/>
      <c r="W1386" s="549"/>
      <c r="X1386" s="549"/>
      <c r="Y1386" s="549"/>
      <c r="Z1386" s="549"/>
      <c r="AA1386" s="549"/>
      <c r="AB1386" s="549"/>
      <c r="AC1386" s="549"/>
      <c r="AD1386" s="549"/>
      <c r="AE1386" s="549"/>
      <c r="AF1386" s="549"/>
      <c r="AG1386" s="549"/>
      <c r="AH1386" s="549"/>
      <c r="AI1386" s="549"/>
      <c r="AJ1386" s="549"/>
      <c r="AK1386" s="549"/>
      <c r="AL1386" s="549"/>
      <c r="AM1386" s="549"/>
      <c r="AN1386" s="549"/>
      <c r="AO1386" s="549"/>
      <c r="AP1386" s="549"/>
      <c r="AQ1386" s="549"/>
      <c r="AR1386" s="549"/>
      <c r="AS1386" s="549"/>
      <c r="AT1386" s="549"/>
      <c r="AU1386" s="549"/>
      <c r="AV1386" s="549"/>
      <c r="AW1386" s="549"/>
      <c r="AX1386" s="549"/>
      <c r="AY1386" s="549"/>
      <c r="AZ1386" s="549"/>
      <c r="BA1386" s="549"/>
      <c r="BB1386" s="549"/>
      <c r="BC1386" s="549"/>
      <c r="BD1386" s="549"/>
      <c r="BE1386" s="549"/>
      <c r="BF1386" s="549"/>
      <c r="BG1386" s="549"/>
      <c r="BH1386" s="549"/>
      <c r="BI1386" s="549"/>
    </row>
    <row r="1387" spans="16:61" s="254" customFormat="1" ht="9.9">
      <c r="P1387" s="549"/>
      <c r="Q1387" s="549"/>
      <c r="R1387" s="549"/>
      <c r="S1387" s="549"/>
      <c r="T1387" s="549"/>
      <c r="U1387" s="549"/>
      <c r="V1387" s="549"/>
      <c r="W1387" s="549"/>
      <c r="X1387" s="549"/>
      <c r="Y1387" s="549"/>
      <c r="Z1387" s="549"/>
      <c r="AA1387" s="549"/>
      <c r="AB1387" s="549"/>
      <c r="AC1387" s="549"/>
      <c r="AD1387" s="549"/>
      <c r="AE1387" s="549"/>
      <c r="AF1387" s="549"/>
      <c r="AG1387" s="549"/>
      <c r="AH1387" s="549"/>
      <c r="AI1387" s="549"/>
      <c r="AJ1387" s="549"/>
      <c r="AK1387" s="549"/>
      <c r="AL1387" s="549"/>
      <c r="AM1387" s="549"/>
      <c r="AN1387" s="549"/>
      <c r="AO1387" s="549"/>
      <c r="AP1387" s="549"/>
      <c r="AQ1387" s="549"/>
      <c r="AR1387" s="549"/>
      <c r="AS1387" s="549"/>
      <c r="AT1387" s="549"/>
      <c r="AU1387" s="549"/>
      <c r="AV1387" s="549"/>
      <c r="AW1387" s="549"/>
      <c r="AX1387" s="549"/>
      <c r="AY1387" s="549"/>
      <c r="AZ1387" s="549"/>
      <c r="BA1387" s="549"/>
      <c r="BB1387" s="549"/>
      <c r="BC1387" s="549"/>
      <c r="BD1387" s="549"/>
      <c r="BE1387" s="549"/>
      <c r="BF1387" s="549"/>
      <c r="BG1387" s="549"/>
      <c r="BH1387" s="549"/>
      <c r="BI1387" s="549"/>
    </row>
    <row r="1388" spans="16:61" s="254" customFormat="1" ht="9.9">
      <c r="P1388" s="549"/>
      <c r="Q1388" s="549"/>
      <c r="R1388" s="549"/>
      <c r="S1388" s="549"/>
      <c r="T1388" s="549"/>
      <c r="U1388" s="549"/>
      <c r="V1388" s="549"/>
      <c r="W1388" s="549"/>
      <c r="X1388" s="549"/>
      <c r="Y1388" s="549"/>
      <c r="Z1388" s="549"/>
      <c r="AA1388" s="549"/>
      <c r="AB1388" s="549"/>
      <c r="AC1388" s="549"/>
      <c r="AD1388" s="549"/>
      <c r="AE1388" s="549"/>
      <c r="AF1388" s="549"/>
      <c r="AG1388" s="549"/>
      <c r="AH1388" s="549"/>
      <c r="AI1388" s="549"/>
      <c r="AJ1388" s="549"/>
      <c r="AK1388" s="549"/>
      <c r="AL1388" s="549"/>
      <c r="AM1388" s="549"/>
      <c r="AN1388" s="549"/>
      <c r="AO1388" s="549"/>
      <c r="AP1388" s="549"/>
      <c r="AQ1388" s="549"/>
      <c r="AR1388" s="549"/>
      <c r="AS1388" s="549"/>
      <c r="AT1388" s="549"/>
      <c r="AU1388" s="549"/>
      <c r="AV1388" s="549"/>
      <c r="AW1388" s="549"/>
      <c r="AX1388" s="549"/>
      <c r="AY1388" s="549"/>
      <c r="AZ1388" s="549"/>
      <c r="BA1388" s="549"/>
      <c r="BB1388" s="549"/>
      <c r="BC1388" s="549"/>
      <c r="BD1388" s="549"/>
      <c r="BE1388" s="549"/>
      <c r="BF1388" s="549"/>
      <c r="BG1388" s="549"/>
      <c r="BH1388" s="549"/>
      <c r="BI1388" s="549"/>
    </row>
    <row r="1389" spans="16:61" s="254" customFormat="1" ht="9.9">
      <c r="P1389" s="549"/>
      <c r="Q1389" s="549"/>
      <c r="R1389" s="549"/>
      <c r="S1389" s="549"/>
      <c r="T1389" s="549"/>
      <c r="U1389" s="549"/>
      <c r="V1389" s="549"/>
      <c r="W1389" s="549"/>
      <c r="X1389" s="549"/>
      <c r="Y1389" s="549"/>
      <c r="Z1389" s="549"/>
      <c r="AA1389" s="549"/>
      <c r="AB1389" s="549"/>
      <c r="AC1389" s="549"/>
      <c r="AD1389" s="549"/>
      <c r="AE1389" s="549"/>
      <c r="AF1389" s="549"/>
      <c r="AG1389" s="549"/>
      <c r="AH1389" s="549"/>
      <c r="AI1389" s="549"/>
      <c r="AJ1389" s="549"/>
      <c r="AK1389" s="549"/>
      <c r="AL1389" s="549"/>
      <c r="AM1389" s="549"/>
      <c r="AN1389" s="549"/>
      <c r="AO1389" s="549"/>
      <c r="AP1389" s="549"/>
      <c r="AQ1389" s="549"/>
      <c r="AR1389" s="549"/>
      <c r="AS1389" s="549"/>
      <c r="AT1389" s="549"/>
      <c r="AU1389" s="549"/>
      <c r="AV1389" s="549"/>
      <c r="AW1389" s="549"/>
      <c r="AX1389" s="549"/>
      <c r="AY1389" s="549"/>
      <c r="AZ1389" s="549"/>
      <c r="BA1389" s="549"/>
      <c r="BB1389" s="549"/>
      <c r="BC1389" s="549"/>
      <c r="BD1389" s="549"/>
      <c r="BE1389" s="549"/>
      <c r="BF1389" s="549"/>
      <c r="BG1389" s="549"/>
      <c r="BH1389" s="549"/>
      <c r="BI1389" s="549"/>
    </row>
    <row r="1390" spans="16:61" s="254" customFormat="1" ht="9.9">
      <c r="P1390" s="549"/>
      <c r="Q1390" s="549"/>
      <c r="R1390" s="549"/>
      <c r="S1390" s="549"/>
      <c r="T1390" s="549"/>
      <c r="U1390" s="549"/>
      <c r="V1390" s="549"/>
      <c r="W1390" s="549"/>
      <c r="X1390" s="549"/>
      <c r="Y1390" s="549"/>
      <c r="Z1390" s="549"/>
      <c r="AA1390" s="549"/>
      <c r="AB1390" s="549"/>
      <c r="AC1390" s="549"/>
      <c r="AD1390" s="549"/>
      <c r="AE1390" s="549"/>
      <c r="AF1390" s="549"/>
      <c r="AG1390" s="549"/>
      <c r="AH1390" s="549"/>
      <c r="AI1390" s="549"/>
      <c r="AJ1390" s="549"/>
      <c r="AK1390" s="549"/>
      <c r="AL1390" s="549"/>
      <c r="AM1390" s="549"/>
      <c r="AN1390" s="549"/>
      <c r="AO1390" s="549"/>
      <c r="AP1390" s="549"/>
      <c r="AQ1390" s="549"/>
      <c r="AR1390" s="549"/>
      <c r="AS1390" s="549"/>
      <c r="AT1390" s="549"/>
      <c r="AU1390" s="549"/>
      <c r="AV1390" s="549"/>
      <c r="AW1390" s="549"/>
      <c r="AX1390" s="549"/>
      <c r="AY1390" s="549"/>
      <c r="AZ1390" s="549"/>
      <c r="BA1390" s="549"/>
      <c r="BB1390" s="549"/>
      <c r="BC1390" s="549"/>
      <c r="BD1390" s="549"/>
      <c r="BE1390" s="549"/>
      <c r="BF1390" s="549"/>
      <c r="BG1390" s="549"/>
      <c r="BH1390" s="549"/>
      <c r="BI1390" s="549"/>
    </row>
    <row r="1391" spans="16:61" s="254" customFormat="1" ht="9.9">
      <c r="P1391" s="549"/>
      <c r="Q1391" s="549"/>
      <c r="R1391" s="549"/>
      <c r="S1391" s="549"/>
      <c r="T1391" s="549"/>
      <c r="U1391" s="549"/>
      <c r="V1391" s="549"/>
      <c r="W1391" s="549"/>
      <c r="X1391" s="549"/>
      <c r="Y1391" s="549"/>
      <c r="Z1391" s="549"/>
      <c r="AA1391" s="549"/>
      <c r="AB1391" s="549"/>
      <c r="AC1391" s="549"/>
      <c r="AD1391" s="549"/>
      <c r="AE1391" s="549"/>
      <c r="AF1391" s="549"/>
      <c r="AG1391" s="549"/>
      <c r="AH1391" s="549"/>
      <c r="AI1391" s="549"/>
      <c r="AJ1391" s="549"/>
      <c r="AK1391" s="549"/>
      <c r="AL1391" s="549"/>
      <c r="AM1391" s="549"/>
      <c r="AN1391" s="549"/>
      <c r="AO1391" s="549"/>
      <c r="AP1391" s="549"/>
      <c r="AQ1391" s="549"/>
      <c r="AR1391" s="549"/>
      <c r="AS1391" s="549"/>
      <c r="AT1391" s="549"/>
      <c r="AU1391" s="549"/>
      <c r="AV1391" s="549"/>
      <c r="AW1391" s="549"/>
      <c r="AX1391" s="549"/>
      <c r="AY1391" s="549"/>
      <c r="AZ1391" s="549"/>
      <c r="BA1391" s="549"/>
      <c r="BB1391" s="549"/>
      <c r="BC1391" s="549"/>
      <c r="BD1391" s="549"/>
      <c r="BE1391" s="549"/>
      <c r="BF1391" s="549"/>
      <c r="BG1391" s="549"/>
      <c r="BH1391" s="549"/>
      <c r="BI1391" s="549"/>
    </row>
    <row r="1392" spans="16:61" s="254" customFormat="1" ht="9.9">
      <c r="P1392" s="549"/>
      <c r="Q1392" s="549"/>
      <c r="R1392" s="549"/>
      <c r="S1392" s="549"/>
      <c r="T1392" s="549"/>
      <c r="U1392" s="549"/>
      <c r="V1392" s="549"/>
      <c r="W1392" s="549"/>
      <c r="X1392" s="549"/>
      <c r="Y1392" s="549"/>
      <c r="Z1392" s="549"/>
      <c r="AA1392" s="549"/>
      <c r="AB1392" s="549"/>
      <c r="AC1392" s="549"/>
      <c r="AD1392" s="549"/>
      <c r="AE1392" s="549"/>
      <c r="AF1392" s="549"/>
      <c r="AG1392" s="549"/>
      <c r="AH1392" s="549"/>
      <c r="AI1392" s="549"/>
      <c r="AJ1392" s="549"/>
      <c r="AK1392" s="549"/>
      <c r="AL1392" s="549"/>
      <c r="AM1392" s="549"/>
      <c r="AN1392" s="549"/>
      <c r="AO1392" s="549"/>
      <c r="AP1392" s="549"/>
      <c r="AQ1392" s="549"/>
      <c r="AR1392" s="549"/>
      <c r="AS1392" s="549"/>
      <c r="AT1392" s="549"/>
      <c r="AU1392" s="549"/>
      <c r="AV1392" s="549"/>
      <c r="AW1392" s="549"/>
      <c r="AX1392" s="549"/>
      <c r="AY1392" s="549"/>
      <c r="AZ1392" s="549"/>
      <c r="BA1392" s="549"/>
      <c r="BB1392" s="549"/>
      <c r="BC1392" s="549"/>
      <c r="BD1392" s="549"/>
      <c r="BE1392" s="549"/>
      <c r="BF1392" s="549"/>
      <c r="BG1392" s="549"/>
      <c r="BH1392" s="549"/>
      <c r="BI1392" s="549"/>
    </row>
    <row r="1393" spans="16:61" s="254" customFormat="1" ht="9.9">
      <c r="P1393" s="549"/>
      <c r="Q1393" s="549"/>
      <c r="R1393" s="549"/>
      <c r="S1393" s="549"/>
      <c r="T1393" s="549"/>
      <c r="U1393" s="549"/>
      <c r="V1393" s="549"/>
      <c r="W1393" s="549"/>
      <c r="X1393" s="549"/>
      <c r="Y1393" s="549"/>
      <c r="Z1393" s="549"/>
      <c r="AA1393" s="549"/>
      <c r="AB1393" s="549"/>
      <c r="AC1393" s="549"/>
      <c r="AD1393" s="549"/>
      <c r="AE1393" s="549"/>
      <c r="AF1393" s="549"/>
      <c r="AG1393" s="549"/>
      <c r="AH1393" s="549"/>
      <c r="AI1393" s="549"/>
      <c r="AJ1393" s="549"/>
      <c r="AK1393" s="549"/>
      <c r="AL1393" s="549"/>
      <c r="AM1393" s="549"/>
      <c r="AN1393" s="549"/>
      <c r="AO1393" s="549"/>
      <c r="AP1393" s="549"/>
      <c r="AQ1393" s="549"/>
      <c r="AR1393" s="549"/>
      <c r="AS1393" s="549"/>
      <c r="AT1393" s="549"/>
      <c r="AU1393" s="549"/>
      <c r="AV1393" s="549"/>
      <c r="AW1393" s="549"/>
      <c r="AX1393" s="549"/>
      <c r="AY1393" s="549"/>
      <c r="AZ1393" s="549"/>
      <c r="BA1393" s="549"/>
      <c r="BB1393" s="549"/>
      <c r="BC1393" s="549"/>
      <c r="BD1393" s="549"/>
      <c r="BE1393" s="549"/>
      <c r="BF1393" s="549"/>
      <c r="BG1393" s="549"/>
      <c r="BH1393" s="549"/>
      <c r="BI1393" s="549"/>
    </row>
    <row r="1394" spans="16:61" s="254" customFormat="1" ht="9.9">
      <c r="P1394" s="549"/>
      <c r="Q1394" s="549"/>
      <c r="R1394" s="549"/>
      <c r="S1394" s="549"/>
      <c r="T1394" s="549"/>
      <c r="U1394" s="549"/>
      <c r="V1394" s="549"/>
      <c r="W1394" s="549"/>
      <c r="X1394" s="549"/>
      <c r="Y1394" s="549"/>
      <c r="Z1394" s="549"/>
      <c r="AA1394" s="549"/>
      <c r="AB1394" s="549"/>
      <c r="AC1394" s="549"/>
      <c r="AD1394" s="549"/>
      <c r="AE1394" s="549"/>
      <c r="AF1394" s="549"/>
      <c r="AG1394" s="549"/>
      <c r="AH1394" s="549"/>
      <c r="AI1394" s="549"/>
      <c r="AJ1394" s="549"/>
      <c r="AK1394" s="549"/>
      <c r="AL1394" s="549"/>
      <c r="AM1394" s="549"/>
      <c r="AN1394" s="549"/>
      <c r="AO1394" s="549"/>
      <c r="AP1394" s="549"/>
      <c r="AQ1394" s="549"/>
      <c r="AR1394" s="549"/>
      <c r="AS1394" s="549"/>
      <c r="AT1394" s="549"/>
      <c r="AU1394" s="549"/>
      <c r="AV1394" s="549"/>
      <c r="AW1394" s="549"/>
      <c r="AX1394" s="549"/>
      <c r="AY1394" s="549"/>
      <c r="AZ1394" s="549"/>
      <c r="BA1394" s="549"/>
      <c r="BB1394" s="549"/>
      <c r="BC1394" s="549"/>
      <c r="BD1394" s="549"/>
      <c r="BE1394" s="549"/>
      <c r="BF1394" s="549"/>
      <c r="BG1394" s="549"/>
      <c r="BH1394" s="549"/>
      <c r="BI1394" s="549"/>
    </row>
    <row r="1395" spans="16:61" s="254" customFormat="1" ht="9.9">
      <c r="P1395" s="549"/>
      <c r="Q1395" s="549"/>
      <c r="R1395" s="549"/>
      <c r="S1395" s="549"/>
      <c r="T1395" s="549"/>
      <c r="U1395" s="549"/>
      <c r="V1395" s="549"/>
      <c r="W1395" s="549"/>
      <c r="X1395" s="549"/>
      <c r="Y1395" s="549"/>
      <c r="Z1395" s="549"/>
      <c r="AA1395" s="549"/>
      <c r="AB1395" s="549"/>
      <c r="AC1395" s="549"/>
      <c r="AD1395" s="549"/>
      <c r="AE1395" s="549"/>
      <c r="AF1395" s="549"/>
      <c r="AG1395" s="549"/>
      <c r="AH1395" s="549"/>
      <c r="AI1395" s="549"/>
      <c r="AJ1395" s="549"/>
      <c r="AK1395" s="549"/>
      <c r="AL1395" s="549"/>
      <c r="AM1395" s="549"/>
      <c r="AN1395" s="549"/>
      <c r="AO1395" s="549"/>
      <c r="AP1395" s="549"/>
      <c r="AQ1395" s="549"/>
      <c r="AR1395" s="549"/>
      <c r="AS1395" s="549"/>
      <c r="AT1395" s="549"/>
      <c r="AU1395" s="549"/>
      <c r="AV1395" s="549"/>
      <c r="AW1395" s="549"/>
      <c r="AX1395" s="549"/>
      <c r="AY1395" s="549"/>
      <c r="AZ1395" s="549"/>
      <c r="BA1395" s="549"/>
      <c r="BB1395" s="549"/>
      <c r="BC1395" s="549"/>
      <c r="BD1395" s="549"/>
      <c r="BE1395" s="549"/>
      <c r="BF1395" s="549"/>
      <c r="BG1395" s="549"/>
      <c r="BH1395" s="549"/>
      <c r="BI1395" s="549"/>
    </row>
    <row r="1396" spans="16:61" s="254" customFormat="1" ht="9.9">
      <c r="P1396" s="549"/>
      <c r="Q1396" s="549"/>
      <c r="R1396" s="549"/>
      <c r="S1396" s="549"/>
      <c r="T1396" s="549"/>
      <c r="U1396" s="549"/>
      <c r="V1396" s="549"/>
      <c r="W1396" s="549"/>
      <c r="X1396" s="549"/>
      <c r="Y1396" s="549"/>
      <c r="Z1396" s="549"/>
      <c r="AA1396" s="549"/>
      <c r="AB1396" s="549"/>
      <c r="AC1396" s="549"/>
      <c r="AD1396" s="549"/>
      <c r="AE1396" s="549"/>
      <c r="AF1396" s="549"/>
      <c r="AG1396" s="549"/>
      <c r="AH1396" s="549"/>
      <c r="AI1396" s="549"/>
      <c r="AJ1396" s="549"/>
      <c r="AK1396" s="549"/>
      <c r="AL1396" s="549"/>
      <c r="AM1396" s="549"/>
      <c r="AN1396" s="549"/>
      <c r="AO1396" s="549"/>
      <c r="AP1396" s="549"/>
      <c r="AQ1396" s="549"/>
      <c r="AR1396" s="549"/>
      <c r="AS1396" s="549"/>
      <c r="AT1396" s="549"/>
      <c r="AU1396" s="549"/>
      <c r="AV1396" s="549"/>
      <c r="AW1396" s="549"/>
      <c r="AX1396" s="549"/>
      <c r="AY1396" s="549"/>
      <c r="AZ1396" s="549"/>
      <c r="BA1396" s="549"/>
      <c r="BB1396" s="549"/>
      <c r="BC1396" s="549"/>
      <c r="BD1396" s="549"/>
      <c r="BE1396" s="549"/>
      <c r="BF1396" s="549"/>
      <c r="BG1396" s="549"/>
      <c r="BH1396" s="549"/>
      <c r="BI1396" s="549"/>
    </row>
    <row r="1397" spans="16:61" s="254" customFormat="1" ht="9.9">
      <c r="P1397" s="549"/>
      <c r="Q1397" s="549"/>
      <c r="R1397" s="549"/>
      <c r="S1397" s="549"/>
      <c r="T1397" s="549"/>
      <c r="U1397" s="549"/>
      <c r="V1397" s="549"/>
      <c r="W1397" s="549"/>
      <c r="X1397" s="549"/>
      <c r="Y1397" s="549"/>
      <c r="Z1397" s="549"/>
      <c r="AA1397" s="549"/>
      <c r="AB1397" s="549"/>
      <c r="AC1397" s="549"/>
      <c r="AD1397" s="549"/>
      <c r="AE1397" s="549"/>
      <c r="AF1397" s="549"/>
      <c r="AG1397" s="549"/>
      <c r="AH1397" s="549"/>
      <c r="AI1397" s="549"/>
      <c r="AJ1397" s="549"/>
      <c r="AK1397" s="549"/>
      <c r="AL1397" s="549"/>
      <c r="AM1397" s="549"/>
      <c r="AN1397" s="549"/>
      <c r="AO1397" s="549"/>
      <c r="AP1397" s="549"/>
      <c r="AQ1397" s="549"/>
      <c r="AR1397" s="549"/>
      <c r="AS1397" s="549"/>
      <c r="AT1397" s="549"/>
      <c r="AU1397" s="549"/>
      <c r="AV1397" s="549"/>
      <c r="AW1397" s="549"/>
      <c r="AX1397" s="549"/>
      <c r="AY1397" s="549"/>
      <c r="AZ1397" s="549"/>
      <c r="BA1397" s="549"/>
      <c r="BB1397" s="549"/>
      <c r="BC1397" s="549"/>
      <c r="BD1397" s="549"/>
      <c r="BE1397" s="549"/>
      <c r="BF1397" s="549"/>
      <c r="BG1397" s="549"/>
      <c r="BH1397" s="549"/>
      <c r="BI1397" s="549"/>
    </row>
    <row r="1398" spans="16:61" s="254" customFormat="1" ht="9.9">
      <c r="P1398" s="549"/>
      <c r="Q1398" s="549"/>
      <c r="R1398" s="549"/>
      <c r="S1398" s="549"/>
      <c r="T1398" s="549"/>
      <c r="U1398" s="549"/>
      <c r="V1398" s="549"/>
      <c r="W1398" s="549"/>
      <c r="X1398" s="549"/>
      <c r="Y1398" s="549"/>
      <c r="Z1398" s="549"/>
      <c r="AA1398" s="549"/>
      <c r="AB1398" s="549"/>
      <c r="AC1398" s="549"/>
      <c r="AD1398" s="549"/>
      <c r="AE1398" s="549"/>
      <c r="AF1398" s="549"/>
      <c r="AG1398" s="549"/>
      <c r="AH1398" s="549"/>
      <c r="AI1398" s="549"/>
      <c r="AJ1398" s="549"/>
      <c r="AK1398" s="549"/>
      <c r="AL1398" s="549"/>
      <c r="AM1398" s="549"/>
      <c r="AN1398" s="549"/>
      <c r="AO1398" s="549"/>
      <c r="AP1398" s="549"/>
      <c r="AQ1398" s="549"/>
      <c r="AR1398" s="549"/>
      <c r="AS1398" s="549"/>
      <c r="AT1398" s="549"/>
      <c r="AU1398" s="549"/>
      <c r="AV1398" s="549"/>
      <c r="AW1398" s="549"/>
      <c r="AX1398" s="549"/>
      <c r="AY1398" s="549"/>
      <c r="AZ1398" s="549"/>
      <c r="BA1398" s="549"/>
      <c r="BB1398" s="549"/>
      <c r="BC1398" s="549"/>
      <c r="BD1398" s="549"/>
      <c r="BE1398" s="549"/>
      <c r="BF1398" s="549"/>
      <c r="BG1398" s="549"/>
      <c r="BH1398" s="549"/>
      <c r="BI1398" s="549"/>
    </row>
    <row r="1399" spans="16:61" s="254" customFormat="1" ht="9.9">
      <c r="P1399" s="549"/>
      <c r="Q1399" s="549"/>
      <c r="R1399" s="549"/>
      <c r="S1399" s="549"/>
      <c r="T1399" s="549"/>
      <c r="U1399" s="549"/>
      <c r="V1399" s="549"/>
      <c r="W1399" s="549"/>
      <c r="X1399" s="549"/>
      <c r="Y1399" s="549"/>
      <c r="Z1399" s="549"/>
      <c r="AA1399" s="549"/>
      <c r="AB1399" s="549"/>
      <c r="AC1399" s="549"/>
      <c r="AD1399" s="549"/>
      <c r="AE1399" s="549"/>
      <c r="AF1399" s="549"/>
      <c r="AG1399" s="549"/>
      <c r="AH1399" s="549"/>
      <c r="AI1399" s="549"/>
      <c r="AJ1399" s="549"/>
      <c r="AK1399" s="549"/>
      <c r="AL1399" s="549"/>
      <c r="AM1399" s="549"/>
      <c r="AN1399" s="549"/>
      <c r="AO1399" s="549"/>
      <c r="AP1399" s="549"/>
      <c r="AQ1399" s="549"/>
      <c r="AR1399" s="549"/>
      <c r="AS1399" s="549"/>
      <c r="AT1399" s="549"/>
      <c r="AU1399" s="549"/>
      <c r="AV1399" s="549"/>
      <c r="AW1399" s="549"/>
      <c r="AX1399" s="549"/>
      <c r="AY1399" s="549"/>
      <c r="AZ1399" s="549"/>
      <c r="BA1399" s="549"/>
      <c r="BB1399" s="549"/>
      <c r="BC1399" s="549"/>
      <c r="BD1399" s="549"/>
      <c r="BE1399" s="549"/>
      <c r="BF1399" s="549"/>
      <c r="BG1399" s="549"/>
      <c r="BH1399" s="549"/>
      <c r="BI1399" s="549"/>
    </row>
    <row r="1400" spans="16:61" s="254" customFormat="1" ht="9.9">
      <c r="P1400" s="549"/>
      <c r="Q1400" s="549"/>
      <c r="R1400" s="549"/>
      <c r="S1400" s="549"/>
      <c r="T1400" s="549"/>
      <c r="U1400" s="549"/>
      <c r="V1400" s="549"/>
      <c r="W1400" s="549"/>
      <c r="X1400" s="549"/>
      <c r="Y1400" s="549"/>
      <c r="Z1400" s="549"/>
      <c r="AA1400" s="549"/>
      <c r="AB1400" s="549"/>
      <c r="AC1400" s="549"/>
      <c r="AD1400" s="549"/>
      <c r="AE1400" s="549"/>
      <c r="AF1400" s="549"/>
      <c r="AG1400" s="549"/>
      <c r="AH1400" s="549"/>
      <c r="AI1400" s="549"/>
      <c r="AJ1400" s="549"/>
      <c r="AK1400" s="549"/>
      <c r="AL1400" s="549"/>
      <c r="AM1400" s="549"/>
      <c r="AN1400" s="549"/>
      <c r="AO1400" s="549"/>
      <c r="AP1400" s="549"/>
      <c r="AQ1400" s="549"/>
      <c r="AR1400" s="549"/>
      <c r="AS1400" s="549"/>
      <c r="AT1400" s="549"/>
      <c r="AU1400" s="549"/>
      <c r="AV1400" s="549"/>
      <c r="AW1400" s="549"/>
      <c r="AX1400" s="549"/>
      <c r="AY1400" s="549"/>
      <c r="AZ1400" s="549"/>
      <c r="BA1400" s="549"/>
      <c r="BB1400" s="549"/>
      <c r="BC1400" s="549"/>
      <c r="BD1400" s="549"/>
      <c r="BE1400" s="549"/>
      <c r="BF1400" s="549"/>
      <c r="BG1400" s="549"/>
      <c r="BH1400" s="549"/>
      <c r="BI1400" s="549"/>
    </row>
    <row r="1401" spans="16:61" s="254" customFormat="1" ht="9.9">
      <c r="P1401" s="549"/>
      <c r="Q1401" s="549"/>
      <c r="R1401" s="549"/>
      <c r="S1401" s="549"/>
      <c r="T1401" s="549"/>
      <c r="U1401" s="549"/>
      <c r="V1401" s="549"/>
      <c r="W1401" s="549"/>
      <c r="X1401" s="549"/>
      <c r="Y1401" s="549"/>
      <c r="Z1401" s="549"/>
      <c r="AA1401" s="549"/>
      <c r="AB1401" s="549"/>
      <c r="AC1401" s="549"/>
      <c r="AD1401" s="549"/>
      <c r="AE1401" s="549"/>
      <c r="AF1401" s="549"/>
      <c r="AG1401" s="549"/>
      <c r="AH1401" s="549"/>
      <c r="AI1401" s="549"/>
      <c r="AJ1401" s="549"/>
      <c r="AK1401" s="549"/>
      <c r="AL1401" s="549"/>
      <c r="AM1401" s="549"/>
      <c r="AN1401" s="549"/>
      <c r="AO1401" s="549"/>
      <c r="AP1401" s="549"/>
      <c r="AQ1401" s="549"/>
      <c r="AR1401" s="549"/>
      <c r="AS1401" s="549"/>
      <c r="AT1401" s="549"/>
      <c r="AU1401" s="549"/>
      <c r="AV1401" s="549"/>
      <c r="AW1401" s="549"/>
      <c r="AX1401" s="549"/>
      <c r="AY1401" s="549"/>
      <c r="AZ1401" s="549"/>
      <c r="BA1401" s="549"/>
      <c r="BB1401" s="549"/>
      <c r="BC1401" s="549"/>
      <c r="BD1401" s="549"/>
      <c r="BE1401" s="549"/>
      <c r="BF1401" s="549"/>
      <c r="BG1401" s="549"/>
      <c r="BH1401" s="549"/>
      <c r="BI1401" s="549"/>
    </row>
    <row r="1402" spans="16:61" s="254" customFormat="1" ht="9.9">
      <c r="P1402" s="549"/>
      <c r="Q1402" s="549"/>
      <c r="R1402" s="549"/>
      <c r="S1402" s="549"/>
      <c r="T1402" s="549"/>
      <c r="U1402" s="549"/>
      <c r="V1402" s="549"/>
      <c r="W1402" s="549"/>
      <c r="X1402" s="549"/>
      <c r="Y1402" s="549"/>
      <c r="Z1402" s="549"/>
      <c r="AA1402" s="549"/>
      <c r="AB1402" s="549"/>
      <c r="AC1402" s="549"/>
      <c r="AD1402" s="549"/>
      <c r="AE1402" s="549"/>
      <c r="AF1402" s="549"/>
      <c r="AG1402" s="549"/>
      <c r="AH1402" s="549"/>
      <c r="AI1402" s="549"/>
      <c r="AJ1402" s="549"/>
      <c r="AK1402" s="549"/>
      <c r="AL1402" s="549"/>
      <c r="AM1402" s="549"/>
      <c r="AN1402" s="549"/>
      <c r="AO1402" s="549"/>
      <c r="AP1402" s="549"/>
      <c r="AQ1402" s="549"/>
      <c r="AR1402" s="549"/>
      <c r="AS1402" s="549"/>
      <c r="AT1402" s="549"/>
      <c r="AU1402" s="549"/>
      <c r="AV1402" s="549"/>
      <c r="AW1402" s="549"/>
      <c r="AX1402" s="549"/>
      <c r="AY1402" s="549"/>
      <c r="AZ1402" s="549"/>
      <c r="BA1402" s="549"/>
      <c r="BB1402" s="549"/>
      <c r="BC1402" s="549"/>
      <c r="BD1402" s="549"/>
      <c r="BE1402" s="549"/>
      <c r="BF1402" s="549"/>
      <c r="BG1402" s="549"/>
      <c r="BH1402" s="549"/>
      <c r="BI1402" s="549"/>
    </row>
    <row r="1403" spans="16:61" s="254" customFormat="1" ht="9.9">
      <c r="P1403" s="549"/>
      <c r="Q1403" s="549"/>
      <c r="R1403" s="549"/>
      <c r="S1403" s="549"/>
      <c r="T1403" s="549"/>
      <c r="U1403" s="549"/>
      <c r="V1403" s="549"/>
      <c r="W1403" s="549"/>
      <c r="X1403" s="549"/>
      <c r="Y1403" s="549"/>
      <c r="Z1403" s="549"/>
      <c r="AA1403" s="549"/>
      <c r="AB1403" s="549"/>
      <c r="AC1403" s="549"/>
      <c r="AD1403" s="549"/>
      <c r="AE1403" s="549"/>
      <c r="AF1403" s="549"/>
      <c r="AG1403" s="549"/>
      <c r="AH1403" s="549"/>
      <c r="AI1403" s="549"/>
      <c r="AJ1403" s="549"/>
      <c r="AK1403" s="549"/>
      <c r="AL1403" s="549"/>
      <c r="AM1403" s="549"/>
      <c r="AN1403" s="549"/>
      <c r="AO1403" s="549"/>
      <c r="AP1403" s="549"/>
      <c r="AQ1403" s="549"/>
      <c r="AR1403" s="549"/>
      <c r="AS1403" s="549"/>
      <c r="AT1403" s="549"/>
      <c r="AU1403" s="549"/>
      <c r="AV1403" s="549"/>
      <c r="AW1403" s="549"/>
      <c r="AX1403" s="549"/>
      <c r="AY1403" s="549"/>
      <c r="AZ1403" s="549"/>
      <c r="BA1403" s="549"/>
      <c r="BB1403" s="549"/>
      <c r="BC1403" s="549"/>
      <c r="BD1403" s="549"/>
      <c r="BE1403" s="549"/>
      <c r="BF1403" s="549"/>
      <c r="BG1403" s="549"/>
      <c r="BH1403" s="549"/>
      <c r="BI1403" s="549"/>
    </row>
    <row r="1404" spans="16:61" s="254" customFormat="1" ht="9.9">
      <c r="P1404" s="549"/>
      <c r="Q1404" s="549"/>
      <c r="R1404" s="549"/>
      <c r="S1404" s="549"/>
      <c r="T1404" s="549"/>
      <c r="U1404" s="549"/>
      <c r="V1404" s="549"/>
      <c r="W1404" s="549"/>
      <c r="X1404" s="549"/>
      <c r="Y1404" s="549"/>
      <c r="Z1404" s="549"/>
      <c r="AA1404" s="549"/>
      <c r="AB1404" s="549"/>
      <c r="AC1404" s="549"/>
      <c r="AD1404" s="549"/>
      <c r="AE1404" s="549"/>
      <c r="AF1404" s="549"/>
      <c r="AG1404" s="549"/>
      <c r="AH1404" s="549"/>
      <c r="AI1404" s="549"/>
      <c r="AJ1404" s="549"/>
      <c r="AK1404" s="549"/>
      <c r="AL1404" s="549"/>
      <c r="AM1404" s="549"/>
      <c r="AN1404" s="549"/>
      <c r="AO1404" s="549"/>
      <c r="AP1404" s="549"/>
      <c r="AQ1404" s="549"/>
      <c r="AR1404" s="549"/>
      <c r="AS1404" s="549"/>
      <c r="AT1404" s="549"/>
      <c r="AU1404" s="549"/>
      <c r="AV1404" s="549"/>
      <c r="AW1404" s="549"/>
      <c r="AX1404" s="549"/>
      <c r="AY1404" s="549"/>
      <c r="AZ1404" s="549"/>
      <c r="BA1404" s="549"/>
      <c r="BB1404" s="549"/>
      <c r="BC1404" s="549"/>
      <c r="BD1404" s="549"/>
      <c r="BE1404" s="549"/>
      <c r="BF1404" s="549"/>
      <c r="BG1404" s="549"/>
      <c r="BH1404" s="549"/>
      <c r="BI1404" s="549"/>
    </row>
    <row r="1405" spans="16:61" s="254" customFormat="1" ht="9.9">
      <c r="P1405" s="549"/>
      <c r="Q1405" s="549"/>
      <c r="R1405" s="549"/>
      <c r="S1405" s="549"/>
      <c r="T1405" s="549"/>
      <c r="U1405" s="549"/>
      <c r="V1405" s="549"/>
      <c r="W1405" s="549"/>
      <c r="X1405" s="549"/>
      <c r="Y1405" s="549"/>
      <c r="Z1405" s="549"/>
      <c r="AA1405" s="549"/>
      <c r="AB1405" s="549"/>
      <c r="AC1405" s="549"/>
      <c r="AD1405" s="549"/>
      <c r="AE1405" s="549"/>
      <c r="AF1405" s="549"/>
      <c r="AG1405" s="549"/>
      <c r="AH1405" s="549"/>
      <c r="AI1405" s="549"/>
      <c r="AJ1405" s="549"/>
      <c r="AK1405" s="549"/>
      <c r="AL1405" s="549"/>
      <c r="AM1405" s="549"/>
      <c r="AN1405" s="549"/>
      <c r="AO1405" s="549"/>
      <c r="AP1405" s="549"/>
      <c r="AQ1405" s="549"/>
      <c r="AR1405" s="549"/>
      <c r="AS1405" s="549"/>
      <c r="AT1405" s="549"/>
      <c r="AU1405" s="549"/>
      <c r="AV1405" s="549"/>
      <c r="AW1405" s="549"/>
      <c r="AX1405" s="549"/>
      <c r="AY1405" s="549"/>
      <c r="AZ1405" s="549"/>
      <c r="BA1405" s="549"/>
      <c r="BB1405" s="549"/>
      <c r="BC1405" s="549"/>
      <c r="BD1405" s="549"/>
      <c r="BE1405" s="549"/>
      <c r="BF1405" s="549"/>
      <c r="BG1405" s="549"/>
      <c r="BH1405" s="549"/>
      <c r="BI1405" s="549"/>
    </row>
    <row r="1406" spans="16:61" s="254" customFormat="1" ht="9.9">
      <c r="P1406" s="549"/>
      <c r="Q1406" s="549"/>
      <c r="R1406" s="549"/>
      <c r="S1406" s="549"/>
      <c r="T1406" s="549"/>
      <c r="U1406" s="549"/>
      <c r="V1406" s="549"/>
      <c r="W1406" s="549"/>
      <c r="X1406" s="549"/>
      <c r="Y1406" s="549"/>
      <c r="Z1406" s="549"/>
      <c r="AA1406" s="549"/>
      <c r="AB1406" s="549"/>
      <c r="AC1406" s="549"/>
      <c r="AD1406" s="549"/>
      <c r="AE1406" s="549"/>
      <c r="AF1406" s="549"/>
      <c r="AG1406" s="549"/>
      <c r="AH1406" s="549"/>
      <c r="AI1406" s="549"/>
      <c r="AJ1406" s="549"/>
      <c r="AK1406" s="549"/>
      <c r="AL1406" s="549"/>
      <c r="AM1406" s="549"/>
      <c r="AN1406" s="549"/>
      <c r="AO1406" s="549"/>
      <c r="AP1406" s="549"/>
      <c r="AQ1406" s="549"/>
      <c r="AR1406" s="549"/>
      <c r="AS1406" s="549"/>
      <c r="AT1406" s="549"/>
      <c r="AU1406" s="549"/>
      <c r="AV1406" s="549"/>
      <c r="AW1406" s="549"/>
      <c r="AX1406" s="549"/>
      <c r="AY1406" s="549"/>
      <c r="AZ1406" s="549"/>
      <c r="BA1406" s="549"/>
      <c r="BB1406" s="549"/>
      <c r="BC1406" s="549"/>
      <c r="BD1406" s="549"/>
      <c r="BE1406" s="549"/>
      <c r="BF1406" s="549"/>
      <c r="BG1406" s="549"/>
      <c r="BH1406" s="549"/>
      <c r="BI1406" s="549"/>
    </row>
    <row r="1407" spans="16:61" s="254" customFormat="1" ht="9.9">
      <c r="P1407" s="549"/>
      <c r="Q1407" s="549"/>
      <c r="R1407" s="549"/>
      <c r="S1407" s="549"/>
      <c r="T1407" s="549"/>
      <c r="U1407" s="549"/>
      <c r="V1407" s="549"/>
      <c r="W1407" s="549"/>
      <c r="X1407" s="549"/>
      <c r="Y1407" s="549"/>
      <c r="Z1407" s="549"/>
      <c r="AA1407" s="549"/>
      <c r="AB1407" s="549"/>
      <c r="AC1407" s="549"/>
      <c r="AD1407" s="549"/>
      <c r="AE1407" s="549"/>
      <c r="AF1407" s="549"/>
      <c r="AG1407" s="549"/>
      <c r="AH1407" s="549"/>
      <c r="AI1407" s="549"/>
      <c r="AJ1407" s="549"/>
      <c r="AK1407" s="549"/>
      <c r="AL1407" s="549"/>
      <c r="AM1407" s="549"/>
      <c r="AN1407" s="549"/>
      <c r="AO1407" s="549"/>
      <c r="AP1407" s="549"/>
      <c r="AQ1407" s="549"/>
      <c r="AR1407" s="549"/>
      <c r="AS1407" s="549"/>
      <c r="AT1407" s="549"/>
      <c r="AU1407" s="549"/>
      <c r="AV1407" s="549"/>
      <c r="AW1407" s="549"/>
      <c r="AX1407" s="549"/>
      <c r="AY1407" s="549"/>
      <c r="AZ1407" s="549"/>
      <c r="BA1407" s="549"/>
      <c r="BB1407" s="549"/>
      <c r="BC1407" s="549"/>
      <c r="BD1407" s="549"/>
      <c r="BE1407" s="549"/>
      <c r="BF1407" s="549"/>
      <c r="BG1407" s="549"/>
      <c r="BH1407" s="549"/>
      <c r="BI1407" s="549"/>
    </row>
    <row r="1408" spans="16:61" s="254" customFormat="1" ht="9.9">
      <c r="P1408" s="549"/>
      <c r="Q1408" s="549"/>
      <c r="R1408" s="549"/>
      <c r="S1408" s="549"/>
      <c r="T1408" s="549"/>
      <c r="U1408" s="549"/>
      <c r="V1408" s="549"/>
      <c r="W1408" s="549"/>
      <c r="X1408" s="549"/>
      <c r="Y1408" s="549"/>
      <c r="Z1408" s="549"/>
      <c r="AA1408" s="549"/>
      <c r="AB1408" s="549"/>
      <c r="AC1408" s="549"/>
      <c r="AD1408" s="549"/>
      <c r="AE1408" s="549"/>
      <c r="AF1408" s="549"/>
      <c r="AG1408" s="549"/>
      <c r="AH1408" s="549"/>
      <c r="AI1408" s="549"/>
      <c r="AJ1408" s="549"/>
      <c r="AK1408" s="549"/>
      <c r="AL1408" s="549"/>
      <c r="AM1408" s="549"/>
      <c r="AN1408" s="549"/>
      <c r="AO1408" s="549"/>
      <c r="AP1408" s="549"/>
      <c r="AQ1408" s="549"/>
      <c r="AR1408" s="549"/>
      <c r="AS1408" s="549"/>
      <c r="AT1408" s="549"/>
      <c r="AU1408" s="549"/>
      <c r="AV1408" s="549"/>
      <c r="AW1408" s="549"/>
      <c r="AX1408" s="549"/>
      <c r="AY1408" s="549"/>
      <c r="AZ1408" s="549"/>
      <c r="BA1408" s="549"/>
      <c r="BB1408" s="549"/>
      <c r="BC1408" s="549"/>
      <c r="BD1408" s="549"/>
      <c r="BE1408" s="549"/>
      <c r="BF1408" s="549"/>
      <c r="BG1408" s="549"/>
      <c r="BH1408" s="549"/>
      <c r="BI1408" s="549"/>
    </row>
    <row r="1409" spans="16:61" s="254" customFormat="1" ht="9.9">
      <c r="P1409" s="549"/>
      <c r="Q1409" s="549"/>
      <c r="R1409" s="549"/>
      <c r="S1409" s="549"/>
      <c r="T1409" s="549"/>
      <c r="U1409" s="549"/>
      <c r="V1409" s="549"/>
      <c r="W1409" s="549"/>
      <c r="X1409" s="549"/>
      <c r="Y1409" s="549"/>
      <c r="Z1409" s="549"/>
      <c r="AA1409" s="549"/>
      <c r="AB1409" s="549"/>
      <c r="AC1409" s="549"/>
      <c r="AD1409" s="549"/>
      <c r="AE1409" s="549"/>
      <c r="AF1409" s="549"/>
      <c r="AG1409" s="549"/>
      <c r="AH1409" s="549"/>
      <c r="AI1409" s="549"/>
      <c r="AJ1409" s="549"/>
      <c r="AK1409" s="549"/>
      <c r="AL1409" s="549"/>
      <c r="AM1409" s="549"/>
      <c r="AN1409" s="549"/>
      <c r="AO1409" s="549"/>
      <c r="AP1409" s="549"/>
      <c r="AQ1409" s="549"/>
      <c r="AR1409" s="549"/>
      <c r="AS1409" s="549"/>
      <c r="AT1409" s="549"/>
      <c r="AU1409" s="549"/>
      <c r="AV1409" s="549"/>
      <c r="AW1409" s="549"/>
      <c r="AX1409" s="549"/>
      <c r="AY1409" s="549"/>
      <c r="AZ1409" s="549"/>
      <c r="BA1409" s="549"/>
      <c r="BB1409" s="549"/>
      <c r="BC1409" s="549"/>
      <c r="BD1409" s="549"/>
      <c r="BE1409" s="549"/>
      <c r="BF1409" s="549"/>
      <c r="BG1409" s="549"/>
      <c r="BH1409" s="549"/>
      <c r="BI1409" s="549"/>
    </row>
    <row r="1410" spans="16:61" s="254" customFormat="1" ht="9.9">
      <c r="P1410" s="549"/>
      <c r="Q1410" s="549"/>
      <c r="R1410" s="549"/>
      <c r="S1410" s="549"/>
      <c r="T1410" s="549"/>
      <c r="U1410" s="549"/>
      <c r="V1410" s="549"/>
      <c r="W1410" s="549"/>
      <c r="X1410" s="549"/>
      <c r="Y1410" s="549"/>
      <c r="Z1410" s="549"/>
      <c r="AA1410" s="549"/>
      <c r="AB1410" s="549"/>
      <c r="AC1410" s="549"/>
      <c r="AD1410" s="549"/>
      <c r="AE1410" s="549"/>
      <c r="AF1410" s="549"/>
      <c r="AG1410" s="549"/>
      <c r="AH1410" s="549"/>
      <c r="AI1410" s="549"/>
      <c r="AJ1410" s="549"/>
      <c r="AK1410" s="549"/>
      <c r="AL1410" s="549"/>
      <c r="AM1410" s="549"/>
      <c r="AN1410" s="549"/>
      <c r="AO1410" s="549"/>
      <c r="AP1410" s="549"/>
      <c r="AQ1410" s="549"/>
      <c r="AR1410" s="549"/>
      <c r="AS1410" s="549"/>
      <c r="AT1410" s="549"/>
      <c r="AU1410" s="549"/>
      <c r="AV1410" s="549"/>
      <c r="AW1410" s="549"/>
      <c r="AX1410" s="549"/>
      <c r="AY1410" s="549"/>
      <c r="AZ1410" s="549"/>
      <c r="BA1410" s="549"/>
      <c r="BB1410" s="549"/>
      <c r="BC1410" s="549"/>
      <c r="BD1410" s="549"/>
      <c r="BE1410" s="549"/>
      <c r="BF1410" s="549"/>
      <c r="BG1410" s="549"/>
      <c r="BH1410" s="549"/>
      <c r="BI1410" s="549"/>
    </row>
    <row r="1411" spans="16:61" s="254" customFormat="1" ht="9.9">
      <c r="P1411" s="549"/>
      <c r="Q1411" s="549"/>
      <c r="R1411" s="549"/>
      <c r="S1411" s="549"/>
      <c r="T1411" s="549"/>
      <c r="U1411" s="549"/>
      <c r="V1411" s="549"/>
      <c r="W1411" s="549"/>
      <c r="X1411" s="549"/>
      <c r="Y1411" s="549"/>
      <c r="Z1411" s="549"/>
      <c r="AA1411" s="549"/>
      <c r="AB1411" s="549"/>
      <c r="AC1411" s="549"/>
      <c r="AD1411" s="549"/>
      <c r="AE1411" s="549"/>
      <c r="AF1411" s="549"/>
      <c r="AG1411" s="549"/>
      <c r="AH1411" s="549"/>
      <c r="AI1411" s="549"/>
      <c r="AJ1411" s="549"/>
      <c r="AK1411" s="549"/>
      <c r="AL1411" s="549"/>
      <c r="AM1411" s="549"/>
      <c r="AN1411" s="549"/>
      <c r="AO1411" s="549"/>
      <c r="AP1411" s="549"/>
      <c r="AQ1411" s="549"/>
      <c r="AR1411" s="549"/>
      <c r="AS1411" s="549"/>
      <c r="AT1411" s="549"/>
      <c r="AU1411" s="549"/>
      <c r="AV1411" s="549"/>
      <c r="AW1411" s="549"/>
      <c r="AX1411" s="549"/>
      <c r="AY1411" s="549"/>
      <c r="AZ1411" s="549"/>
      <c r="BA1411" s="549"/>
      <c r="BB1411" s="549"/>
      <c r="BC1411" s="549"/>
      <c r="BD1411" s="549"/>
      <c r="BE1411" s="549"/>
      <c r="BF1411" s="549"/>
      <c r="BG1411" s="549"/>
      <c r="BH1411" s="549"/>
      <c r="BI1411" s="549"/>
    </row>
    <row r="1412" spans="16:61" s="254" customFormat="1" ht="9.9">
      <c r="P1412" s="549"/>
      <c r="Q1412" s="549"/>
      <c r="R1412" s="549"/>
      <c r="S1412" s="549"/>
      <c r="T1412" s="549"/>
      <c r="U1412" s="549"/>
      <c r="V1412" s="549"/>
      <c r="W1412" s="549"/>
      <c r="X1412" s="549"/>
      <c r="Y1412" s="549"/>
      <c r="Z1412" s="549"/>
      <c r="AA1412" s="549"/>
      <c r="AB1412" s="549"/>
      <c r="AC1412" s="549"/>
      <c r="AD1412" s="549"/>
      <c r="AE1412" s="549"/>
      <c r="AF1412" s="549"/>
      <c r="AG1412" s="549"/>
      <c r="AH1412" s="549"/>
      <c r="AI1412" s="549"/>
      <c r="AJ1412" s="549"/>
      <c r="AK1412" s="549"/>
      <c r="AL1412" s="549"/>
      <c r="AM1412" s="549"/>
      <c r="AN1412" s="549"/>
      <c r="AO1412" s="549"/>
      <c r="AP1412" s="549"/>
      <c r="AQ1412" s="549"/>
      <c r="AR1412" s="549"/>
      <c r="AS1412" s="549"/>
      <c r="AT1412" s="549"/>
      <c r="AU1412" s="549"/>
      <c r="AV1412" s="549"/>
      <c r="AW1412" s="549"/>
      <c r="AX1412" s="549"/>
      <c r="AY1412" s="549"/>
      <c r="AZ1412" s="549"/>
      <c r="BA1412" s="549"/>
      <c r="BB1412" s="549"/>
      <c r="BC1412" s="549"/>
      <c r="BD1412" s="549"/>
      <c r="BE1412" s="549"/>
      <c r="BF1412" s="549"/>
      <c r="BG1412" s="549"/>
      <c r="BH1412" s="549"/>
      <c r="BI1412" s="549"/>
    </row>
    <row r="1413" spans="16:61" s="254" customFormat="1" ht="9.9">
      <c r="P1413" s="549"/>
      <c r="Q1413" s="549"/>
      <c r="R1413" s="549"/>
      <c r="S1413" s="549"/>
      <c r="T1413" s="549"/>
      <c r="U1413" s="549"/>
      <c r="V1413" s="549"/>
      <c r="W1413" s="549"/>
      <c r="X1413" s="549"/>
      <c r="Y1413" s="549"/>
      <c r="Z1413" s="549"/>
      <c r="AA1413" s="549"/>
      <c r="AB1413" s="549"/>
      <c r="AC1413" s="549"/>
      <c r="AD1413" s="549"/>
      <c r="AE1413" s="549"/>
      <c r="AF1413" s="549"/>
      <c r="AG1413" s="549"/>
      <c r="AH1413" s="549"/>
      <c r="AI1413" s="549"/>
      <c r="AJ1413" s="549"/>
      <c r="AK1413" s="549"/>
      <c r="AL1413" s="549"/>
      <c r="AM1413" s="549"/>
      <c r="AN1413" s="549"/>
      <c r="AO1413" s="549"/>
      <c r="AP1413" s="549"/>
      <c r="AQ1413" s="549"/>
      <c r="AR1413" s="549"/>
      <c r="AS1413" s="549"/>
      <c r="AT1413" s="549"/>
      <c r="AU1413" s="549"/>
      <c r="AV1413" s="549"/>
      <c r="AW1413" s="549"/>
      <c r="AX1413" s="549"/>
      <c r="AY1413" s="549"/>
      <c r="AZ1413" s="549"/>
      <c r="BA1413" s="549"/>
      <c r="BB1413" s="549"/>
      <c r="BC1413" s="549"/>
      <c r="BD1413" s="549"/>
      <c r="BE1413" s="549"/>
      <c r="BF1413" s="549"/>
      <c r="BG1413" s="549"/>
      <c r="BH1413" s="549"/>
      <c r="BI1413" s="549"/>
    </row>
    <row r="1414" spans="16:61" s="254" customFormat="1" ht="9.9">
      <c r="P1414" s="549"/>
      <c r="Q1414" s="549"/>
      <c r="R1414" s="549"/>
      <c r="S1414" s="549"/>
      <c r="T1414" s="549"/>
      <c r="U1414" s="549"/>
      <c r="V1414" s="549"/>
      <c r="W1414" s="549"/>
      <c r="X1414" s="549"/>
      <c r="Y1414" s="549"/>
      <c r="Z1414" s="549"/>
      <c r="AA1414" s="549"/>
      <c r="AB1414" s="549"/>
      <c r="AC1414" s="549"/>
      <c r="AD1414" s="549"/>
      <c r="AE1414" s="549"/>
      <c r="AF1414" s="549"/>
      <c r="AG1414" s="549"/>
      <c r="AH1414" s="549"/>
      <c r="AI1414" s="549"/>
      <c r="AJ1414" s="549"/>
      <c r="AK1414" s="549"/>
      <c r="AL1414" s="549"/>
      <c r="AM1414" s="549"/>
      <c r="AN1414" s="549"/>
      <c r="AO1414" s="549"/>
      <c r="AP1414" s="549"/>
      <c r="AQ1414" s="549"/>
      <c r="AR1414" s="549"/>
      <c r="AS1414" s="549"/>
      <c r="AT1414" s="549"/>
      <c r="AU1414" s="549"/>
      <c r="AV1414" s="549"/>
      <c r="AW1414" s="549"/>
      <c r="AX1414" s="549"/>
      <c r="AY1414" s="549"/>
      <c r="AZ1414" s="549"/>
      <c r="BA1414" s="549"/>
      <c r="BB1414" s="549"/>
      <c r="BC1414" s="549"/>
      <c r="BD1414" s="549"/>
      <c r="BE1414" s="549"/>
      <c r="BF1414" s="549"/>
      <c r="BG1414" s="549"/>
      <c r="BH1414" s="549"/>
      <c r="BI1414" s="549"/>
    </row>
    <row r="1415" spans="16:61" s="254" customFormat="1" ht="9.9">
      <c r="P1415" s="549"/>
      <c r="Q1415" s="549"/>
      <c r="R1415" s="549"/>
      <c r="S1415" s="549"/>
      <c r="T1415" s="549"/>
      <c r="U1415" s="549"/>
      <c r="V1415" s="549"/>
      <c r="W1415" s="549"/>
      <c r="X1415" s="549"/>
      <c r="Y1415" s="549"/>
      <c r="Z1415" s="549"/>
      <c r="AA1415" s="549"/>
      <c r="AB1415" s="549"/>
      <c r="AC1415" s="549"/>
      <c r="AD1415" s="549"/>
      <c r="AE1415" s="549"/>
      <c r="AF1415" s="549"/>
      <c r="AG1415" s="549"/>
      <c r="AH1415" s="549"/>
      <c r="AI1415" s="549"/>
      <c r="AJ1415" s="549"/>
      <c r="AK1415" s="549"/>
      <c r="AL1415" s="549"/>
      <c r="AM1415" s="549"/>
      <c r="AN1415" s="549"/>
      <c r="AO1415" s="549"/>
      <c r="AP1415" s="549"/>
      <c r="AQ1415" s="549"/>
      <c r="AR1415" s="549"/>
      <c r="AS1415" s="549"/>
      <c r="AT1415" s="549"/>
      <c r="AU1415" s="549"/>
      <c r="AV1415" s="549"/>
      <c r="AW1415" s="549"/>
      <c r="AX1415" s="549"/>
      <c r="AY1415" s="549"/>
      <c r="AZ1415" s="549"/>
      <c r="BA1415" s="549"/>
      <c r="BB1415" s="549"/>
      <c r="BC1415" s="549"/>
      <c r="BD1415" s="549"/>
      <c r="BE1415" s="549"/>
      <c r="BF1415" s="549"/>
      <c r="BG1415" s="549"/>
      <c r="BH1415" s="549"/>
      <c r="BI1415" s="549"/>
    </row>
    <row r="1416" spans="16:61" s="254" customFormat="1" ht="9.9">
      <c r="P1416" s="549"/>
      <c r="Q1416" s="549"/>
      <c r="R1416" s="549"/>
      <c r="S1416" s="549"/>
      <c r="T1416" s="549"/>
      <c r="U1416" s="549"/>
      <c r="V1416" s="549"/>
      <c r="W1416" s="549"/>
      <c r="X1416" s="549"/>
      <c r="Y1416" s="549"/>
      <c r="Z1416" s="549"/>
      <c r="AA1416" s="549"/>
      <c r="AB1416" s="549"/>
      <c r="AC1416" s="549"/>
      <c r="AD1416" s="549"/>
      <c r="AE1416" s="549"/>
      <c r="AF1416" s="549"/>
      <c r="AG1416" s="549"/>
      <c r="AH1416" s="549"/>
      <c r="AI1416" s="549"/>
      <c r="AJ1416" s="549"/>
      <c r="AK1416" s="549"/>
      <c r="AL1416" s="549"/>
      <c r="AM1416" s="549"/>
      <c r="AN1416" s="549"/>
      <c r="AO1416" s="549"/>
      <c r="AP1416" s="549"/>
      <c r="AQ1416" s="549"/>
      <c r="AR1416" s="549"/>
      <c r="AS1416" s="549"/>
      <c r="AT1416" s="549"/>
      <c r="AU1416" s="549"/>
      <c r="AV1416" s="549"/>
      <c r="AW1416" s="549"/>
      <c r="AX1416" s="549"/>
      <c r="AY1416" s="549"/>
      <c r="AZ1416" s="549"/>
      <c r="BA1416" s="549"/>
      <c r="BB1416" s="549"/>
      <c r="BC1416" s="549"/>
      <c r="BD1416" s="549"/>
      <c r="BE1416" s="549"/>
      <c r="BF1416" s="549"/>
      <c r="BG1416" s="549"/>
      <c r="BH1416" s="549"/>
      <c r="BI1416" s="549"/>
    </row>
    <row r="1417" spans="16:61" s="254" customFormat="1" ht="9.9">
      <c r="P1417" s="549"/>
      <c r="Q1417" s="549"/>
      <c r="R1417" s="549"/>
      <c r="S1417" s="549"/>
      <c r="T1417" s="549"/>
      <c r="U1417" s="549"/>
      <c r="V1417" s="549"/>
      <c r="W1417" s="549"/>
      <c r="X1417" s="549"/>
      <c r="Y1417" s="549"/>
      <c r="Z1417" s="549"/>
      <c r="AA1417" s="549"/>
      <c r="AB1417" s="549"/>
      <c r="AC1417" s="549"/>
      <c r="AD1417" s="549"/>
      <c r="AE1417" s="549"/>
      <c r="AF1417" s="549"/>
      <c r="AG1417" s="549"/>
      <c r="AH1417" s="549"/>
      <c r="AI1417" s="549"/>
      <c r="AJ1417" s="549"/>
      <c r="AK1417" s="549"/>
      <c r="AL1417" s="549"/>
      <c r="AM1417" s="549"/>
      <c r="AN1417" s="549"/>
      <c r="AO1417" s="549"/>
      <c r="AP1417" s="549"/>
      <c r="AQ1417" s="549"/>
      <c r="AR1417" s="549"/>
      <c r="AS1417" s="549"/>
      <c r="AT1417" s="549"/>
      <c r="AU1417" s="549"/>
      <c r="AV1417" s="549"/>
      <c r="AW1417" s="549"/>
      <c r="AX1417" s="549"/>
      <c r="AY1417" s="549"/>
      <c r="AZ1417" s="549"/>
      <c r="BA1417" s="549"/>
      <c r="BB1417" s="549"/>
      <c r="BC1417" s="549"/>
      <c r="BD1417" s="549"/>
      <c r="BE1417" s="549"/>
      <c r="BF1417" s="549"/>
      <c r="BG1417" s="549"/>
      <c r="BH1417" s="549"/>
      <c r="BI1417" s="549"/>
    </row>
    <row r="1418" spans="16:61" s="254" customFormat="1" ht="9.9">
      <c r="P1418" s="549"/>
      <c r="Q1418" s="549"/>
      <c r="R1418" s="549"/>
      <c r="S1418" s="549"/>
      <c r="T1418" s="549"/>
      <c r="U1418" s="549"/>
      <c r="V1418" s="549"/>
      <c r="W1418" s="549"/>
      <c r="X1418" s="549"/>
      <c r="Y1418" s="549"/>
      <c r="Z1418" s="549"/>
      <c r="AA1418" s="549"/>
      <c r="AB1418" s="549"/>
      <c r="AC1418" s="549"/>
      <c r="AD1418" s="549"/>
      <c r="AE1418" s="549"/>
      <c r="AF1418" s="549"/>
      <c r="AG1418" s="549"/>
      <c r="AH1418" s="549"/>
      <c r="AI1418" s="549"/>
      <c r="AJ1418" s="549"/>
      <c r="AK1418" s="549"/>
      <c r="AL1418" s="549"/>
      <c r="AM1418" s="549"/>
      <c r="AN1418" s="549"/>
      <c r="AO1418" s="549"/>
      <c r="AP1418" s="549"/>
      <c r="AQ1418" s="549"/>
      <c r="AR1418" s="549"/>
      <c r="AS1418" s="549"/>
      <c r="AT1418" s="549"/>
      <c r="AU1418" s="549"/>
      <c r="AV1418" s="549"/>
      <c r="AW1418" s="549"/>
      <c r="AX1418" s="549"/>
      <c r="AY1418" s="549"/>
      <c r="AZ1418" s="549"/>
      <c r="BA1418" s="549"/>
      <c r="BB1418" s="549"/>
      <c r="BC1418" s="549"/>
      <c r="BD1418" s="549"/>
      <c r="BE1418" s="549"/>
      <c r="BF1418" s="549"/>
      <c r="BG1418" s="549"/>
      <c r="BH1418" s="549"/>
      <c r="BI1418" s="549"/>
    </row>
    <row r="1419" spans="16:61" s="254" customFormat="1" ht="9.9">
      <c r="P1419" s="549"/>
      <c r="Q1419" s="549"/>
      <c r="R1419" s="549"/>
      <c r="S1419" s="549"/>
      <c r="T1419" s="549"/>
      <c r="U1419" s="549"/>
      <c r="V1419" s="549"/>
      <c r="W1419" s="549"/>
      <c r="X1419" s="549"/>
      <c r="Y1419" s="549"/>
      <c r="Z1419" s="549"/>
      <c r="AA1419" s="549"/>
      <c r="AB1419" s="549"/>
      <c r="AC1419" s="549"/>
      <c r="AD1419" s="549"/>
      <c r="AE1419" s="549"/>
      <c r="AF1419" s="549"/>
      <c r="AG1419" s="549"/>
      <c r="AH1419" s="549"/>
      <c r="AI1419" s="549"/>
      <c r="AJ1419" s="549"/>
      <c r="AK1419" s="549"/>
      <c r="AL1419" s="549"/>
      <c r="AM1419" s="549"/>
      <c r="AN1419" s="549"/>
      <c r="AO1419" s="549"/>
      <c r="AP1419" s="549"/>
      <c r="AQ1419" s="549"/>
      <c r="AR1419" s="549"/>
      <c r="AS1419" s="549"/>
      <c r="AT1419" s="549"/>
      <c r="AU1419" s="549"/>
      <c r="AV1419" s="549"/>
      <c r="AW1419" s="549"/>
      <c r="AX1419" s="549"/>
      <c r="AY1419" s="549"/>
      <c r="AZ1419" s="549"/>
      <c r="BA1419" s="549"/>
      <c r="BB1419" s="549"/>
      <c r="BC1419" s="549"/>
      <c r="BD1419" s="549"/>
      <c r="BE1419" s="549"/>
      <c r="BF1419" s="549"/>
      <c r="BG1419" s="549"/>
      <c r="BH1419" s="549"/>
      <c r="BI1419" s="549"/>
    </row>
    <row r="1420" spans="16:61" s="254" customFormat="1" ht="9.9">
      <c r="P1420" s="549"/>
      <c r="Q1420" s="549"/>
      <c r="R1420" s="549"/>
      <c r="S1420" s="549"/>
      <c r="T1420" s="549"/>
      <c r="U1420" s="549"/>
      <c r="V1420" s="549"/>
      <c r="W1420" s="549"/>
      <c r="X1420" s="549"/>
      <c r="Y1420" s="549"/>
      <c r="Z1420" s="549"/>
      <c r="AA1420" s="549"/>
      <c r="AB1420" s="549"/>
      <c r="AC1420" s="549"/>
      <c r="AD1420" s="549"/>
      <c r="AE1420" s="549"/>
      <c r="AF1420" s="549"/>
      <c r="AG1420" s="549"/>
      <c r="AH1420" s="549"/>
      <c r="AI1420" s="549"/>
      <c r="AJ1420" s="549"/>
      <c r="AK1420" s="549"/>
      <c r="AL1420" s="549"/>
      <c r="AM1420" s="549"/>
      <c r="AN1420" s="549"/>
      <c r="AO1420" s="549"/>
      <c r="AP1420" s="549"/>
      <c r="AQ1420" s="549"/>
      <c r="AR1420" s="549"/>
      <c r="AS1420" s="549"/>
      <c r="AT1420" s="549"/>
      <c r="AU1420" s="549"/>
      <c r="AV1420" s="549"/>
      <c r="AW1420" s="549"/>
      <c r="AX1420" s="549"/>
      <c r="AY1420" s="549"/>
      <c r="AZ1420" s="549"/>
      <c r="BA1420" s="549"/>
      <c r="BB1420" s="549"/>
      <c r="BC1420" s="549"/>
      <c r="BD1420" s="549"/>
      <c r="BE1420" s="549"/>
      <c r="BF1420" s="549"/>
      <c r="BG1420" s="549"/>
      <c r="BH1420" s="549"/>
      <c r="BI1420" s="549"/>
    </row>
    <row r="1421" spans="16:61" s="254" customFormat="1" ht="9.9">
      <c r="P1421" s="549"/>
      <c r="Q1421" s="549"/>
      <c r="R1421" s="549"/>
      <c r="S1421" s="549"/>
      <c r="T1421" s="549"/>
      <c r="U1421" s="549"/>
      <c r="V1421" s="549"/>
      <c r="W1421" s="549"/>
      <c r="X1421" s="549"/>
      <c r="Y1421" s="549"/>
      <c r="Z1421" s="549"/>
      <c r="AA1421" s="549"/>
      <c r="AB1421" s="549"/>
      <c r="AC1421" s="549"/>
      <c r="AD1421" s="549"/>
      <c r="AE1421" s="549"/>
      <c r="AF1421" s="549"/>
      <c r="AG1421" s="549"/>
      <c r="AH1421" s="549"/>
      <c r="AI1421" s="549"/>
      <c r="AJ1421" s="549"/>
      <c r="AK1421" s="549"/>
      <c r="AL1421" s="549"/>
      <c r="AM1421" s="549"/>
      <c r="AN1421" s="549"/>
      <c r="AO1421" s="549"/>
      <c r="AP1421" s="549"/>
      <c r="AQ1421" s="549"/>
      <c r="AR1421" s="549"/>
      <c r="AS1421" s="549"/>
      <c r="AT1421" s="549"/>
      <c r="AU1421" s="549"/>
      <c r="AV1421" s="549"/>
      <c r="AW1421" s="549"/>
      <c r="AX1421" s="549"/>
      <c r="AY1421" s="549"/>
      <c r="AZ1421" s="549"/>
      <c r="BA1421" s="549"/>
      <c r="BB1421" s="549"/>
      <c r="BC1421" s="549"/>
      <c r="BD1421" s="549"/>
      <c r="BE1421" s="549"/>
      <c r="BF1421" s="549"/>
      <c r="BG1421" s="549"/>
      <c r="BH1421" s="549"/>
      <c r="BI1421" s="549"/>
    </row>
    <row r="1422" spans="16:61" s="254" customFormat="1" ht="9.9">
      <c r="P1422" s="549"/>
      <c r="Q1422" s="549"/>
      <c r="R1422" s="549"/>
      <c r="S1422" s="549"/>
      <c r="T1422" s="549"/>
      <c r="U1422" s="549"/>
      <c r="V1422" s="549"/>
      <c r="W1422" s="549"/>
      <c r="X1422" s="549"/>
      <c r="Y1422" s="549"/>
      <c r="Z1422" s="549"/>
      <c r="AA1422" s="549"/>
      <c r="AB1422" s="549"/>
      <c r="AC1422" s="549"/>
      <c r="AD1422" s="549"/>
      <c r="AE1422" s="549"/>
      <c r="AF1422" s="549"/>
      <c r="AG1422" s="549"/>
      <c r="AH1422" s="549"/>
      <c r="AI1422" s="549"/>
      <c r="AJ1422" s="549"/>
      <c r="AK1422" s="549"/>
      <c r="AL1422" s="549"/>
      <c r="AM1422" s="549"/>
      <c r="AN1422" s="549"/>
      <c r="AO1422" s="549"/>
      <c r="AP1422" s="549"/>
      <c r="AQ1422" s="549"/>
      <c r="AR1422" s="549"/>
      <c r="AS1422" s="549"/>
      <c r="AT1422" s="549"/>
      <c r="AU1422" s="549"/>
      <c r="AV1422" s="549"/>
      <c r="AW1422" s="549"/>
      <c r="AX1422" s="549"/>
      <c r="AY1422" s="549"/>
      <c r="AZ1422" s="549"/>
      <c r="BA1422" s="549"/>
      <c r="BB1422" s="549"/>
      <c r="BC1422" s="549"/>
      <c r="BD1422" s="549"/>
      <c r="BE1422" s="549"/>
      <c r="BF1422" s="549"/>
      <c r="BG1422" s="549"/>
      <c r="BH1422" s="549"/>
      <c r="BI1422" s="549"/>
    </row>
    <row r="1423" spans="16:61" s="254" customFormat="1" ht="9.9">
      <c r="P1423" s="549"/>
      <c r="Q1423" s="549"/>
      <c r="R1423" s="549"/>
      <c r="S1423" s="549"/>
      <c r="T1423" s="549"/>
      <c r="U1423" s="549"/>
      <c r="V1423" s="549"/>
      <c r="W1423" s="549"/>
      <c r="X1423" s="549"/>
      <c r="Y1423" s="549"/>
      <c r="Z1423" s="549"/>
      <c r="AA1423" s="549"/>
      <c r="AB1423" s="549"/>
      <c r="AC1423" s="549"/>
      <c r="AD1423" s="549"/>
      <c r="AE1423" s="549"/>
      <c r="AF1423" s="549"/>
      <c r="AG1423" s="549"/>
      <c r="AH1423" s="549"/>
      <c r="AI1423" s="549"/>
      <c r="AJ1423" s="549"/>
      <c r="AK1423" s="549"/>
      <c r="AL1423" s="549"/>
      <c r="AM1423" s="549"/>
      <c r="AN1423" s="549"/>
      <c r="AO1423" s="549"/>
      <c r="AP1423" s="549"/>
      <c r="AQ1423" s="549"/>
      <c r="AR1423" s="549"/>
      <c r="AS1423" s="549"/>
      <c r="AT1423" s="549"/>
      <c r="AU1423" s="549"/>
      <c r="AV1423" s="549"/>
      <c r="AW1423" s="549"/>
      <c r="AX1423" s="549"/>
      <c r="AY1423" s="549"/>
      <c r="AZ1423" s="549"/>
      <c r="BA1423" s="549"/>
      <c r="BB1423" s="549"/>
      <c r="BC1423" s="549"/>
      <c r="BD1423" s="549"/>
      <c r="BE1423" s="549"/>
      <c r="BF1423" s="549"/>
      <c r="BG1423" s="549"/>
      <c r="BH1423" s="549"/>
      <c r="BI1423" s="549"/>
    </row>
    <row r="1424" spans="16:61" s="254" customFormat="1" ht="9.9">
      <c r="P1424" s="549"/>
      <c r="Q1424" s="549"/>
      <c r="R1424" s="549"/>
      <c r="S1424" s="549"/>
      <c r="T1424" s="549"/>
      <c r="U1424" s="549"/>
      <c r="V1424" s="549"/>
      <c r="W1424" s="549"/>
      <c r="X1424" s="549"/>
      <c r="Y1424" s="549"/>
      <c r="Z1424" s="549"/>
      <c r="AA1424" s="549"/>
      <c r="AB1424" s="549"/>
      <c r="AC1424" s="549"/>
      <c r="AD1424" s="549"/>
      <c r="AE1424" s="549"/>
      <c r="AF1424" s="549"/>
      <c r="AG1424" s="549"/>
      <c r="AH1424" s="549"/>
      <c r="AI1424" s="549"/>
      <c r="AJ1424" s="549"/>
      <c r="AK1424" s="549"/>
      <c r="AL1424" s="549"/>
      <c r="AM1424" s="549"/>
      <c r="AN1424" s="549"/>
      <c r="AO1424" s="549"/>
      <c r="AP1424" s="549"/>
      <c r="AQ1424" s="549"/>
      <c r="AR1424" s="549"/>
      <c r="AS1424" s="549"/>
      <c r="AT1424" s="549"/>
      <c r="AU1424" s="549"/>
      <c r="AV1424" s="549"/>
      <c r="AW1424" s="549"/>
      <c r="AX1424" s="549"/>
      <c r="AY1424" s="549"/>
      <c r="AZ1424" s="549"/>
      <c r="BA1424" s="549"/>
      <c r="BB1424" s="549"/>
      <c r="BC1424" s="549"/>
      <c r="BD1424" s="549"/>
      <c r="BE1424" s="549"/>
      <c r="BF1424" s="549"/>
      <c r="BG1424" s="549"/>
      <c r="BH1424" s="549"/>
      <c r="BI1424" s="549"/>
    </row>
    <row r="1425" spans="16:61" s="254" customFormat="1" ht="9.9">
      <c r="P1425" s="549"/>
      <c r="Q1425" s="549"/>
      <c r="R1425" s="549"/>
      <c r="S1425" s="549"/>
      <c r="T1425" s="549"/>
      <c r="U1425" s="549"/>
      <c r="V1425" s="549"/>
      <c r="W1425" s="549"/>
      <c r="X1425" s="549"/>
      <c r="Y1425" s="549"/>
      <c r="Z1425" s="549"/>
      <c r="AA1425" s="549"/>
      <c r="AB1425" s="549"/>
      <c r="AC1425" s="549"/>
      <c r="AD1425" s="549"/>
      <c r="AE1425" s="549"/>
      <c r="AF1425" s="549"/>
      <c r="AG1425" s="549"/>
      <c r="AH1425" s="549"/>
      <c r="AI1425" s="549"/>
      <c r="AJ1425" s="549"/>
      <c r="AK1425" s="549"/>
      <c r="AL1425" s="549"/>
      <c r="AM1425" s="549"/>
      <c r="AN1425" s="549"/>
      <c r="AO1425" s="549"/>
      <c r="AP1425" s="549"/>
      <c r="AQ1425" s="549"/>
      <c r="AR1425" s="549"/>
      <c r="AS1425" s="549"/>
      <c r="AT1425" s="549"/>
      <c r="AU1425" s="549"/>
      <c r="AV1425" s="549"/>
      <c r="AW1425" s="549"/>
      <c r="AX1425" s="549"/>
      <c r="AY1425" s="549"/>
      <c r="AZ1425" s="549"/>
      <c r="BA1425" s="549"/>
      <c r="BB1425" s="549"/>
      <c r="BC1425" s="549"/>
      <c r="BD1425" s="549"/>
      <c r="BE1425" s="549"/>
      <c r="BF1425" s="549"/>
      <c r="BG1425" s="549"/>
      <c r="BH1425" s="549"/>
      <c r="BI1425" s="549"/>
    </row>
    <row r="1426" spans="16:61" s="254" customFormat="1" ht="9.9">
      <c r="P1426" s="549"/>
      <c r="Q1426" s="549"/>
      <c r="R1426" s="549"/>
      <c r="S1426" s="549"/>
      <c r="T1426" s="549"/>
      <c r="U1426" s="549"/>
      <c r="V1426" s="549"/>
      <c r="W1426" s="549"/>
      <c r="X1426" s="549"/>
      <c r="Y1426" s="549"/>
      <c r="Z1426" s="549"/>
      <c r="AA1426" s="549"/>
      <c r="AB1426" s="549"/>
      <c r="AC1426" s="549"/>
      <c r="AD1426" s="549"/>
      <c r="AE1426" s="549"/>
      <c r="AF1426" s="549"/>
      <c r="AG1426" s="549"/>
      <c r="AH1426" s="549"/>
      <c r="AI1426" s="549"/>
      <c r="AJ1426" s="549"/>
      <c r="AK1426" s="549"/>
      <c r="AL1426" s="549"/>
      <c r="AM1426" s="549"/>
      <c r="AN1426" s="549"/>
      <c r="AO1426" s="549"/>
      <c r="AP1426" s="549"/>
      <c r="AQ1426" s="549"/>
      <c r="AR1426" s="549"/>
      <c r="AS1426" s="549"/>
      <c r="AT1426" s="549"/>
      <c r="AU1426" s="549"/>
      <c r="AV1426" s="549"/>
      <c r="AW1426" s="549"/>
      <c r="AX1426" s="549"/>
      <c r="AY1426" s="549"/>
      <c r="AZ1426" s="549"/>
      <c r="BA1426" s="549"/>
      <c r="BB1426" s="549"/>
      <c r="BC1426" s="549"/>
      <c r="BD1426" s="549"/>
      <c r="BE1426" s="549"/>
      <c r="BF1426" s="549"/>
      <c r="BG1426" s="549"/>
      <c r="BH1426" s="549"/>
      <c r="BI1426" s="549"/>
    </row>
    <row r="1427" spans="16:61" s="254" customFormat="1" ht="9.9">
      <c r="P1427" s="549"/>
      <c r="Q1427" s="549"/>
      <c r="R1427" s="549"/>
      <c r="S1427" s="549"/>
      <c r="T1427" s="549"/>
      <c r="U1427" s="549"/>
      <c r="V1427" s="549"/>
      <c r="W1427" s="549"/>
      <c r="X1427" s="549"/>
      <c r="Y1427" s="549"/>
      <c r="Z1427" s="549"/>
      <c r="AA1427" s="549"/>
      <c r="AB1427" s="549"/>
      <c r="AC1427" s="549"/>
      <c r="AD1427" s="549"/>
      <c r="AE1427" s="549"/>
      <c r="AF1427" s="549"/>
      <c r="AG1427" s="549"/>
      <c r="AH1427" s="549"/>
      <c r="AI1427" s="549"/>
      <c r="AJ1427" s="549"/>
      <c r="AK1427" s="549"/>
      <c r="AL1427" s="549"/>
      <c r="AM1427" s="549"/>
      <c r="AN1427" s="549"/>
      <c r="AO1427" s="549"/>
      <c r="AP1427" s="549"/>
      <c r="AQ1427" s="549"/>
      <c r="AR1427" s="549"/>
      <c r="AS1427" s="549"/>
      <c r="AT1427" s="549"/>
      <c r="AU1427" s="549"/>
      <c r="AV1427" s="549"/>
      <c r="AW1427" s="549"/>
      <c r="AX1427" s="549"/>
      <c r="AY1427" s="549"/>
      <c r="AZ1427" s="549"/>
      <c r="BA1427" s="549"/>
      <c r="BB1427" s="549"/>
      <c r="BC1427" s="549"/>
      <c r="BD1427" s="549"/>
      <c r="BE1427" s="549"/>
      <c r="BF1427" s="549"/>
      <c r="BG1427" s="549"/>
      <c r="BH1427" s="549"/>
      <c r="BI1427" s="549"/>
    </row>
    <row r="1428" spans="16:61" s="254" customFormat="1" ht="9.9">
      <c r="P1428" s="549"/>
      <c r="Q1428" s="549"/>
      <c r="R1428" s="549"/>
      <c r="S1428" s="549"/>
      <c r="T1428" s="549"/>
      <c r="U1428" s="549"/>
      <c r="V1428" s="549"/>
      <c r="W1428" s="549"/>
      <c r="X1428" s="549"/>
      <c r="Y1428" s="549"/>
      <c r="Z1428" s="549"/>
      <c r="AA1428" s="549"/>
      <c r="AB1428" s="549"/>
      <c r="AC1428" s="549"/>
      <c r="AD1428" s="549"/>
      <c r="AE1428" s="549"/>
      <c r="AF1428" s="549"/>
      <c r="AG1428" s="549"/>
      <c r="AH1428" s="549"/>
      <c r="AI1428" s="549"/>
      <c r="AJ1428" s="549"/>
      <c r="AK1428" s="549"/>
      <c r="AL1428" s="549"/>
      <c r="AM1428" s="549"/>
      <c r="AN1428" s="549"/>
      <c r="AO1428" s="549"/>
      <c r="AP1428" s="549"/>
      <c r="AQ1428" s="549"/>
      <c r="AR1428" s="549"/>
      <c r="AS1428" s="549"/>
      <c r="AT1428" s="549"/>
      <c r="AU1428" s="549"/>
      <c r="AV1428" s="549"/>
      <c r="AW1428" s="549"/>
      <c r="AX1428" s="549"/>
      <c r="AY1428" s="549"/>
      <c r="AZ1428" s="549"/>
      <c r="BA1428" s="549"/>
      <c r="BB1428" s="549"/>
      <c r="BC1428" s="549"/>
      <c r="BD1428" s="549"/>
      <c r="BE1428" s="549"/>
      <c r="BF1428" s="549"/>
      <c r="BG1428" s="549"/>
      <c r="BH1428" s="549"/>
      <c r="BI1428" s="549"/>
    </row>
    <row r="1429" spans="16:61" s="254" customFormat="1" ht="9.9">
      <c r="P1429" s="549"/>
      <c r="Q1429" s="549"/>
      <c r="R1429" s="549"/>
      <c r="S1429" s="549"/>
      <c r="T1429" s="549"/>
      <c r="U1429" s="549"/>
      <c r="V1429" s="549"/>
      <c r="W1429" s="549"/>
      <c r="X1429" s="549"/>
      <c r="Y1429" s="549"/>
      <c r="Z1429" s="549"/>
      <c r="AA1429" s="549"/>
      <c r="AB1429" s="549"/>
      <c r="AC1429" s="549"/>
      <c r="AD1429" s="549"/>
      <c r="AE1429" s="549"/>
      <c r="AF1429" s="549"/>
      <c r="AG1429" s="549"/>
      <c r="AH1429" s="549"/>
      <c r="AI1429" s="549"/>
      <c r="AJ1429" s="549"/>
      <c r="AK1429" s="549"/>
      <c r="AL1429" s="549"/>
      <c r="AM1429" s="549"/>
      <c r="AN1429" s="549"/>
      <c r="AO1429" s="549"/>
      <c r="AP1429" s="549"/>
      <c r="AQ1429" s="549"/>
      <c r="AR1429" s="549"/>
      <c r="AS1429" s="549"/>
      <c r="AT1429" s="549"/>
      <c r="AU1429" s="549"/>
      <c r="AV1429" s="549"/>
      <c r="AW1429" s="549"/>
      <c r="AX1429" s="549"/>
      <c r="AY1429" s="549"/>
      <c r="AZ1429" s="549"/>
      <c r="BA1429" s="549"/>
      <c r="BB1429" s="549"/>
      <c r="BC1429" s="549"/>
      <c r="BD1429" s="549"/>
      <c r="BE1429" s="549"/>
      <c r="BF1429" s="549"/>
      <c r="BG1429" s="549"/>
      <c r="BH1429" s="549"/>
      <c r="BI1429" s="549"/>
    </row>
    <row r="1430" spans="16:61" s="254" customFormat="1" ht="9.9">
      <c r="P1430" s="549"/>
      <c r="Q1430" s="549"/>
      <c r="R1430" s="549"/>
      <c r="S1430" s="549"/>
      <c r="T1430" s="549"/>
      <c r="U1430" s="549"/>
      <c r="V1430" s="549"/>
      <c r="W1430" s="549"/>
      <c r="X1430" s="549"/>
      <c r="Y1430" s="549"/>
      <c r="Z1430" s="549"/>
      <c r="AA1430" s="549"/>
      <c r="AB1430" s="549"/>
      <c r="AC1430" s="549"/>
      <c r="AD1430" s="549"/>
      <c r="AE1430" s="549"/>
      <c r="AF1430" s="549"/>
      <c r="AG1430" s="549"/>
      <c r="AH1430" s="549"/>
      <c r="AI1430" s="549"/>
      <c r="AJ1430" s="549"/>
      <c r="AK1430" s="549"/>
      <c r="AL1430" s="549"/>
      <c r="AM1430" s="549"/>
      <c r="AN1430" s="549"/>
      <c r="AO1430" s="549"/>
      <c r="AP1430" s="549"/>
      <c r="AQ1430" s="549"/>
      <c r="AR1430" s="549"/>
      <c r="AS1430" s="549"/>
      <c r="AT1430" s="549"/>
      <c r="AU1430" s="549"/>
      <c r="AV1430" s="549"/>
      <c r="AW1430" s="549"/>
      <c r="AX1430" s="549"/>
      <c r="AY1430" s="549"/>
      <c r="AZ1430" s="549"/>
      <c r="BA1430" s="549"/>
      <c r="BB1430" s="549"/>
      <c r="BC1430" s="549"/>
      <c r="BD1430" s="549"/>
      <c r="BE1430" s="549"/>
      <c r="BF1430" s="549"/>
      <c r="BG1430" s="549"/>
      <c r="BH1430" s="549"/>
      <c r="BI1430" s="549"/>
    </row>
    <row r="1431" spans="16:61" s="254" customFormat="1" ht="9.9">
      <c r="P1431" s="549"/>
      <c r="Q1431" s="549"/>
      <c r="R1431" s="549"/>
      <c r="S1431" s="549"/>
      <c r="T1431" s="549"/>
      <c r="U1431" s="549"/>
      <c r="V1431" s="549"/>
      <c r="W1431" s="549"/>
      <c r="X1431" s="549"/>
      <c r="Y1431" s="549"/>
      <c r="Z1431" s="549"/>
      <c r="AA1431" s="549"/>
      <c r="AB1431" s="549"/>
      <c r="AC1431" s="549"/>
      <c r="AD1431" s="549"/>
      <c r="AE1431" s="549"/>
      <c r="AF1431" s="549"/>
      <c r="AG1431" s="549"/>
      <c r="AH1431" s="549"/>
      <c r="AI1431" s="549"/>
      <c r="AJ1431" s="549"/>
      <c r="AK1431" s="549"/>
      <c r="AL1431" s="549"/>
      <c r="AM1431" s="549"/>
      <c r="AN1431" s="549"/>
      <c r="AO1431" s="549"/>
      <c r="AP1431" s="549"/>
      <c r="AQ1431" s="549"/>
      <c r="AR1431" s="549"/>
      <c r="AS1431" s="549"/>
      <c r="AT1431" s="549"/>
      <c r="AU1431" s="549"/>
      <c r="AV1431" s="549"/>
      <c r="AW1431" s="549"/>
      <c r="AX1431" s="549"/>
      <c r="AY1431" s="549"/>
      <c r="AZ1431" s="549"/>
      <c r="BA1431" s="549"/>
      <c r="BB1431" s="549"/>
      <c r="BC1431" s="549"/>
      <c r="BD1431" s="549"/>
      <c r="BE1431" s="549"/>
      <c r="BF1431" s="549"/>
      <c r="BG1431" s="549"/>
      <c r="BH1431" s="549"/>
      <c r="BI1431" s="549"/>
    </row>
    <row r="1432" spans="16:61" s="254" customFormat="1" ht="9.9">
      <c r="P1432" s="549"/>
      <c r="Q1432" s="549"/>
      <c r="R1432" s="549"/>
      <c r="S1432" s="549"/>
      <c r="T1432" s="549"/>
      <c r="U1432" s="549"/>
      <c r="V1432" s="549"/>
      <c r="W1432" s="549"/>
      <c r="X1432" s="549"/>
      <c r="Y1432" s="549"/>
      <c r="Z1432" s="549"/>
      <c r="AA1432" s="549"/>
      <c r="AB1432" s="549"/>
      <c r="AC1432" s="549"/>
      <c r="AD1432" s="549"/>
      <c r="AE1432" s="549"/>
      <c r="AF1432" s="549"/>
      <c r="AG1432" s="549"/>
      <c r="AH1432" s="549"/>
      <c r="AI1432" s="549"/>
      <c r="AJ1432" s="549"/>
      <c r="AK1432" s="549"/>
      <c r="AL1432" s="549"/>
      <c r="AM1432" s="549"/>
      <c r="AN1432" s="549"/>
      <c r="AO1432" s="549"/>
      <c r="AP1432" s="549"/>
      <c r="AQ1432" s="549"/>
      <c r="AR1432" s="549"/>
      <c r="AS1432" s="549"/>
      <c r="AT1432" s="549"/>
      <c r="AU1432" s="549"/>
      <c r="AV1432" s="549"/>
      <c r="AW1432" s="549"/>
      <c r="AX1432" s="549"/>
      <c r="AY1432" s="549"/>
      <c r="AZ1432" s="549"/>
      <c r="BA1432" s="549"/>
      <c r="BB1432" s="549"/>
      <c r="BC1432" s="549"/>
      <c r="BD1432" s="549"/>
      <c r="BE1432" s="549"/>
      <c r="BF1432" s="549"/>
      <c r="BG1432" s="549"/>
      <c r="BH1432" s="549"/>
      <c r="BI1432" s="549"/>
    </row>
    <row r="1433" spans="16:61" s="254" customFormat="1" ht="9.9">
      <c r="P1433" s="549"/>
      <c r="Q1433" s="549"/>
      <c r="R1433" s="549"/>
      <c r="S1433" s="549"/>
      <c r="T1433" s="549"/>
      <c r="U1433" s="549"/>
      <c r="V1433" s="549"/>
      <c r="W1433" s="549"/>
      <c r="X1433" s="549"/>
      <c r="Y1433" s="549"/>
      <c r="Z1433" s="549"/>
      <c r="AA1433" s="549"/>
      <c r="AB1433" s="549"/>
      <c r="AC1433" s="549"/>
      <c r="AD1433" s="549"/>
      <c r="AE1433" s="549"/>
      <c r="AF1433" s="549"/>
      <c r="AG1433" s="549"/>
      <c r="AH1433" s="549"/>
      <c r="AI1433" s="549"/>
      <c r="AJ1433" s="549"/>
      <c r="AK1433" s="549"/>
      <c r="AL1433" s="549"/>
      <c r="AM1433" s="549"/>
      <c r="AN1433" s="549"/>
      <c r="AO1433" s="549"/>
      <c r="AP1433" s="549"/>
      <c r="AQ1433" s="549"/>
      <c r="AR1433" s="549"/>
      <c r="AS1433" s="549"/>
      <c r="AT1433" s="549"/>
      <c r="AU1433" s="549"/>
      <c r="AV1433" s="549"/>
      <c r="AW1433" s="549"/>
      <c r="AX1433" s="549"/>
      <c r="AY1433" s="549"/>
      <c r="AZ1433" s="549"/>
      <c r="BA1433" s="549"/>
      <c r="BB1433" s="549"/>
      <c r="BC1433" s="549"/>
      <c r="BD1433" s="549"/>
      <c r="BE1433" s="549"/>
      <c r="BF1433" s="549"/>
      <c r="BG1433" s="549"/>
      <c r="BH1433" s="549"/>
      <c r="BI1433" s="549"/>
    </row>
    <row r="1434" spans="16:61" s="254" customFormat="1" ht="9.9">
      <c r="P1434" s="549"/>
      <c r="Q1434" s="549"/>
      <c r="R1434" s="549"/>
      <c r="S1434" s="549"/>
      <c r="T1434" s="549"/>
      <c r="U1434" s="549"/>
      <c r="V1434" s="549"/>
      <c r="W1434" s="549"/>
      <c r="X1434" s="549"/>
      <c r="Y1434" s="549"/>
      <c r="Z1434" s="549"/>
      <c r="AA1434" s="549"/>
      <c r="AB1434" s="549"/>
      <c r="AC1434" s="549"/>
      <c r="AD1434" s="549"/>
      <c r="AE1434" s="549"/>
      <c r="AF1434" s="549"/>
      <c r="AG1434" s="549"/>
      <c r="AH1434" s="549"/>
      <c r="AI1434" s="549"/>
      <c r="AJ1434" s="549"/>
      <c r="AK1434" s="549"/>
      <c r="AL1434" s="549"/>
      <c r="AM1434" s="549"/>
      <c r="AN1434" s="549"/>
      <c r="AO1434" s="549"/>
      <c r="AP1434" s="549"/>
      <c r="AQ1434" s="549"/>
      <c r="AR1434" s="549"/>
      <c r="AS1434" s="549"/>
      <c r="AT1434" s="549"/>
      <c r="AU1434" s="549"/>
      <c r="AV1434" s="549"/>
      <c r="AW1434" s="549"/>
      <c r="AX1434" s="549"/>
      <c r="AY1434" s="549"/>
      <c r="AZ1434" s="549"/>
      <c r="BA1434" s="549"/>
      <c r="BB1434" s="549"/>
      <c r="BC1434" s="549"/>
      <c r="BD1434" s="549"/>
      <c r="BE1434" s="549"/>
      <c r="BF1434" s="549"/>
      <c r="BG1434" s="549"/>
      <c r="BH1434" s="549"/>
      <c r="BI1434" s="549"/>
    </row>
    <row r="1435" spans="16:61" s="254" customFormat="1" ht="9.9">
      <c r="P1435" s="549"/>
      <c r="Q1435" s="549"/>
      <c r="R1435" s="549"/>
      <c r="S1435" s="549"/>
      <c r="T1435" s="549"/>
      <c r="U1435" s="549"/>
      <c r="V1435" s="549"/>
      <c r="W1435" s="549"/>
      <c r="X1435" s="549"/>
      <c r="Y1435" s="549"/>
      <c r="Z1435" s="549"/>
      <c r="AA1435" s="549"/>
      <c r="AB1435" s="549"/>
      <c r="AC1435" s="549"/>
      <c r="AD1435" s="549"/>
      <c r="AE1435" s="549"/>
      <c r="AF1435" s="549"/>
      <c r="AG1435" s="549"/>
      <c r="AH1435" s="549"/>
      <c r="AI1435" s="549"/>
      <c r="AJ1435" s="549"/>
      <c r="AK1435" s="549"/>
      <c r="AL1435" s="549"/>
      <c r="AM1435" s="549"/>
      <c r="AN1435" s="549"/>
      <c r="AO1435" s="549"/>
      <c r="AP1435" s="549"/>
      <c r="AQ1435" s="549"/>
      <c r="AR1435" s="549"/>
      <c r="AS1435" s="549"/>
      <c r="AT1435" s="549"/>
      <c r="AU1435" s="549"/>
      <c r="AV1435" s="549"/>
      <c r="AW1435" s="549"/>
      <c r="AX1435" s="549"/>
      <c r="AY1435" s="549"/>
      <c r="AZ1435" s="549"/>
      <c r="BA1435" s="549"/>
      <c r="BB1435" s="549"/>
      <c r="BC1435" s="549"/>
      <c r="BD1435" s="549"/>
      <c r="BE1435" s="549"/>
      <c r="BF1435" s="549"/>
      <c r="BG1435" s="549"/>
      <c r="BH1435" s="549"/>
      <c r="BI1435" s="549"/>
    </row>
    <row r="1436" spans="16:61" s="254" customFormat="1" ht="9.9">
      <c r="P1436" s="549"/>
      <c r="Q1436" s="549"/>
      <c r="R1436" s="549"/>
      <c r="S1436" s="549"/>
      <c r="T1436" s="549"/>
      <c r="U1436" s="549"/>
      <c r="V1436" s="549"/>
      <c r="W1436" s="549"/>
      <c r="X1436" s="549"/>
      <c r="Y1436" s="549"/>
      <c r="Z1436" s="549"/>
      <c r="AA1436" s="549"/>
      <c r="AB1436" s="549"/>
      <c r="AC1436" s="549"/>
      <c r="AD1436" s="549"/>
      <c r="AE1436" s="549"/>
      <c r="AF1436" s="549"/>
      <c r="AG1436" s="549"/>
      <c r="AH1436" s="549"/>
      <c r="AI1436" s="549"/>
      <c r="AJ1436" s="549"/>
      <c r="AK1436" s="549"/>
      <c r="AL1436" s="549"/>
      <c r="AM1436" s="549"/>
      <c r="AN1436" s="549"/>
      <c r="AO1436" s="549"/>
      <c r="AP1436" s="549"/>
      <c r="AQ1436" s="549"/>
      <c r="AR1436" s="549"/>
      <c r="AS1436" s="549"/>
      <c r="AT1436" s="549"/>
      <c r="AU1436" s="549"/>
      <c r="AV1436" s="549"/>
      <c r="AW1436" s="549"/>
      <c r="AX1436" s="549"/>
      <c r="AY1436" s="549"/>
      <c r="AZ1436" s="549"/>
      <c r="BA1436" s="549"/>
      <c r="BB1436" s="549"/>
      <c r="BC1436" s="549"/>
      <c r="BD1436" s="549"/>
      <c r="BE1436" s="549"/>
      <c r="BF1436" s="549"/>
      <c r="BG1436" s="549"/>
      <c r="BH1436" s="549"/>
      <c r="BI1436" s="549"/>
    </row>
    <row r="1437" spans="16:61" s="254" customFormat="1" ht="9.9">
      <c r="P1437" s="549"/>
      <c r="Q1437" s="549"/>
      <c r="R1437" s="549"/>
      <c r="S1437" s="549"/>
      <c r="T1437" s="549"/>
      <c r="U1437" s="549"/>
      <c r="V1437" s="549"/>
      <c r="W1437" s="549"/>
      <c r="X1437" s="549"/>
      <c r="Y1437" s="549"/>
      <c r="Z1437" s="549"/>
      <c r="AA1437" s="549"/>
      <c r="AB1437" s="549"/>
      <c r="AC1437" s="549"/>
      <c r="AD1437" s="549"/>
      <c r="AE1437" s="549"/>
      <c r="AF1437" s="549"/>
      <c r="AG1437" s="549"/>
      <c r="AH1437" s="549"/>
      <c r="AI1437" s="549"/>
      <c r="AJ1437" s="549"/>
      <c r="AK1437" s="549"/>
      <c r="AL1437" s="549"/>
      <c r="AM1437" s="549"/>
      <c r="AN1437" s="549"/>
      <c r="AO1437" s="549"/>
      <c r="AP1437" s="549"/>
      <c r="AQ1437" s="549"/>
      <c r="AR1437" s="549"/>
      <c r="AS1437" s="549"/>
      <c r="AT1437" s="549"/>
      <c r="AU1437" s="549"/>
      <c r="AV1437" s="549"/>
      <c r="AW1437" s="549"/>
      <c r="AX1437" s="549"/>
      <c r="AY1437" s="549"/>
      <c r="AZ1437" s="549"/>
      <c r="BA1437" s="549"/>
      <c r="BB1437" s="549"/>
      <c r="BC1437" s="549"/>
      <c r="BD1437" s="549"/>
      <c r="BE1437" s="549"/>
      <c r="BF1437" s="549"/>
      <c r="BG1437" s="549"/>
      <c r="BH1437" s="549"/>
      <c r="BI1437" s="549"/>
    </row>
    <row r="1438" spans="16:61" s="254" customFormat="1" ht="9.9">
      <c r="P1438" s="549"/>
      <c r="Q1438" s="549"/>
      <c r="R1438" s="549"/>
      <c r="S1438" s="549"/>
      <c r="T1438" s="549"/>
      <c r="U1438" s="549"/>
      <c r="V1438" s="549"/>
      <c r="W1438" s="549"/>
      <c r="X1438" s="549"/>
      <c r="Y1438" s="549"/>
      <c r="Z1438" s="549"/>
      <c r="AA1438" s="549"/>
      <c r="AB1438" s="549"/>
      <c r="AC1438" s="549"/>
      <c r="AD1438" s="549"/>
      <c r="AE1438" s="549"/>
      <c r="AF1438" s="549"/>
      <c r="AG1438" s="549"/>
      <c r="AH1438" s="549"/>
      <c r="AI1438" s="549"/>
      <c r="AJ1438" s="549"/>
      <c r="AK1438" s="549"/>
      <c r="AL1438" s="549"/>
      <c r="AM1438" s="549"/>
      <c r="AN1438" s="549"/>
      <c r="AO1438" s="549"/>
      <c r="AP1438" s="549"/>
      <c r="AQ1438" s="549"/>
      <c r="AR1438" s="549"/>
      <c r="AS1438" s="549"/>
      <c r="AT1438" s="549"/>
      <c r="AU1438" s="549"/>
      <c r="AV1438" s="549"/>
      <c r="AW1438" s="549"/>
      <c r="AX1438" s="549"/>
      <c r="AY1438" s="549"/>
      <c r="AZ1438" s="549"/>
      <c r="BA1438" s="549"/>
      <c r="BB1438" s="549"/>
      <c r="BC1438" s="549"/>
      <c r="BD1438" s="549"/>
      <c r="BE1438" s="549"/>
      <c r="BF1438" s="549"/>
      <c r="BG1438" s="549"/>
      <c r="BH1438" s="549"/>
      <c r="BI1438" s="549"/>
    </row>
    <row r="1439" spans="16:61" s="254" customFormat="1" ht="9.9">
      <c r="P1439" s="549"/>
      <c r="Q1439" s="549"/>
      <c r="R1439" s="549"/>
      <c r="S1439" s="549"/>
      <c r="T1439" s="549"/>
      <c r="U1439" s="549"/>
      <c r="V1439" s="549"/>
      <c r="W1439" s="549"/>
      <c r="X1439" s="549"/>
      <c r="Y1439" s="549"/>
      <c r="Z1439" s="549"/>
      <c r="AA1439" s="549"/>
      <c r="AB1439" s="549"/>
      <c r="AC1439" s="549"/>
      <c r="AD1439" s="549"/>
      <c r="AE1439" s="549"/>
      <c r="AF1439" s="549"/>
      <c r="AG1439" s="549"/>
      <c r="AH1439" s="549"/>
      <c r="AI1439" s="549"/>
      <c r="AJ1439" s="549"/>
      <c r="AK1439" s="549"/>
      <c r="AL1439" s="549"/>
      <c r="AM1439" s="549"/>
      <c r="AN1439" s="549"/>
      <c r="AO1439" s="549"/>
      <c r="AP1439" s="549"/>
      <c r="AQ1439" s="549"/>
      <c r="AR1439" s="549"/>
      <c r="AS1439" s="549"/>
      <c r="AT1439" s="549"/>
      <c r="AU1439" s="549"/>
      <c r="AV1439" s="549"/>
      <c r="AW1439" s="549"/>
      <c r="AX1439" s="549"/>
      <c r="AY1439" s="549"/>
      <c r="AZ1439" s="549"/>
      <c r="BA1439" s="549"/>
      <c r="BB1439" s="549"/>
      <c r="BC1439" s="549"/>
      <c r="BD1439" s="549"/>
      <c r="BE1439" s="549"/>
      <c r="BF1439" s="549"/>
      <c r="BG1439" s="549"/>
      <c r="BH1439" s="549"/>
      <c r="BI1439" s="549"/>
    </row>
    <row r="1440" spans="16:61" s="254" customFormat="1" ht="9.9">
      <c r="P1440" s="549"/>
      <c r="Q1440" s="549"/>
      <c r="R1440" s="549"/>
      <c r="S1440" s="549"/>
      <c r="T1440" s="549"/>
      <c r="U1440" s="549"/>
      <c r="V1440" s="549"/>
      <c r="W1440" s="549"/>
      <c r="X1440" s="549"/>
      <c r="Y1440" s="549"/>
      <c r="Z1440" s="549"/>
      <c r="AA1440" s="549"/>
      <c r="AB1440" s="549"/>
      <c r="AC1440" s="549"/>
      <c r="AD1440" s="549"/>
      <c r="AE1440" s="549"/>
      <c r="AF1440" s="549"/>
      <c r="AG1440" s="549"/>
      <c r="AH1440" s="549"/>
      <c r="AI1440" s="549"/>
      <c r="AJ1440" s="549"/>
      <c r="AK1440" s="549"/>
      <c r="AL1440" s="549"/>
      <c r="AM1440" s="549"/>
      <c r="AN1440" s="549"/>
      <c r="AO1440" s="549"/>
      <c r="AP1440" s="549"/>
      <c r="AQ1440" s="549"/>
      <c r="AR1440" s="549"/>
      <c r="AS1440" s="549"/>
      <c r="AT1440" s="549"/>
      <c r="AU1440" s="549"/>
      <c r="AV1440" s="549"/>
      <c r="AW1440" s="549"/>
      <c r="AX1440" s="549"/>
      <c r="AY1440" s="549"/>
      <c r="AZ1440" s="549"/>
      <c r="BA1440" s="549"/>
      <c r="BB1440" s="549"/>
      <c r="BC1440" s="549"/>
      <c r="BD1440" s="549"/>
      <c r="BE1440" s="549"/>
      <c r="BF1440" s="549"/>
      <c r="BG1440" s="549"/>
      <c r="BH1440" s="549"/>
      <c r="BI1440" s="549"/>
    </row>
    <row r="1441" spans="16:61" s="254" customFormat="1" ht="9.9">
      <c r="P1441" s="549"/>
      <c r="Q1441" s="549"/>
      <c r="R1441" s="549"/>
      <c r="S1441" s="549"/>
      <c r="T1441" s="549"/>
      <c r="U1441" s="549"/>
      <c r="V1441" s="549"/>
      <c r="W1441" s="549"/>
      <c r="X1441" s="549"/>
      <c r="Y1441" s="549"/>
      <c r="Z1441" s="549"/>
      <c r="AA1441" s="549"/>
      <c r="AB1441" s="549"/>
      <c r="AC1441" s="549"/>
      <c r="AD1441" s="549"/>
      <c r="AE1441" s="549"/>
      <c r="AF1441" s="549"/>
      <c r="AG1441" s="549"/>
      <c r="AH1441" s="549"/>
      <c r="AI1441" s="549"/>
      <c r="AJ1441" s="549"/>
      <c r="AK1441" s="549"/>
      <c r="AL1441" s="549"/>
      <c r="AM1441" s="549"/>
      <c r="AN1441" s="549"/>
      <c r="AO1441" s="549"/>
      <c r="AP1441" s="549"/>
      <c r="AQ1441" s="549"/>
      <c r="AR1441" s="549"/>
      <c r="AS1441" s="549"/>
      <c r="AT1441" s="549"/>
      <c r="AU1441" s="549"/>
      <c r="AV1441" s="549"/>
      <c r="AW1441" s="549"/>
      <c r="AX1441" s="549"/>
      <c r="AY1441" s="549"/>
      <c r="AZ1441" s="549"/>
      <c r="BA1441" s="549"/>
      <c r="BB1441" s="549"/>
      <c r="BC1441" s="549"/>
      <c r="BD1441" s="549"/>
      <c r="BE1441" s="549"/>
      <c r="BF1441" s="549"/>
      <c r="BG1441" s="549"/>
      <c r="BH1441" s="549"/>
      <c r="BI1441" s="549"/>
    </row>
    <row r="1442" spans="16:61" s="254" customFormat="1" ht="9.9">
      <c r="P1442" s="549"/>
      <c r="Q1442" s="549"/>
      <c r="R1442" s="549"/>
      <c r="S1442" s="549"/>
      <c r="T1442" s="549"/>
      <c r="U1442" s="549"/>
      <c r="V1442" s="549"/>
      <c r="W1442" s="549"/>
      <c r="X1442" s="549"/>
      <c r="Y1442" s="549"/>
      <c r="Z1442" s="549"/>
      <c r="AA1442" s="549"/>
      <c r="AB1442" s="549"/>
      <c r="AC1442" s="549"/>
      <c r="AD1442" s="549"/>
      <c r="AE1442" s="549"/>
      <c r="AF1442" s="549"/>
      <c r="AG1442" s="549"/>
      <c r="AH1442" s="549"/>
      <c r="AI1442" s="549"/>
      <c r="AJ1442" s="549"/>
      <c r="AK1442" s="549"/>
      <c r="AL1442" s="549"/>
      <c r="AM1442" s="549"/>
      <c r="AN1442" s="549"/>
      <c r="AO1442" s="549"/>
      <c r="AP1442" s="549"/>
      <c r="AQ1442" s="549"/>
      <c r="AR1442" s="549"/>
      <c r="AS1442" s="549"/>
      <c r="AT1442" s="549"/>
      <c r="AU1442" s="549"/>
      <c r="AV1442" s="549"/>
      <c r="AW1442" s="549"/>
      <c r="AX1442" s="549"/>
      <c r="AY1442" s="549"/>
      <c r="AZ1442" s="549"/>
      <c r="BA1442" s="549"/>
      <c r="BB1442" s="549"/>
      <c r="BC1442" s="549"/>
      <c r="BD1442" s="549"/>
      <c r="BE1442" s="549"/>
      <c r="BF1442" s="549"/>
      <c r="BG1442" s="549"/>
      <c r="BH1442" s="549"/>
      <c r="BI1442" s="549"/>
    </row>
    <row r="1443" spans="16:61" s="254" customFormat="1" ht="9.9">
      <c r="P1443" s="549"/>
      <c r="Q1443" s="549"/>
      <c r="R1443" s="549"/>
      <c r="S1443" s="549"/>
      <c r="T1443" s="549"/>
      <c r="U1443" s="549"/>
      <c r="V1443" s="549"/>
      <c r="W1443" s="549"/>
      <c r="X1443" s="549"/>
      <c r="Y1443" s="549"/>
      <c r="Z1443" s="549"/>
      <c r="AA1443" s="549"/>
      <c r="AB1443" s="549"/>
      <c r="AC1443" s="549"/>
      <c r="AD1443" s="549"/>
      <c r="AE1443" s="549"/>
      <c r="AF1443" s="549"/>
      <c r="AG1443" s="549"/>
      <c r="AH1443" s="549"/>
      <c r="AI1443" s="549"/>
      <c r="AJ1443" s="549"/>
      <c r="AK1443" s="549"/>
      <c r="AL1443" s="549"/>
      <c r="AM1443" s="549"/>
      <c r="AN1443" s="549"/>
      <c r="AO1443" s="549"/>
      <c r="AP1443" s="549"/>
      <c r="AQ1443" s="549"/>
      <c r="AR1443" s="549"/>
      <c r="AS1443" s="549"/>
      <c r="AT1443" s="549"/>
      <c r="AU1443" s="549"/>
      <c r="AV1443" s="549"/>
      <c r="AW1443" s="549"/>
      <c r="AX1443" s="549"/>
      <c r="AY1443" s="549"/>
      <c r="AZ1443" s="549"/>
      <c r="BA1443" s="549"/>
      <c r="BB1443" s="549"/>
      <c r="BC1443" s="549"/>
      <c r="BD1443" s="549"/>
      <c r="BE1443" s="549"/>
      <c r="BF1443" s="549"/>
      <c r="BG1443" s="549"/>
      <c r="BH1443" s="549"/>
      <c r="BI1443" s="549"/>
    </row>
    <row r="1444" spans="16:61" s="254" customFormat="1" ht="9.9">
      <c r="P1444" s="549"/>
      <c r="Q1444" s="549"/>
      <c r="R1444" s="549"/>
      <c r="S1444" s="549"/>
      <c r="T1444" s="549"/>
      <c r="U1444" s="549"/>
      <c r="V1444" s="549"/>
      <c r="W1444" s="549"/>
      <c r="X1444" s="549"/>
      <c r="Y1444" s="549"/>
      <c r="Z1444" s="549"/>
      <c r="AA1444" s="549"/>
      <c r="AB1444" s="549"/>
      <c r="AC1444" s="549"/>
      <c r="AD1444" s="549"/>
      <c r="AE1444" s="549"/>
      <c r="AF1444" s="549"/>
      <c r="AG1444" s="549"/>
      <c r="AH1444" s="549"/>
      <c r="AI1444" s="549"/>
      <c r="AJ1444" s="549"/>
      <c r="AK1444" s="549"/>
      <c r="AL1444" s="549"/>
      <c r="AM1444" s="549"/>
      <c r="AN1444" s="549"/>
      <c r="AO1444" s="549"/>
      <c r="AP1444" s="549"/>
      <c r="AQ1444" s="549"/>
      <c r="AR1444" s="549"/>
      <c r="AS1444" s="549"/>
      <c r="AT1444" s="549"/>
      <c r="AU1444" s="549"/>
      <c r="AV1444" s="549"/>
      <c r="AW1444" s="549"/>
      <c r="AX1444" s="549"/>
      <c r="AY1444" s="549"/>
      <c r="AZ1444" s="549"/>
      <c r="BA1444" s="549"/>
      <c r="BB1444" s="549"/>
      <c r="BC1444" s="549"/>
      <c r="BD1444" s="549"/>
      <c r="BE1444" s="549"/>
      <c r="BF1444" s="549"/>
      <c r="BG1444" s="549"/>
      <c r="BH1444" s="549"/>
      <c r="BI1444" s="549"/>
    </row>
    <row r="1445" spans="16:61" s="254" customFormat="1" ht="9.9">
      <c r="P1445" s="549"/>
      <c r="Q1445" s="549"/>
      <c r="R1445" s="549"/>
      <c r="S1445" s="549"/>
      <c r="T1445" s="549"/>
      <c r="U1445" s="549"/>
      <c r="V1445" s="549"/>
      <c r="W1445" s="549"/>
      <c r="X1445" s="549"/>
      <c r="Y1445" s="549"/>
      <c r="Z1445" s="549"/>
      <c r="AA1445" s="549"/>
      <c r="AB1445" s="549"/>
      <c r="AC1445" s="549"/>
      <c r="AD1445" s="549"/>
      <c r="AE1445" s="549"/>
      <c r="AF1445" s="549"/>
      <c r="AG1445" s="549"/>
      <c r="AH1445" s="549"/>
      <c r="AI1445" s="549"/>
      <c r="AJ1445" s="549"/>
      <c r="AK1445" s="549"/>
      <c r="AL1445" s="549"/>
      <c r="AM1445" s="549"/>
      <c r="AN1445" s="549"/>
      <c r="AO1445" s="549"/>
      <c r="AP1445" s="549"/>
      <c r="AQ1445" s="549"/>
      <c r="AR1445" s="549"/>
      <c r="AS1445" s="549"/>
      <c r="AT1445" s="549"/>
      <c r="AU1445" s="549"/>
      <c r="AV1445" s="549"/>
      <c r="AW1445" s="549"/>
      <c r="AX1445" s="549"/>
      <c r="AY1445" s="549"/>
      <c r="AZ1445" s="549"/>
      <c r="BA1445" s="549"/>
      <c r="BB1445" s="549"/>
      <c r="BC1445" s="549"/>
      <c r="BD1445" s="549"/>
      <c r="BE1445" s="549"/>
      <c r="BF1445" s="549"/>
      <c r="BG1445" s="549"/>
      <c r="BH1445" s="549"/>
      <c r="BI1445" s="549"/>
    </row>
    <row r="1446" spans="16:61" s="254" customFormat="1" ht="9.9">
      <c r="P1446" s="549"/>
      <c r="Q1446" s="549"/>
      <c r="R1446" s="549"/>
      <c r="S1446" s="549"/>
      <c r="T1446" s="549"/>
      <c r="U1446" s="549"/>
      <c r="V1446" s="549"/>
      <c r="W1446" s="549"/>
      <c r="X1446" s="549"/>
      <c r="Y1446" s="549"/>
      <c r="Z1446" s="549"/>
      <c r="AA1446" s="549"/>
      <c r="AB1446" s="549"/>
      <c r="AC1446" s="549"/>
      <c r="AD1446" s="549"/>
      <c r="AE1446" s="549"/>
      <c r="AF1446" s="549"/>
      <c r="AG1446" s="549"/>
      <c r="AH1446" s="549"/>
      <c r="AI1446" s="549"/>
      <c r="AJ1446" s="549"/>
      <c r="AK1446" s="549"/>
      <c r="AL1446" s="549"/>
      <c r="AM1446" s="549"/>
      <c r="AN1446" s="549"/>
      <c r="AO1446" s="549"/>
      <c r="AP1446" s="549"/>
      <c r="AQ1446" s="549"/>
      <c r="AR1446" s="549"/>
      <c r="AS1446" s="549"/>
      <c r="AT1446" s="549"/>
      <c r="AU1446" s="549"/>
      <c r="AV1446" s="549"/>
      <c r="AW1446" s="549"/>
      <c r="AX1446" s="549"/>
      <c r="AY1446" s="549"/>
      <c r="AZ1446" s="549"/>
      <c r="BA1446" s="549"/>
      <c r="BB1446" s="549"/>
      <c r="BC1446" s="549"/>
      <c r="BD1446" s="549"/>
      <c r="BE1446" s="549"/>
      <c r="BF1446" s="549"/>
      <c r="BG1446" s="549"/>
      <c r="BH1446" s="549"/>
      <c r="BI1446" s="549"/>
    </row>
    <row r="1447" spans="16:61" s="254" customFormat="1" ht="9.9">
      <c r="P1447" s="549"/>
      <c r="Q1447" s="549"/>
      <c r="R1447" s="549"/>
      <c r="S1447" s="549"/>
      <c r="T1447" s="549"/>
      <c r="U1447" s="549"/>
      <c r="V1447" s="549"/>
      <c r="W1447" s="549"/>
      <c r="X1447" s="549"/>
      <c r="Y1447" s="549"/>
      <c r="Z1447" s="549"/>
      <c r="AA1447" s="549"/>
      <c r="AB1447" s="549"/>
      <c r="AC1447" s="549"/>
      <c r="AD1447" s="549"/>
      <c r="AE1447" s="549"/>
      <c r="AF1447" s="549"/>
      <c r="AG1447" s="549"/>
      <c r="AH1447" s="549"/>
      <c r="AI1447" s="549"/>
      <c r="AJ1447" s="549"/>
      <c r="AK1447" s="549"/>
      <c r="AL1447" s="549"/>
      <c r="AM1447" s="549"/>
      <c r="AN1447" s="549"/>
      <c r="AO1447" s="549"/>
      <c r="AP1447" s="549"/>
      <c r="AQ1447" s="549"/>
      <c r="AR1447" s="549"/>
      <c r="AS1447" s="549"/>
      <c r="AT1447" s="549"/>
      <c r="AU1447" s="549"/>
      <c r="AV1447" s="549"/>
      <c r="AW1447" s="549"/>
      <c r="AX1447" s="549"/>
      <c r="AY1447" s="549"/>
      <c r="AZ1447" s="549"/>
      <c r="BA1447" s="549"/>
      <c r="BB1447" s="549"/>
      <c r="BC1447" s="549"/>
      <c r="BD1447" s="549"/>
      <c r="BE1447" s="549"/>
      <c r="BF1447" s="549"/>
      <c r="BG1447" s="549"/>
      <c r="BH1447" s="549"/>
      <c r="BI1447" s="549"/>
    </row>
    <row r="1448" spans="16:61" s="254" customFormat="1" ht="9.9">
      <c r="P1448" s="549"/>
      <c r="Q1448" s="549"/>
      <c r="R1448" s="549"/>
      <c r="S1448" s="549"/>
      <c r="T1448" s="549"/>
      <c r="U1448" s="549"/>
      <c r="V1448" s="549"/>
      <c r="W1448" s="549"/>
      <c r="X1448" s="549"/>
      <c r="Y1448" s="549"/>
      <c r="Z1448" s="549"/>
      <c r="AA1448" s="549"/>
      <c r="AB1448" s="549"/>
      <c r="AC1448" s="549"/>
      <c r="AD1448" s="549"/>
      <c r="AE1448" s="549"/>
      <c r="AF1448" s="549"/>
      <c r="AG1448" s="549"/>
      <c r="AH1448" s="549"/>
      <c r="AI1448" s="549"/>
      <c r="AJ1448" s="549"/>
      <c r="AK1448" s="549"/>
      <c r="AL1448" s="549"/>
      <c r="AM1448" s="549"/>
      <c r="AN1448" s="549"/>
      <c r="AO1448" s="549"/>
      <c r="AP1448" s="549"/>
      <c r="AQ1448" s="549"/>
      <c r="AR1448" s="549"/>
      <c r="AS1448" s="549"/>
      <c r="AT1448" s="549"/>
      <c r="AU1448" s="549"/>
      <c r="AV1448" s="549"/>
      <c r="AW1448" s="549"/>
      <c r="AX1448" s="549"/>
      <c r="AY1448" s="549"/>
      <c r="AZ1448" s="549"/>
      <c r="BA1448" s="549"/>
      <c r="BB1448" s="549"/>
      <c r="BC1448" s="549"/>
      <c r="BD1448" s="549"/>
      <c r="BE1448" s="549"/>
      <c r="BF1448" s="549"/>
      <c r="BG1448" s="549"/>
      <c r="BH1448" s="549"/>
      <c r="BI1448" s="549"/>
    </row>
    <row r="1449" spans="16:61" s="254" customFormat="1" ht="9.9">
      <c r="P1449" s="549"/>
      <c r="Q1449" s="549"/>
      <c r="R1449" s="549"/>
      <c r="S1449" s="549"/>
      <c r="T1449" s="549"/>
      <c r="U1449" s="549"/>
      <c r="V1449" s="549"/>
      <c r="W1449" s="549"/>
      <c r="X1449" s="549"/>
      <c r="Y1449" s="549"/>
      <c r="Z1449" s="549"/>
      <c r="AA1449" s="549"/>
      <c r="AB1449" s="549"/>
      <c r="AC1449" s="549"/>
      <c r="AD1449" s="549"/>
      <c r="AE1449" s="549"/>
      <c r="AF1449" s="549"/>
      <c r="AG1449" s="549"/>
      <c r="AH1449" s="549"/>
      <c r="AI1449" s="549"/>
      <c r="AJ1449" s="549"/>
      <c r="AK1449" s="549"/>
      <c r="AL1449" s="549"/>
      <c r="AM1449" s="549"/>
      <c r="AN1449" s="549"/>
      <c r="AO1449" s="549"/>
      <c r="AP1449" s="549"/>
      <c r="AQ1449" s="549"/>
      <c r="AR1449" s="549"/>
      <c r="AS1449" s="549"/>
      <c r="AT1449" s="549"/>
      <c r="AU1449" s="549"/>
      <c r="AV1449" s="549"/>
      <c r="AW1449" s="549"/>
      <c r="AX1449" s="549"/>
      <c r="AY1449" s="549"/>
      <c r="AZ1449" s="549"/>
      <c r="BA1449" s="549"/>
      <c r="BB1449" s="549"/>
      <c r="BC1449" s="549"/>
      <c r="BD1449" s="549"/>
      <c r="BE1449" s="549"/>
      <c r="BF1449" s="549"/>
      <c r="BG1449" s="549"/>
      <c r="BH1449" s="549"/>
      <c r="BI1449" s="549"/>
    </row>
    <row r="1450" spans="16:61" s="254" customFormat="1" ht="9.9">
      <c r="P1450" s="549"/>
      <c r="Q1450" s="549"/>
      <c r="R1450" s="549"/>
      <c r="S1450" s="549"/>
      <c r="T1450" s="549"/>
      <c r="U1450" s="549"/>
      <c r="V1450" s="549"/>
      <c r="W1450" s="549"/>
      <c r="X1450" s="549"/>
      <c r="Y1450" s="549"/>
      <c r="Z1450" s="549"/>
      <c r="AA1450" s="549"/>
      <c r="AB1450" s="549"/>
      <c r="AC1450" s="549"/>
      <c r="AD1450" s="549"/>
      <c r="AE1450" s="549"/>
      <c r="AF1450" s="549"/>
      <c r="AG1450" s="549"/>
      <c r="AH1450" s="549"/>
      <c r="AI1450" s="549"/>
      <c r="AJ1450" s="549"/>
      <c r="AK1450" s="549"/>
      <c r="AL1450" s="549"/>
      <c r="AM1450" s="549"/>
      <c r="AN1450" s="549"/>
      <c r="AO1450" s="549"/>
      <c r="AP1450" s="549"/>
      <c r="AQ1450" s="549"/>
      <c r="AR1450" s="549"/>
      <c r="AS1450" s="549"/>
      <c r="AT1450" s="549"/>
      <c r="AU1450" s="549"/>
      <c r="AV1450" s="549"/>
      <c r="AW1450" s="549"/>
      <c r="AX1450" s="549"/>
      <c r="AY1450" s="549"/>
      <c r="AZ1450" s="549"/>
      <c r="BA1450" s="549"/>
      <c r="BB1450" s="549"/>
      <c r="BC1450" s="549"/>
      <c r="BD1450" s="549"/>
      <c r="BE1450" s="549"/>
      <c r="BF1450" s="549"/>
      <c r="BG1450" s="549"/>
      <c r="BH1450" s="549"/>
      <c r="BI1450" s="549"/>
    </row>
    <row r="1451" spans="16:61" s="254" customFormat="1" ht="9.9">
      <c r="P1451" s="549"/>
      <c r="Q1451" s="549"/>
      <c r="R1451" s="549"/>
      <c r="S1451" s="549"/>
      <c r="T1451" s="549"/>
      <c r="U1451" s="549"/>
      <c r="V1451" s="549"/>
      <c r="W1451" s="549"/>
      <c r="X1451" s="549"/>
      <c r="Y1451" s="549"/>
      <c r="Z1451" s="549"/>
      <c r="AA1451" s="549"/>
      <c r="AB1451" s="549"/>
      <c r="AC1451" s="549"/>
      <c r="AD1451" s="549"/>
      <c r="AE1451" s="549"/>
      <c r="AF1451" s="549"/>
      <c r="AG1451" s="549"/>
      <c r="AH1451" s="549"/>
      <c r="AI1451" s="549"/>
      <c r="AJ1451" s="549"/>
      <c r="AK1451" s="549"/>
      <c r="AL1451" s="549"/>
      <c r="AM1451" s="549"/>
      <c r="AN1451" s="549"/>
      <c r="AO1451" s="549"/>
      <c r="AP1451" s="549"/>
      <c r="AQ1451" s="549"/>
      <c r="AR1451" s="549"/>
      <c r="AS1451" s="549"/>
      <c r="AT1451" s="549"/>
      <c r="AU1451" s="549"/>
      <c r="AV1451" s="549"/>
      <c r="AW1451" s="549"/>
      <c r="AX1451" s="549"/>
      <c r="AY1451" s="549"/>
      <c r="AZ1451" s="549"/>
      <c r="BA1451" s="549"/>
      <c r="BB1451" s="549"/>
      <c r="BC1451" s="549"/>
      <c r="BD1451" s="549"/>
      <c r="BE1451" s="549"/>
      <c r="BF1451" s="549"/>
      <c r="BG1451" s="549"/>
      <c r="BH1451" s="549"/>
      <c r="BI1451" s="549"/>
    </row>
    <row r="1452" spans="16:61" s="254" customFormat="1" ht="9.9">
      <c r="P1452" s="549"/>
      <c r="Q1452" s="549"/>
      <c r="R1452" s="549"/>
      <c r="S1452" s="549"/>
      <c r="T1452" s="549"/>
      <c r="U1452" s="549"/>
      <c r="V1452" s="549"/>
      <c r="W1452" s="549"/>
      <c r="X1452" s="549"/>
      <c r="Y1452" s="549"/>
      <c r="Z1452" s="549"/>
      <c r="AA1452" s="549"/>
      <c r="AB1452" s="549"/>
      <c r="AC1452" s="549"/>
      <c r="AD1452" s="549"/>
      <c r="AE1452" s="549"/>
      <c r="AF1452" s="549"/>
      <c r="AG1452" s="549"/>
      <c r="AH1452" s="549"/>
      <c r="AI1452" s="549"/>
      <c r="AJ1452" s="549"/>
      <c r="AK1452" s="549"/>
      <c r="AL1452" s="549"/>
      <c r="AM1452" s="549"/>
      <c r="AN1452" s="549"/>
      <c r="AO1452" s="549"/>
      <c r="AP1452" s="549"/>
      <c r="AQ1452" s="549"/>
      <c r="AR1452" s="549"/>
      <c r="AS1452" s="549"/>
      <c r="AT1452" s="549"/>
      <c r="AU1452" s="549"/>
      <c r="AV1452" s="549"/>
      <c r="AW1452" s="549"/>
      <c r="AX1452" s="549"/>
      <c r="AY1452" s="549"/>
      <c r="AZ1452" s="549"/>
      <c r="BA1452" s="549"/>
      <c r="BB1452" s="549"/>
      <c r="BC1452" s="549"/>
      <c r="BD1452" s="549"/>
      <c r="BE1452" s="549"/>
      <c r="BF1452" s="549"/>
      <c r="BG1452" s="549"/>
      <c r="BH1452" s="549"/>
      <c r="BI1452" s="549"/>
    </row>
    <row r="1453" spans="16:61" s="254" customFormat="1" ht="9.9">
      <c r="P1453" s="549"/>
      <c r="Q1453" s="549"/>
      <c r="R1453" s="549"/>
      <c r="S1453" s="549"/>
      <c r="T1453" s="549"/>
      <c r="U1453" s="549"/>
      <c r="V1453" s="549"/>
      <c r="W1453" s="549"/>
      <c r="X1453" s="549"/>
      <c r="Y1453" s="549"/>
      <c r="Z1453" s="549"/>
      <c r="AA1453" s="549"/>
      <c r="AB1453" s="549"/>
      <c r="AC1453" s="549"/>
      <c r="AD1453" s="549"/>
      <c r="AE1453" s="549"/>
      <c r="AF1453" s="549"/>
      <c r="AG1453" s="549"/>
      <c r="AH1453" s="549"/>
      <c r="AI1453" s="549"/>
      <c r="AJ1453" s="549"/>
      <c r="AK1453" s="549"/>
      <c r="AL1453" s="549"/>
      <c r="AM1453" s="549"/>
      <c r="AN1453" s="549"/>
      <c r="AO1453" s="549"/>
      <c r="AP1453" s="549"/>
      <c r="AQ1453" s="549"/>
      <c r="AR1453" s="549"/>
      <c r="AS1453" s="549"/>
      <c r="AT1453" s="549"/>
      <c r="AU1453" s="549"/>
      <c r="AV1453" s="549"/>
      <c r="AW1453" s="549"/>
      <c r="AX1453" s="549"/>
      <c r="AY1453" s="549"/>
      <c r="AZ1453" s="549"/>
      <c r="BA1453" s="549"/>
      <c r="BB1453" s="549"/>
      <c r="BC1453" s="549"/>
      <c r="BD1453" s="549"/>
      <c r="BE1453" s="549"/>
      <c r="BF1453" s="549"/>
      <c r="BG1453" s="549"/>
      <c r="BH1453" s="549"/>
      <c r="BI1453" s="549"/>
    </row>
    <row r="1454" spans="16:61" s="254" customFormat="1" ht="9.9">
      <c r="P1454" s="549"/>
      <c r="Q1454" s="549"/>
      <c r="R1454" s="549"/>
      <c r="S1454" s="549"/>
      <c r="T1454" s="549"/>
      <c r="U1454" s="549"/>
      <c r="V1454" s="549"/>
      <c r="W1454" s="549"/>
      <c r="X1454" s="549"/>
      <c r="Y1454" s="549"/>
      <c r="Z1454" s="549"/>
      <c r="AA1454" s="549"/>
      <c r="AB1454" s="549"/>
      <c r="AC1454" s="549"/>
      <c r="AD1454" s="549"/>
      <c r="AE1454" s="549"/>
      <c r="AF1454" s="549"/>
      <c r="AG1454" s="549"/>
      <c r="AH1454" s="549"/>
      <c r="AI1454" s="549"/>
      <c r="AJ1454" s="549"/>
      <c r="AK1454" s="549"/>
      <c r="AL1454" s="549"/>
      <c r="AM1454" s="549"/>
      <c r="AN1454" s="549"/>
      <c r="AO1454" s="549"/>
      <c r="AP1454" s="549"/>
      <c r="AQ1454" s="549"/>
      <c r="AR1454" s="549"/>
      <c r="AS1454" s="549"/>
      <c r="AT1454" s="549"/>
      <c r="AU1454" s="549"/>
      <c r="AV1454" s="549"/>
      <c r="AW1454" s="549"/>
      <c r="AX1454" s="549"/>
      <c r="AY1454" s="549"/>
      <c r="AZ1454" s="549"/>
      <c r="BA1454" s="549"/>
      <c r="BB1454" s="549"/>
      <c r="BC1454" s="549"/>
      <c r="BD1454" s="549"/>
      <c r="BE1454" s="549"/>
      <c r="BF1454" s="549"/>
      <c r="BG1454" s="549"/>
      <c r="BH1454" s="549"/>
      <c r="BI1454" s="549"/>
    </row>
    <row r="1455" spans="16:61" s="254" customFormat="1" ht="9.9">
      <c r="P1455" s="549"/>
      <c r="Q1455" s="549"/>
      <c r="R1455" s="549"/>
      <c r="S1455" s="549"/>
      <c r="T1455" s="549"/>
      <c r="U1455" s="549"/>
      <c r="V1455" s="549"/>
      <c r="W1455" s="549"/>
      <c r="X1455" s="549"/>
      <c r="Y1455" s="549"/>
      <c r="Z1455" s="549"/>
      <c r="AA1455" s="549"/>
      <c r="AB1455" s="549"/>
      <c r="AC1455" s="549"/>
      <c r="AD1455" s="549"/>
      <c r="AE1455" s="549"/>
      <c r="AF1455" s="549"/>
      <c r="AG1455" s="549"/>
      <c r="AH1455" s="549"/>
      <c r="AI1455" s="549"/>
      <c r="AJ1455" s="549"/>
      <c r="AK1455" s="549"/>
      <c r="AL1455" s="549"/>
      <c r="AM1455" s="549"/>
      <c r="AN1455" s="549"/>
      <c r="AO1455" s="549"/>
      <c r="AP1455" s="549"/>
      <c r="AQ1455" s="549"/>
      <c r="AR1455" s="549"/>
      <c r="AS1455" s="549"/>
      <c r="AT1455" s="549"/>
      <c r="AU1455" s="549"/>
      <c r="AV1455" s="549"/>
      <c r="AW1455" s="549"/>
      <c r="AX1455" s="549"/>
      <c r="AY1455" s="549"/>
      <c r="AZ1455" s="549"/>
      <c r="BA1455" s="549"/>
      <c r="BB1455" s="549"/>
      <c r="BC1455" s="549"/>
      <c r="BD1455" s="549"/>
      <c r="BE1455" s="549"/>
      <c r="BF1455" s="549"/>
      <c r="BG1455" s="549"/>
      <c r="BH1455" s="549"/>
      <c r="BI1455" s="549"/>
    </row>
    <row r="1456" spans="16:61" s="254" customFormat="1" ht="9.9">
      <c r="P1456" s="549"/>
      <c r="Q1456" s="549"/>
      <c r="R1456" s="549"/>
      <c r="S1456" s="549"/>
      <c r="T1456" s="549"/>
      <c r="U1456" s="549"/>
      <c r="V1456" s="549"/>
      <c r="W1456" s="549"/>
      <c r="X1456" s="549"/>
      <c r="Y1456" s="549"/>
      <c r="Z1456" s="549"/>
      <c r="AA1456" s="549"/>
      <c r="AB1456" s="549"/>
      <c r="AC1456" s="549"/>
      <c r="AD1456" s="549"/>
      <c r="AE1456" s="549"/>
      <c r="AF1456" s="549"/>
      <c r="AG1456" s="549"/>
      <c r="AH1456" s="549"/>
      <c r="AI1456" s="549"/>
      <c r="AJ1456" s="549"/>
      <c r="AK1456" s="549"/>
      <c r="AL1456" s="549"/>
      <c r="AM1456" s="549"/>
      <c r="AN1456" s="549"/>
      <c r="AO1456" s="549"/>
      <c r="AP1456" s="549"/>
      <c r="AQ1456" s="549"/>
      <c r="AR1456" s="549"/>
      <c r="AS1456" s="549"/>
      <c r="AT1456" s="549"/>
      <c r="AU1456" s="549"/>
      <c r="AV1456" s="549"/>
      <c r="AW1456" s="549"/>
      <c r="AX1456" s="549"/>
      <c r="AY1456" s="549"/>
      <c r="AZ1456" s="549"/>
      <c r="BA1456" s="549"/>
      <c r="BB1456" s="549"/>
      <c r="BC1456" s="549"/>
      <c r="BD1456" s="549"/>
      <c r="BE1456" s="549"/>
      <c r="BF1456" s="549"/>
      <c r="BG1456" s="549"/>
      <c r="BH1456" s="549"/>
      <c r="BI1456" s="549"/>
    </row>
    <row r="1457" spans="16:61" s="254" customFormat="1" ht="9.9">
      <c r="P1457" s="549"/>
      <c r="Q1457" s="549"/>
      <c r="R1457" s="549"/>
      <c r="S1457" s="549"/>
      <c r="T1457" s="549"/>
      <c r="U1457" s="549"/>
      <c r="V1457" s="549"/>
      <c r="W1457" s="549"/>
      <c r="X1457" s="549"/>
      <c r="Y1457" s="549"/>
      <c r="Z1457" s="549"/>
      <c r="AA1457" s="549"/>
      <c r="AB1457" s="549"/>
      <c r="AC1457" s="549"/>
      <c r="AD1457" s="549"/>
      <c r="AE1457" s="549"/>
      <c r="AF1457" s="549"/>
      <c r="AG1457" s="549"/>
      <c r="AH1457" s="549"/>
      <c r="AI1457" s="549"/>
      <c r="AJ1457" s="549"/>
      <c r="AK1457" s="549"/>
      <c r="AL1457" s="549"/>
      <c r="AM1457" s="549"/>
      <c r="AN1457" s="549"/>
      <c r="AO1457" s="549"/>
      <c r="AP1457" s="549"/>
      <c r="AQ1457" s="549"/>
      <c r="AR1457" s="549"/>
      <c r="AS1457" s="549"/>
      <c r="AT1457" s="549"/>
      <c r="AU1457" s="549"/>
      <c r="AV1457" s="549"/>
      <c r="AW1457" s="549"/>
      <c r="AX1457" s="549"/>
      <c r="AY1457" s="549"/>
      <c r="AZ1457" s="549"/>
      <c r="BA1457" s="549"/>
      <c r="BB1457" s="549"/>
      <c r="BC1457" s="549"/>
      <c r="BD1457" s="549"/>
      <c r="BE1457" s="549"/>
      <c r="BF1457" s="549"/>
      <c r="BG1457" s="549"/>
      <c r="BH1457" s="549"/>
      <c r="BI1457" s="549"/>
    </row>
    <row r="1458" spans="16:61" s="254" customFormat="1" ht="9.9">
      <c r="P1458" s="549"/>
      <c r="Q1458" s="549"/>
      <c r="R1458" s="549"/>
      <c r="S1458" s="549"/>
      <c r="T1458" s="549"/>
      <c r="U1458" s="549"/>
      <c r="V1458" s="549"/>
      <c r="W1458" s="549"/>
      <c r="X1458" s="549"/>
      <c r="Y1458" s="549"/>
      <c r="Z1458" s="549"/>
      <c r="AA1458" s="549"/>
      <c r="AB1458" s="549"/>
      <c r="AC1458" s="549"/>
      <c r="AD1458" s="549"/>
      <c r="AE1458" s="549"/>
      <c r="AF1458" s="549"/>
      <c r="AG1458" s="549"/>
      <c r="AH1458" s="549"/>
      <c r="AI1458" s="549"/>
      <c r="AJ1458" s="549"/>
      <c r="AK1458" s="549"/>
      <c r="AL1458" s="549"/>
      <c r="AM1458" s="549"/>
      <c r="AN1458" s="549"/>
      <c r="AO1458" s="549"/>
      <c r="AP1458" s="549"/>
      <c r="AQ1458" s="549"/>
      <c r="AR1458" s="549"/>
      <c r="AS1458" s="549"/>
      <c r="AT1458" s="549"/>
      <c r="AU1458" s="549"/>
      <c r="AV1458" s="549"/>
      <c r="AW1458" s="549"/>
      <c r="AX1458" s="549"/>
      <c r="AY1458" s="549"/>
      <c r="AZ1458" s="549"/>
      <c r="BA1458" s="549"/>
      <c r="BB1458" s="549"/>
      <c r="BC1458" s="549"/>
      <c r="BD1458" s="549"/>
      <c r="BE1458" s="549"/>
      <c r="BF1458" s="549"/>
      <c r="BG1458" s="549"/>
      <c r="BH1458" s="549"/>
      <c r="BI1458" s="549"/>
    </row>
    <row r="1459" spans="16:61" s="254" customFormat="1" ht="9.9">
      <c r="P1459" s="549"/>
      <c r="Q1459" s="549"/>
      <c r="R1459" s="549"/>
      <c r="S1459" s="549"/>
      <c r="T1459" s="549"/>
      <c r="U1459" s="549"/>
      <c r="V1459" s="549"/>
      <c r="W1459" s="549"/>
      <c r="X1459" s="549"/>
      <c r="Y1459" s="549"/>
      <c r="Z1459" s="549"/>
      <c r="AA1459" s="549"/>
      <c r="AB1459" s="549"/>
      <c r="AC1459" s="549"/>
      <c r="AD1459" s="549"/>
      <c r="AE1459" s="549"/>
      <c r="AF1459" s="549"/>
      <c r="AG1459" s="549"/>
      <c r="AH1459" s="549"/>
      <c r="AI1459" s="549"/>
      <c r="AJ1459" s="549"/>
      <c r="AK1459" s="549"/>
      <c r="AL1459" s="549"/>
      <c r="AM1459" s="549"/>
      <c r="AN1459" s="549"/>
      <c r="AO1459" s="549"/>
      <c r="AP1459" s="549"/>
      <c r="AQ1459" s="549"/>
      <c r="AR1459" s="549"/>
      <c r="AS1459" s="549"/>
      <c r="AT1459" s="549"/>
      <c r="AU1459" s="549"/>
      <c r="AV1459" s="549"/>
      <c r="AW1459" s="549"/>
      <c r="AX1459" s="549"/>
      <c r="AY1459" s="549"/>
      <c r="AZ1459" s="549"/>
      <c r="BA1459" s="549"/>
      <c r="BB1459" s="549"/>
      <c r="BC1459" s="549"/>
      <c r="BD1459" s="549"/>
      <c r="BE1459" s="549"/>
      <c r="BF1459" s="549"/>
      <c r="BG1459" s="549"/>
      <c r="BH1459" s="549"/>
      <c r="BI1459" s="549"/>
    </row>
    <row r="1460" spans="16:61" s="254" customFormat="1" ht="9.9">
      <c r="P1460" s="549"/>
      <c r="Q1460" s="549"/>
      <c r="R1460" s="549"/>
      <c r="S1460" s="549"/>
      <c r="T1460" s="549"/>
      <c r="U1460" s="549"/>
      <c r="V1460" s="549"/>
      <c r="W1460" s="549"/>
      <c r="X1460" s="549"/>
      <c r="Y1460" s="549"/>
      <c r="Z1460" s="549"/>
      <c r="AA1460" s="549"/>
      <c r="AB1460" s="549"/>
      <c r="AC1460" s="549"/>
      <c r="AD1460" s="549"/>
      <c r="AE1460" s="549"/>
      <c r="AF1460" s="549"/>
      <c r="AG1460" s="549"/>
      <c r="AH1460" s="549"/>
      <c r="AI1460" s="549"/>
      <c r="AJ1460" s="549"/>
      <c r="AK1460" s="549"/>
      <c r="AL1460" s="549"/>
      <c r="AM1460" s="549"/>
      <c r="AN1460" s="549"/>
      <c r="AO1460" s="549"/>
      <c r="AP1460" s="549"/>
      <c r="AQ1460" s="549"/>
      <c r="AR1460" s="549"/>
      <c r="AS1460" s="549"/>
      <c r="AT1460" s="549"/>
      <c r="AU1460" s="549"/>
      <c r="AV1460" s="549"/>
      <c r="AW1460" s="549"/>
      <c r="AX1460" s="549"/>
      <c r="AY1460" s="549"/>
      <c r="AZ1460" s="549"/>
      <c r="BA1460" s="549"/>
      <c r="BB1460" s="549"/>
      <c r="BC1460" s="549"/>
      <c r="BD1460" s="549"/>
      <c r="BE1460" s="549"/>
      <c r="BF1460" s="549"/>
      <c r="BG1460" s="549"/>
      <c r="BH1460" s="549"/>
      <c r="BI1460" s="549"/>
    </row>
    <row r="1461" spans="16:61" s="254" customFormat="1" ht="9.9">
      <c r="P1461" s="549"/>
      <c r="Q1461" s="549"/>
      <c r="R1461" s="549"/>
      <c r="S1461" s="549"/>
      <c r="T1461" s="549"/>
      <c r="U1461" s="549"/>
      <c r="V1461" s="549"/>
      <c r="W1461" s="549"/>
      <c r="X1461" s="549"/>
      <c r="Y1461" s="549"/>
      <c r="Z1461" s="549"/>
      <c r="AA1461" s="549"/>
      <c r="AB1461" s="549"/>
      <c r="AC1461" s="549"/>
      <c r="AD1461" s="549"/>
      <c r="AE1461" s="549"/>
      <c r="AF1461" s="549"/>
      <c r="AG1461" s="549"/>
      <c r="AH1461" s="549"/>
      <c r="AI1461" s="549"/>
      <c r="AJ1461" s="549"/>
      <c r="AK1461" s="549"/>
      <c r="AL1461" s="549"/>
      <c r="AM1461" s="549"/>
      <c r="AN1461" s="549"/>
      <c r="AO1461" s="549"/>
      <c r="AP1461" s="549"/>
      <c r="AQ1461" s="549"/>
      <c r="AR1461" s="549"/>
      <c r="AS1461" s="549"/>
      <c r="AT1461" s="549"/>
      <c r="AU1461" s="549"/>
      <c r="AV1461" s="549"/>
      <c r="AW1461" s="549"/>
      <c r="AX1461" s="549"/>
      <c r="AY1461" s="549"/>
      <c r="AZ1461" s="549"/>
      <c r="BA1461" s="549"/>
      <c r="BB1461" s="549"/>
      <c r="BC1461" s="549"/>
      <c r="BD1461" s="549"/>
      <c r="BE1461" s="549"/>
      <c r="BF1461" s="549"/>
      <c r="BG1461" s="549"/>
      <c r="BH1461" s="549"/>
      <c r="BI1461" s="549"/>
    </row>
    <row r="1462" spans="16:61" s="254" customFormat="1" ht="9.9">
      <c r="P1462" s="549"/>
      <c r="Q1462" s="549"/>
      <c r="R1462" s="549"/>
      <c r="S1462" s="549"/>
      <c r="T1462" s="549"/>
      <c r="U1462" s="549"/>
      <c r="V1462" s="549"/>
      <c r="W1462" s="549"/>
      <c r="X1462" s="549"/>
      <c r="Y1462" s="549"/>
      <c r="Z1462" s="549"/>
      <c r="AA1462" s="549"/>
      <c r="AB1462" s="549"/>
      <c r="AC1462" s="549"/>
      <c r="AD1462" s="549"/>
      <c r="AE1462" s="549"/>
      <c r="AF1462" s="549"/>
      <c r="AG1462" s="549"/>
      <c r="AH1462" s="549"/>
      <c r="AI1462" s="549"/>
      <c r="AJ1462" s="549"/>
      <c r="AK1462" s="549"/>
      <c r="AL1462" s="549"/>
      <c r="AM1462" s="549"/>
      <c r="AN1462" s="549"/>
      <c r="AO1462" s="549"/>
      <c r="AP1462" s="549"/>
      <c r="AQ1462" s="549"/>
      <c r="AR1462" s="549"/>
      <c r="AS1462" s="549"/>
      <c r="AT1462" s="549"/>
      <c r="AU1462" s="549"/>
      <c r="AV1462" s="549"/>
      <c r="AW1462" s="549"/>
      <c r="AX1462" s="549"/>
      <c r="AY1462" s="549"/>
      <c r="AZ1462" s="549"/>
      <c r="BA1462" s="549"/>
      <c r="BB1462" s="549"/>
      <c r="BC1462" s="549"/>
      <c r="BD1462" s="549"/>
      <c r="BE1462" s="549"/>
      <c r="BF1462" s="549"/>
      <c r="BG1462" s="549"/>
      <c r="BH1462" s="549"/>
      <c r="BI1462" s="549"/>
    </row>
    <row r="1463" spans="16:61" s="254" customFormat="1" ht="9.9">
      <c r="P1463" s="549"/>
      <c r="Q1463" s="549"/>
      <c r="R1463" s="549"/>
      <c r="S1463" s="549"/>
      <c r="T1463" s="549"/>
      <c r="U1463" s="549"/>
      <c r="V1463" s="549"/>
      <c r="W1463" s="549"/>
      <c r="X1463" s="549"/>
      <c r="Y1463" s="549"/>
      <c r="Z1463" s="549"/>
      <c r="AA1463" s="549"/>
      <c r="AB1463" s="549"/>
      <c r="AC1463" s="549"/>
      <c r="AD1463" s="549"/>
      <c r="AE1463" s="549"/>
      <c r="AF1463" s="549"/>
      <c r="AG1463" s="549"/>
      <c r="AH1463" s="549"/>
      <c r="AI1463" s="549"/>
      <c r="AJ1463" s="549"/>
      <c r="AK1463" s="549"/>
      <c r="AL1463" s="549"/>
      <c r="AM1463" s="549"/>
      <c r="AN1463" s="549"/>
      <c r="AO1463" s="549"/>
      <c r="AP1463" s="549"/>
      <c r="AQ1463" s="549"/>
      <c r="AR1463" s="549"/>
      <c r="AS1463" s="549"/>
      <c r="AT1463" s="549"/>
      <c r="AU1463" s="549"/>
      <c r="AV1463" s="549"/>
      <c r="AW1463" s="549"/>
      <c r="AX1463" s="549"/>
      <c r="AY1463" s="549"/>
      <c r="AZ1463" s="549"/>
      <c r="BA1463" s="549"/>
      <c r="BB1463" s="549"/>
      <c r="BC1463" s="549"/>
      <c r="BD1463" s="549"/>
      <c r="BE1463" s="549"/>
      <c r="BF1463" s="549"/>
      <c r="BG1463" s="549"/>
      <c r="BH1463" s="549"/>
      <c r="BI1463" s="549"/>
    </row>
    <row r="1464" spans="16:61" s="254" customFormat="1" ht="9.9">
      <c r="P1464" s="549"/>
      <c r="Q1464" s="549"/>
      <c r="R1464" s="549"/>
      <c r="S1464" s="549"/>
      <c r="T1464" s="549"/>
      <c r="U1464" s="549"/>
      <c r="V1464" s="549"/>
      <c r="W1464" s="549"/>
      <c r="X1464" s="549"/>
      <c r="Y1464" s="549"/>
      <c r="Z1464" s="549"/>
      <c r="AA1464" s="549"/>
      <c r="AB1464" s="549"/>
      <c r="AC1464" s="549"/>
      <c r="AD1464" s="549"/>
      <c r="AE1464" s="549"/>
      <c r="AF1464" s="549"/>
      <c r="AG1464" s="549"/>
      <c r="AH1464" s="549"/>
      <c r="AI1464" s="549"/>
      <c r="AJ1464" s="549"/>
      <c r="AK1464" s="549"/>
      <c r="AL1464" s="549"/>
      <c r="AM1464" s="549"/>
      <c r="AN1464" s="549"/>
      <c r="AO1464" s="549"/>
      <c r="AP1464" s="549"/>
      <c r="AQ1464" s="549"/>
      <c r="AR1464" s="549"/>
      <c r="AS1464" s="549"/>
      <c r="AT1464" s="549"/>
      <c r="AU1464" s="549"/>
      <c r="AV1464" s="549"/>
      <c r="AW1464" s="549"/>
      <c r="AX1464" s="549"/>
      <c r="AY1464" s="549"/>
      <c r="AZ1464" s="549"/>
      <c r="BA1464" s="549"/>
      <c r="BB1464" s="549"/>
      <c r="BC1464" s="549"/>
      <c r="BD1464" s="549"/>
      <c r="BE1464" s="549"/>
      <c r="BF1464" s="549"/>
      <c r="BG1464" s="549"/>
      <c r="BH1464" s="549"/>
      <c r="BI1464" s="549"/>
    </row>
    <row r="1465" spans="16:61" s="254" customFormat="1" ht="9.9">
      <c r="P1465" s="549"/>
      <c r="Q1465" s="549"/>
      <c r="R1465" s="549"/>
      <c r="S1465" s="549"/>
      <c r="T1465" s="549"/>
      <c r="U1465" s="549"/>
      <c r="V1465" s="549"/>
      <c r="W1465" s="549"/>
      <c r="X1465" s="549"/>
      <c r="Y1465" s="549"/>
      <c r="Z1465" s="549"/>
      <c r="AA1465" s="549"/>
      <c r="AB1465" s="549"/>
      <c r="AC1465" s="549"/>
      <c r="AD1465" s="549"/>
      <c r="AE1465" s="549"/>
      <c r="AF1465" s="549"/>
      <c r="AG1465" s="549"/>
      <c r="AH1465" s="549"/>
      <c r="AI1465" s="549"/>
      <c r="AJ1465" s="549"/>
      <c r="AK1465" s="549"/>
      <c r="AL1465" s="549"/>
      <c r="AM1465" s="549"/>
      <c r="AN1465" s="549"/>
      <c r="AO1465" s="549"/>
      <c r="AP1465" s="549"/>
      <c r="AQ1465" s="549"/>
      <c r="AR1465" s="549"/>
      <c r="AS1465" s="549"/>
      <c r="AT1465" s="549"/>
      <c r="AU1465" s="549"/>
      <c r="AV1465" s="549"/>
      <c r="AW1465" s="549"/>
      <c r="AX1465" s="549"/>
      <c r="AY1465" s="549"/>
      <c r="AZ1465" s="549"/>
      <c r="BA1465" s="549"/>
      <c r="BB1465" s="549"/>
      <c r="BC1465" s="549"/>
      <c r="BD1465" s="549"/>
      <c r="BE1465" s="549"/>
      <c r="BF1465" s="549"/>
      <c r="BG1465" s="549"/>
      <c r="BH1465" s="549"/>
      <c r="BI1465" s="549"/>
    </row>
    <row r="1466" spans="16:61" s="254" customFormat="1" ht="9.9">
      <c r="P1466" s="549"/>
      <c r="Q1466" s="549"/>
      <c r="R1466" s="549"/>
      <c r="S1466" s="549"/>
      <c r="T1466" s="549"/>
      <c r="U1466" s="549"/>
      <c r="V1466" s="549"/>
      <c r="W1466" s="549"/>
      <c r="X1466" s="549"/>
      <c r="Y1466" s="549"/>
      <c r="Z1466" s="549"/>
      <c r="AA1466" s="549"/>
      <c r="AB1466" s="549"/>
      <c r="AC1466" s="549"/>
      <c r="AD1466" s="549"/>
      <c r="AE1466" s="549"/>
      <c r="AF1466" s="549"/>
      <c r="AG1466" s="549"/>
      <c r="AH1466" s="549"/>
      <c r="AI1466" s="549"/>
      <c r="AJ1466" s="549"/>
      <c r="AK1466" s="549"/>
      <c r="AL1466" s="549"/>
      <c r="AM1466" s="549"/>
      <c r="AN1466" s="549"/>
      <c r="AO1466" s="549"/>
      <c r="AP1466" s="549"/>
      <c r="AQ1466" s="549"/>
      <c r="AR1466" s="549"/>
      <c r="AS1466" s="549"/>
      <c r="AT1466" s="549"/>
      <c r="AU1466" s="549"/>
      <c r="AV1466" s="549"/>
      <c r="AW1466" s="549"/>
      <c r="AX1466" s="549"/>
      <c r="AY1466" s="549"/>
      <c r="AZ1466" s="549"/>
      <c r="BA1466" s="549"/>
      <c r="BB1466" s="549"/>
      <c r="BC1466" s="549"/>
      <c r="BD1466" s="549"/>
      <c r="BE1466" s="549"/>
      <c r="BF1466" s="549"/>
      <c r="BG1466" s="549"/>
      <c r="BH1466" s="549"/>
      <c r="BI1466" s="549"/>
    </row>
    <row r="1467" spans="16:61" s="254" customFormat="1" ht="9.9">
      <c r="P1467" s="549"/>
      <c r="Q1467" s="549"/>
      <c r="R1467" s="549"/>
      <c r="S1467" s="549"/>
      <c r="T1467" s="549"/>
      <c r="U1467" s="549"/>
      <c r="V1467" s="549"/>
      <c r="W1467" s="549"/>
      <c r="X1467" s="549"/>
      <c r="Y1467" s="549"/>
      <c r="Z1467" s="549"/>
      <c r="AA1467" s="549"/>
      <c r="AB1467" s="549"/>
      <c r="AC1467" s="549"/>
      <c r="AD1467" s="549"/>
      <c r="AE1467" s="549"/>
      <c r="AF1467" s="549"/>
      <c r="AG1467" s="549"/>
      <c r="AH1467" s="549"/>
      <c r="AI1467" s="549"/>
      <c r="AJ1467" s="549"/>
      <c r="AK1467" s="549"/>
      <c r="AL1467" s="549"/>
      <c r="AM1467" s="549"/>
      <c r="AN1467" s="549"/>
      <c r="AO1467" s="549"/>
      <c r="AP1467" s="549"/>
      <c r="AQ1467" s="549"/>
      <c r="AR1467" s="549"/>
      <c r="AS1467" s="549"/>
      <c r="AT1467" s="549"/>
      <c r="AU1467" s="549"/>
      <c r="AV1467" s="549"/>
      <c r="AW1467" s="549"/>
      <c r="AX1467" s="549"/>
      <c r="AY1467" s="549"/>
      <c r="AZ1467" s="549"/>
      <c r="BA1467" s="549"/>
      <c r="BB1467" s="549"/>
      <c r="BC1467" s="549"/>
      <c r="BD1467" s="549"/>
      <c r="BE1467" s="549"/>
      <c r="BF1467" s="549"/>
      <c r="BG1467" s="549"/>
      <c r="BH1467" s="549"/>
      <c r="BI1467" s="549"/>
    </row>
    <row r="1468" spans="16:61" s="254" customFormat="1" ht="9.9">
      <c r="P1468" s="549"/>
      <c r="Q1468" s="549"/>
      <c r="R1468" s="549"/>
      <c r="S1468" s="549"/>
      <c r="T1468" s="549"/>
      <c r="U1468" s="549"/>
      <c r="V1468" s="549"/>
      <c r="W1468" s="549"/>
      <c r="X1468" s="549"/>
      <c r="Y1468" s="549"/>
      <c r="Z1468" s="549"/>
      <c r="AA1468" s="549"/>
      <c r="AB1468" s="549"/>
      <c r="AC1468" s="549"/>
      <c r="AD1468" s="549"/>
      <c r="AE1468" s="549"/>
      <c r="AF1468" s="549"/>
      <c r="AG1468" s="549"/>
      <c r="AH1468" s="549"/>
      <c r="AI1468" s="549"/>
      <c r="AJ1468" s="549"/>
      <c r="AK1468" s="549"/>
      <c r="AL1468" s="549"/>
      <c r="AM1468" s="549"/>
      <c r="AN1468" s="549"/>
      <c r="AO1468" s="549"/>
      <c r="AP1468" s="549"/>
      <c r="AQ1468" s="549"/>
      <c r="AR1468" s="549"/>
      <c r="AS1468" s="549"/>
      <c r="AT1468" s="549"/>
      <c r="AU1468" s="549"/>
      <c r="AV1468" s="549"/>
      <c r="AW1468" s="549"/>
      <c r="AX1468" s="549"/>
      <c r="AY1468" s="549"/>
      <c r="AZ1468" s="549"/>
      <c r="BA1468" s="549"/>
      <c r="BB1468" s="549"/>
      <c r="BC1468" s="549"/>
      <c r="BD1468" s="549"/>
      <c r="BE1468" s="549"/>
      <c r="BF1468" s="549"/>
      <c r="BG1468" s="549"/>
      <c r="BH1468" s="549"/>
      <c r="BI1468" s="549"/>
    </row>
    <row r="1469" spans="16:61" s="254" customFormat="1" ht="9.9">
      <c r="P1469" s="549"/>
      <c r="Q1469" s="549"/>
      <c r="R1469" s="549"/>
      <c r="S1469" s="549"/>
      <c r="T1469" s="549"/>
      <c r="U1469" s="549"/>
      <c r="V1469" s="549"/>
      <c r="W1469" s="549"/>
      <c r="X1469" s="549"/>
      <c r="Y1469" s="549"/>
      <c r="Z1469" s="549"/>
      <c r="AA1469" s="549"/>
      <c r="AB1469" s="549"/>
      <c r="AC1469" s="549"/>
      <c r="AD1469" s="549"/>
      <c r="AE1469" s="549"/>
      <c r="AF1469" s="549"/>
      <c r="AG1469" s="549"/>
      <c r="AH1469" s="549"/>
      <c r="AI1469" s="549"/>
      <c r="AJ1469" s="549"/>
      <c r="AK1469" s="549"/>
      <c r="AL1469" s="549"/>
      <c r="AM1469" s="549"/>
      <c r="AN1469" s="549"/>
      <c r="AO1469" s="549"/>
      <c r="AP1469" s="549"/>
      <c r="AQ1469" s="549"/>
      <c r="AR1469" s="549"/>
      <c r="AS1469" s="549"/>
      <c r="AT1469" s="549"/>
      <c r="AU1469" s="549"/>
      <c r="AV1469" s="549"/>
      <c r="AW1469" s="549"/>
      <c r="AX1469" s="549"/>
      <c r="AY1469" s="549"/>
      <c r="AZ1469" s="549"/>
      <c r="BA1469" s="549"/>
      <c r="BB1469" s="549"/>
      <c r="BC1469" s="549"/>
      <c r="BD1469" s="549"/>
      <c r="BE1469" s="549"/>
      <c r="BF1469" s="549"/>
      <c r="BG1469" s="549"/>
      <c r="BH1469" s="549"/>
      <c r="BI1469" s="549"/>
    </row>
    <row r="1470" spans="16:61" s="254" customFormat="1" ht="9.9">
      <c r="P1470" s="549"/>
      <c r="Q1470" s="549"/>
      <c r="R1470" s="549"/>
      <c r="S1470" s="549"/>
      <c r="T1470" s="549"/>
      <c r="U1470" s="549"/>
      <c r="V1470" s="549"/>
      <c r="W1470" s="549"/>
      <c r="X1470" s="549"/>
      <c r="Y1470" s="549"/>
      <c r="Z1470" s="549"/>
      <c r="AA1470" s="549"/>
      <c r="AB1470" s="549"/>
      <c r="AC1470" s="549"/>
      <c r="AD1470" s="549"/>
      <c r="AE1470" s="549"/>
      <c r="AF1470" s="549"/>
      <c r="AG1470" s="549"/>
      <c r="AH1470" s="549"/>
      <c r="AI1470" s="549"/>
      <c r="AJ1470" s="549"/>
      <c r="AK1470" s="549"/>
      <c r="AL1470" s="549"/>
      <c r="AM1470" s="549"/>
      <c r="AN1470" s="549"/>
      <c r="AO1470" s="549"/>
      <c r="AP1470" s="549"/>
      <c r="AQ1470" s="549"/>
      <c r="AR1470" s="549"/>
      <c r="AS1470" s="549"/>
      <c r="AT1470" s="549"/>
      <c r="AU1470" s="549"/>
      <c r="AV1470" s="549"/>
      <c r="AW1470" s="549"/>
      <c r="AX1470" s="549"/>
      <c r="AY1470" s="549"/>
      <c r="AZ1470" s="549"/>
      <c r="BA1470" s="549"/>
      <c r="BB1470" s="549"/>
      <c r="BC1470" s="549"/>
      <c r="BD1470" s="549"/>
      <c r="BE1470" s="549"/>
      <c r="BF1470" s="549"/>
      <c r="BG1470" s="549"/>
      <c r="BH1470" s="549"/>
      <c r="BI1470" s="549"/>
    </row>
    <row r="1471" spans="16:61" s="254" customFormat="1" ht="9.9">
      <c r="P1471" s="549"/>
      <c r="Q1471" s="549"/>
      <c r="R1471" s="549"/>
      <c r="S1471" s="549"/>
      <c r="T1471" s="549"/>
      <c r="U1471" s="549"/>
      <c r="V1471" s="549"/>
      <c r="W1471" s="549"/>
      <c r="X1471" s="549"/>
      <c r="Y1471" s="549"/>
      <c r="Z1471" s="549"/>
      <c r="AA1471" s="549"/>
      <c r="AB1471" s="549"/>
      <c r="AC1471" s="549"/>
      <c r="AD1471" s="549"/>
      <c r="AE1471" s="549"/>
      <c r="AF1471" s="549"/>
      <c r="AG1471" s="549"/>
      <c r="AH1471" s="549"/>
      <c r="AI1471" s="549"/>
      <c r="AJ1471" s="549"/>
      <c r="AK1471" s="549"/>
      <c r="AL1471" s="549"/>
      <c r="AM1471" s="549"/>
      <c r="AN1471" s="549"/>
      <c r="AO1471" s="549"/>
      <c r="AP1471" s="549"/>
      <c r="AQ1471" s="549"/>
      <c r="AR1471" s="549"/>
      <c r="AS1471" s="549"/>
      <c r="AT1471" s="549"/>
      <c r="AU1471" s="549"/>
      <c r="AV1471" s="549"/>
      <c r="AW1471" s="549"/>
      <c r="AX1471" s="549"/>
      <c r="AY1471" s="549"/>
      <c r="AZ1471" s="549"/>
      <c r="BA1471" s="549"/>
      <c r="BB1471" s="549"/>
      <c r="BC1471" s="549"/>
      <c r="BD1471" s="549"/>
      <c r="BE1471" s="549"/>
      <c r="BF1471" s="549"/>
      <c r="BG1471" s="549"/>
      <c r="BH1471" s="549"/>
      <c r="BI1471" s="549"/>
    </row>
    <row r="1472" spans="16:61" s="254" customFormat="1" ht="9.9">
      <c r="P1472" s="549"/>
      <c r="Q1472" s="549"/>
      <c r="R1472" s="549"/>
      <c r="S1472" s="549"/>
      <c r="T1472" s="549"/>
      <c r="U1472" s="549"/>
      <c r="V1472" s="549"/>
      <c r="W1472" s="549"/>
      <c r="X1472" s="549"/>
      <c r="Y1472" s="549"/>
      <c r="Z1472" s="549"/>
      <c r="AA1472" s="549"/>
      <c r="AB1472" s="549"/>
      <c r="AC1472" s="549"/>
      <c r="AD1472" s="549"/>
      <c r="AE1472" s="549"/>
      <c r="AF1472" s="549"/>
      <c r="AG1472" s="549"/>
      <c r="AH1472" s="549"/>
      <c r="AI1472" s="549"/>
      <c r="AJ1472" s="549"/>
      <c r="AK1472" s="549"/>
      <c r="AL1472" s="549"/>
      <c r="AM1472" s="549"/>
      <c r="AN1472" s="549"/>
      <c r="AO1472" s="549"/>
      <c r="AP1472" s="549"/>
      <c r="AQ1472" s="549"/>
      <c r="AR1472" s="549"/>
      <c r="AS1472" s="549"/>
      <c r="AT1472" s="549"/>
      <c r="AU1472" s="549"/>
      <c r="AV1472" s="549"/>
      <c r="AW1472" s="549"/>
      <c r="AX1472" s="549"/>
      <c r="AY1472" s="549"/>
      <c r="AZ1472" s="549"/>
      <c r="BA1472" s="549"/>
      <c r="BB1472" s="549"/>
      <c r="BC1472" s="549"/>
      <c r="BD1472" s="549"/>
      <c r="BE1472" s="549"/>
      <c r="BF1472" s="549"/>
      <c r="BG1472" s="549"/>
      <c r="BH1472" s="549"/>
      <c r="BI1472" s="549"/>
    </row>
    <row r="1473" spans="16:61" s="254" customFormat="1" ht="9.9">
      <c r="P1473" s="549"/>
      <c r="Q1473" s="549"/>
      <c r="R1473" s="549"/>
      <c r="S1473" s="549"/>
      <c r="T1473" s="549"/>
      <c r="U1473" s="549"/>
      <c r="V1473" s="549"/>
      <c r="W1473" s="549"/>
      <c r="X1473" s="549"/>
      <c r="Y1473" s="549"/>
      <c r="Z1473" s="549"/>
      <c r="AA1473" s="549"/>
      <c r="AB1473" s="549"/>
      <c r="AC1473" s="549"/>
      <c r="AD1473" s="549"/>
      <c r="AE1473" s="549"/>
      <c r="AF1473" s="549"/>
      <c r="AG1473" s="549"/>
      <c r="AH1473" s="549"/>
      <c r="AI1473" s="549"/>
      <c r="AJ1473" s="549"/>
      <c r="AK1473" s="549"/>
      <c r="AL1473" s="549"/>
      <c r="AM1473" s="549"/>
      <c r="AN1473" s="549"/>
      <c r="AO1473" s="549"/>
      <c r="AP1473" s="549"/>
      <c r="AQ1473" s="549"/>
      <c r="AR1473" s="549"/>
      <c r="AS1473" s="549"/>
      <c r="AT1473" s="549"/>
      <c r="AU1473" s="549"/>
      <c r="AV1473" s="549"/>
      <c r="AW1473" s="549"/>
      <c r="AX1473" s="549"/>
      <c r="AY1473" s="549"/>
      <c r="AZ1473" s="549"/>
      <c r="BA1473" s="549"/>
      <c r="BB1473" s="549"/>
      <c r="BC1473" s="549"/>
      <c r="BD1473" s="549"/>
      <c r="BE1473" s="549"/>
      <c r="BF1473" s="549"/>
      <c r="BG1473" s="549"/>
      <c r="BH1473" s="549"/>
      <c r="BI1473" s="549"/>
    </row>
    <row r="1474" spans="16:61" s="254" customFormat="1" ht="9.9">
      <c r="P1474" s="549"/>
      <c r="Q1474" s="549"/>
      <c r="R1474" s="549"/>
      <c r="S1474" s="549"/>
      <c r="T1474" s="549"/>
      <c r="U1474" s="549"/>
      <c r="V1474" s="549"/>
      <c r="W1474" s="549"/>
      <c r="X1474" s="549"/>
      <c r="Y1474" s="549"/>
      <c r="Z1474" s="549"/>
      <c r="AA1474" s="549"/>
      <c r="AB1474" s="549"/>
      <c r="AC1474" s="549"/>
      <c r="AD1474" s="549"/>
      <c r="AE1474" s="549"/>
      <c r="AF1474" s="549"/>
      <c r="AG1474" s="549"/>
      <c r="AH1474" s="549"/>
      <c r="AI1474" s="549"/>
      <c r="AJ1474" s="549"/>
      <c r="AK1474" s="549"/>
      <c r="AL1474" s="549"/>
      <c r="AM1474" s="549"/>
      <c r="AN1474" s="549"/>
      <c r="AO1474" s="549"/>
      <c r="AP1474" s="549"/>
      <c r="AQ1474" s="549"/>
      <c r="AR1474" s="549"/>
      <c r="AS1474" s="549"/>
      <c r="AT1474" s="549"/>
      <c r="AU1474" s="549"/>
      <c r="AV1474" s="549"/>
      <c r="AW1474" s="549"/>
      <c r="AX1474" s="549"/>
      <c r="AY1474" s="549"/>
      <c r="AZ1474" s="549"/>
      <c r="BA1474" s="549"/>
      <c r="BB1474" s="549"/>
      <c r="BC1474" s="549"/>
      <c r="BD1474" s="549"/>
      <c r="BE1474" s="549"/>
      <c r="BF1474" s="549"/>
      <c r="BG1474" s="549"/>
      <c r="BH1474" s="549"/>
      <c r="BI1474" s="549"/>
    </row>
    <row r="1475" spans="16:61" s="254" customFormat="1" ht="9.9">
      <c r="P1475" s="549"/>
      <c r="Q1475" s="549"/>
      <c r="R1475" s="549"/>
      <c r="S1475" s="549"/>
      <c r="T1475" s="549"/>
      <c r="U1475" s="549"/>
      <c r="V1475" s="549"/>
      <c r="W1475" s="549"/>
      <c r="X1475" s="549"/>
      <c r="Y1475" s="549"/>
      <c r="Z1475" s="549"/>
      <c r="AA1475" s="549"/>
      <c r="AB1475" s="549"/>
      <c r="AC1475" s="549"/>
      <c r="AD1475" s="549"/>
      <c r="AE1475" s="549"/>
      <c r="AF1475" s="549"/>
      <c r="AG1475" s="549"/>
      <c r="AH1475" s="549"/>
      <c r="AI1475" s="549"/>
      <c r="AJ1475" s="549"/>
      <c r="AK1475" s="549"/>
      <c r="AL1475" s="549"/>
      <c r="AM1475" s="549"/>
      <c r="AN1475" s="549"/>
      <c r="AO1475" s="549"/>
      <c r="AP1475" s="549"/>
      <c r="AQ1475" s="549"/>
      <c r="AR1475" s="549"/>
      <c r="AS1475" s="549"/>
      <c r="AT1475" s="549"/>
      <c r="AU1475" s="549"/>
      <c r="AV1475" s="549"/>
      <c r="AW1475" s="549"/>
      <c r="AX1475" s="549"/>
      <c r="AY1475" s="549"/>
      <c r="AZ1475" s="549"/>
      <c r="BA1475" s="549"/>
      <c r="BB1475" s="549"/>
      <c r="BC1475" s="549"/>
      <c r="BD1475" s="549"/>
      <c r="BE1475" s="549"/>
      <c r="BF1475" s="549"/>
      <c r="BG1475" s="549"/>
      <c r="BH1475" s="549"/>
      <c r="BI1475" s="549"/>
    </row>
    <row r="1476" spans="16:61" s="254" customFormat="1" ht="9.9">
      <c r="P1476" s="549"/>
      <c r="Q1476" s="549"/>
      <c r="R1476" s="549"/>
      <c r="S1476" s="549"/>
      <c r="T1476" s="549"/>
      <c r="U1476" s="549"/>
      <c r="V1476" s="549"/>
      <c r="W1476" s="549"/>
      <c r="X1476" s="549"/>
      <c r="Y1476" s="549"/>
      <c r="Z1476" s="549"/>
      <c r="AA1476" s="549"/>
      <c r="AB1476" s="549"/>
      <c r="AC1476" s="549"/>
      <c r="AD1476" s="549"/>
      <c r="AE1476" s="549"/>
      <c r="AF1476" s="549"/>
      <c r="AG1476" s="549"/>
      <c r="AH1476" s="549"/>
      <c r="AI1476" s="549"/>
      <c r="AJ1476" s="549"/>
      <c r="AK1476" s="549"/>
      <c r="AL1476" s="549"/>
      <c r="AM1476" s="549"/>
      <c r="AN1476" s="549"/>
      <c r="AO1476" s="549"/>
      <c r="AP1476" s="549"/>
      <c r="AQ1476" s="549"/>
      <c r="AR1476" s="549"/>
      <c r="AS1476" s="549"/>
      <c r="AT1476" s="549"/>
      <c r="AU1476" s="549"/>
      <c r="AV1476" s="549"/>
      <c r="AW1476" s="549"/>
      <c r="AX1476" s="549"/>
      <c r="AY1476" s="549"/>
      <c r="AZ1476" s="549"/>
      <c r="BA1476" s="549"/>
      <c r="BB1476" s="549"/>
      <c r="BC1476" s="549"/>
      <c r="BD1476" s="549"/>
      <c r="BE1476" s="549"/>
      <c r="BF1476" s="549"/>
      <c r="BG1476" s="549"/>
      <c r="BH1476" s="549"/>
      <c r="BI1476" s="549"/>
    </row>
    <row r="1477" spans="16:61" s="254" customFormat="1" ht="9.9">
      <c r="P1477" s="549"/>
      <c r="Q1477" s="549"/>
      <c r="R1477" s="549"/>
      <c r="S1477" s="549"/>
      <c r="T1477" s="549"/>
      <c r="U1477" s="549"/>
      <c r="V1477" s="549"/>
      <c r="W1477" s="549"/>
      <c r="X1477" s="549"/>
      <c r="Y1477" s="549"/>
      <c r="Z1477" s="549"/>
      <c r="AA1477" s="549"/>
      <c r="AB1477" s="549"/>
      <c r="AC1477" s="549"/>
      <c r="AD1477" s="549"/>
      <c r="AE1477" s="549"/>
      <c r="AF1477" s="549"/>
      <c r="AG1477" s="549"/>
      <c r="AH1477" s="549"/>
      <c r="AI1477" s="549"/>
      <c r="AJ1477" s="549"/>
      <c r="AK1477" s="549"/>
      <c r="AL1477" s="549"/>
      <c r="AM1477" s="549"/>
      <c r="AN1477" s="549"/>
      <c r="AO1477" s="549"/>
      <c r="AP1477" s="549"/>
      <c r="AQ1477" s="549"/>
      <c r="AR1477" s="549"/>
      <c r="AS1477" s="549"/>
      <c r="AT1477" s="549"/>
      <c r="AU1477" s="549"/>
      <c r="AV1477" s="549"/>
      <c r="AW1477" s="549"/>
      <c r="AX1477" s="549"/>
      <c r="AY1477" s="549"/>
      <c r="AZ1477" s="549"/>
      <c r="BA1477" s="549"/>
      <c r="BB1477" s="549"/>
      <c r="BC1477" s="549"/>
      <c r="BD1477" s="549"/>
      <c r="BE1477" s="549"/>
      <c r="BF1477" s="549"/>
      <c r="BG1477" s="549"/>
      <c r="BH1477" s="549"/>
      <c r="BI1477" s="549"/>
    </row>
    <row r="1478" spans="16:61" s="254" customFormat="1" ht="9.9">
      <c r="P1478" s="549"/>
      <c r="Q1478" s="549"/>
      <c r="R1478" s="549"/>
      <c r="S1478" s="549"/>
      <c r="T1478" s="549"/>
      <c r="U1478" s="549"/>
      <c r="V1478" s="549"/>
      <c r="W1478" s="549"/>
      <c r="X1478" s="549"/>
      <c r="Y1478" s="549"/>
      <c r="Z1478" s="549"/>
      <c r="AA1478" s="549"/>
      <c r="AB1478" s="549"/>
      <c r="AC1478" s="549"/>
      <c r="AD1478" s="549"/>
      <c r="AE1478" s="549"/>
      <c r="AF1478" s="549"/>
      <c r="AG1478" s="549"/>
      <c r="AH1478" s="549"/>
      <c r="AI1478" s="549"/>
      <c r="AJ1478" s="549"/>
      <c r="AK1478" s="549"/>
      <c r="AL1478" s="549"/>
      <c r="AM1478" s="549"/>
      <c r="AN1478" s="549"/>
      <c r="AO1478" s="549"/>
      <c r="AP1478" s="549"/>
      <c r="AQ1478" s="549"/>
      <c r="AR1478" s="549"/>
      <c r="AS1478" s="549"/>
      <c r="AT1478" s="549"/>
      <c r="AU1478" s="549"/>
      <c r="AV1478" s="549"/>
      <c r="AW1478" s="549"/>
      <c r="AX1478" s="549"/>
      <c r="AY1478" s="549"/>
      <c r="AZ1478" s="549"/>
      <c r="BA1478" s="549"/>
      <c r="BB1478" s="549"/>
      <c r="BC1478" s="549"/>
      <c r="BD1478" s="549"/>
      <c r="BE1478" s="549"/>
      <c r="BF1478" s="549"/>
      <c r="BG1478" s="549"/>
      <c r="BH1478" s="549"/>
      <c r="BI1478" s="549"/>
    </row>
    <row r="1479" spans="16:61" s="254" customFormat="1" ht="9.9">
      <c r="P1479" s="549"/>
      <c r="Q1479" s="549"/>
      <c r="R1479" s="549"/>
      <c r="S1479" s="549"/>
      <c r="T1479" s="549"/>
      <c r="U1479" s="549"/>
      <c r="V1479" s="549"/>
      <c r="W1479" s="549"/>
      <c r="X1479" s="549"/>
      <c r="Y1479" s="549"/>
      <c r="Z1479" s="549"/>
      <c r="AA1479" s="549"/>
      <c r="AB1479" s="549"/>
      <c r="AC1479" s="549"/>
      <c r="AD1479" s="549"/>
      <c r="AE1479" s="549"/>
      <c r="AF1479" s="549"/>
      <c r="AG1479" s="549"/>
      <c r="AH1479" s="549"/>
      <c r="AI1479" s="549"/>
      <c r="AJ1479" s="549"/>
      <c r="AK1479" s="549"/>
      <c r="AL1479" s="549"/>
      <c r="AM1479" s="549"/>
      <c r="AN1479" s="549"/>
      <c r="AO1479" s="549"/>
      <c r="AP1479" s="549"/>
      <c r="AQ1479" s="549"/>
      <c r="AR1479" s="549"/>
      <c r="AS1479" s="549"/>
      <c r="AT1479" s="549"/>
      <c r="AU1479" s="549"/>
      <c r="AV1479" s="549"/>
      <c r="AW1479" s="549"/>
      <c r="AX1479" s="549"/>
      <c r="AY1479" s="549"/>
      <c r="AZ1479" s="549"/>
      <c r="BA1479" s="549"/>
      <c r="BB1479" s="549"/>
      <c r="BC1479" s="549"/>
      <c r="BD1479" s="549"/>
      <c r="BE1479" s="549"/>
      <c r="BF1479" s="549"/>
      <c r="BG1479" s="549"/>
      <c r="BH1479" s="549"/>
      <c r="BI1479" s="549"/>
    </row>
    <row r="1480" spans="16:61" s="254" customFormat="1" ht="9.9">
      <c r="P1480" s="549"/>
      <c r="Q1480" s="549"/>
      <c r="R1480" s="549"/>
      <c r="S1480" s="549"/>
      <c r="T1480" s="549"/>
      <c r="U1480" s="549"/>
      <c r="V1480" s="549"/>
      <c r="W1480" s="549"/>
      <c r="X1480" s="549"/>
      <c r="Y1480" s="549"/>
      <c r="Z1480" s="549"/>
      <c r="AA1480" s="549"/>
      <c r="AB1480" s="549"/>
      <c r="AC1480" s="549"/>
      <c r="AD1480" s="549"/>
      <c r="AE1480" s="549"/>
      <c r="AF1480" s="549"/>
      <c r="AG1480" s="549"/>
      <c r="AH1480" s="549"/>
      <c r="AI1480" s="549"/>
      <c r="AJ1480" s="549"/>
      <c r="AK1480" s="549"/>
      <c r="AL1480" s="549"/>
      <c r="AM1480" s="549"/>
      <c r="AN1480" s="549"/>
      <c r="AO1480" s="549"/>
      <c r="AP1480" s="549"/>
      <c r="AQ1480" s="549"/>
      <c r="AR1480" s="549"/>
      <c r="AS1480" s="549"/>
      <c r="AT1480" s="549"/>
      <c r="AU1480" s="549"/>
      <c r="AV1480" s="549"/>
      <c r="AW1480" s="549"/>
      <c r="AX1480" s="549"/>
      <c r="AY1480" s="549"/>
      <c r="AZ1480" s="549"/>
      <c r="BA1480" s="549"/>
      <c r="BB1480" s="549"/>
      <c r="BC1480" s="549"/>
      <c r="BD1480" s="549"/>
      <c r="BE1480" s="549"/>
      <c r="BF1480" s="549"/>
      <c r="BG1480" s="549"/>
      <c r="BH1480" s="549"/>
      <c r="BI1480" s="549"/>
    </row>
    <row r="1481" spans="16:61" s="254" customFormat="1" ht="9.9">
      <c r="P1481" s="549"/>
      <c r="Q1481" s="549"/>
      <c r="R1481" s="549"/>
      <c r="S1481" s="549"/>
      <c r="T1481" s="549"/>
      <c r="U1481" s="549"/>
      <c r="V1481" s="549"/>
      <c r="W1481" s="549"/>
      <c r="X1481" s="549"/>
      <c r="Y1481" s="549"/>
      <c r="Z1481" s="549"/>
      <c r="AA1481" s="549"/>
      <c r="AB1481" s="549"/>
      <c r="AC1481" s="549"/>
      <c r="AD1481" s="549"/>
      <c r="AE1481" s="549"/>
      <c r="AF1481" s="549"/>
      <c r="AG1481" s="549"/>
      <c r="AH1481" s="549"/>
      <c r="AI1481" s="549"/>
      <c r="AJ1481" s="549"/>
      <c r="AK1481" s="549"/>
      <c r="AL1481" s="549"/>
      <c r="AM1481" s="549"/>
      <c r="AN1481" s="549"/>
      <c r="AO1481" s="549"/>
      <c r="AP1481" s="549"/>
      <c r="AQ1481" s="549"/>
      <c r="AR1481" s="549"/>
      <c r="AS1481" s="549"/>
      <c r="AT1481" s="549"/>
      <c r="AU1481" s="549"/>
      <c r="AV1481" s="549"/>
      <c r="AW1481" s="549"/>
      <c r="AX1481" s="549"/>
      <c r="AY1481" s="549"/>
      <c r="AZ1481" s="549"/>
      <c r="BA1481" s="549"/>
      <c r="BB1481" s="549"/>
      <c r="BC1481" s="549"/>
      <c r="BD1481" s="549"/>
      <c r="BE1481" s="549"/>
      <c r="BF1481" s="549"/>
      <c r="BG1481" s="549"/>
      <c r="BH1481" s="549"/>
      <c r="BI1481" s="549"/>
    </row>
    <row r="1482" spans="16:61" s="254" customFormat="1" ht="9.9">
      <c r="P1482" s="549"/>
      <c r="Q1482" s="549"/>
      <c r="R1482" s="549"/>
      <c r="S1482" s="549"/>
      <c r="T1482" s="549"/>
      <c r="U1482" s="549"/>
      <c r="V1482" s="549"/>
      <c r="W1482" s="549"/>
      <c r="X1482" s="549"/>
      <c r="Y1482" s="549"/>
      <c r="Z1482" s="549"/>
      <c r="AA1482" s="549"/>
      <c r="AB1482" s="549"/>
      <c r="AC1482" s="549"/>
      <c r="AD1482" s="549"/>
      <c r="AE1482" s="549"/>
      <c r="AF1482" s="549"/>
      <c r="AG1482" s="549"/>
      <c r="AH1482" s="549"/>
      <c r="AI1482" s="549"/>
      <c r="AJ1482" s="549"/>
      <c r="AK1482" s="549"/>
      <c r="AL1482" s="549"/>
      <c r="AM1482" s="549"/>
      <c r="AN1482" s="549"/>
      <c r="AO1482" s="549"/>
      <c r="AP1482" s="549"/>
      <c r="AQ1482" s="549"/>
      <c r="AR1482" s="549"/>
      <c r="AS1482" s="549"/>
      <c r="AT1482" s="549"/>
      <c r="AU1482" s="549"/>
      <c r="AV1482" s="549"/>
      <c r="AW1482" s="549"/>
      <c r="AX1482" s="549"/>
      <c r="AY1482" s="549"/>
      <c r="AZ1482" s="549"/>
      <c r="BA1482" s="549"/>
      <c r="BB1482" s="549"/>
      <c r="BC1482" s="549"/>
      <c r="BD1482" s="549"/>
      <c r="BE1482" s="549"/>
      <c r="BF1482" s="549"/>
      <c r="BG1482" s="549"/>
      <c r="BH1482" s="549"/>
      <c r="BI1482" s="549"/>
    </row>
    <row r="1483" spans="16:61" s="254" customFormat="1" ht="9.9">
      <c r="P1483" s="549"/>
      <c r="Q1483" s="549"/>
      <c r="R1483" s="549"/>
      <c r="S1483" s="549"/>
      <c r="T1483" s="549"/>
      <c r="U1483" s="549"/>
      <c r="V1483" s="549"/>
      <c r="W1483" s="549"/>
      <c r="X1483" s="549"/>
      <c r="Y1483" s="549"/>
      <c r="Z1483" s="549"/>
      <c r="AA1483" s="549"/>
      <c r="AB1483" s="549"/>
      <c r="AC1483" s="549"/>
      <c r="AD1483" s="549"/>
      <c r="AE1483" s="549"/>
      <c r="AF1483" s="549"/>
      <c r="AG1483" s="549"/>
      <c r="AH1483" s="549"/>
      <c r="AI1483" s="549"/>
      <c r="AJ1483" s="549"/>
      <c r="AK1483" s="549"/>
      <c r="AL1483" s="549"/>
      <c r="AM1483" s="549"/>
      <c r="AN1483" s="549"/>
      <c r="AO1483" s="549"/>
      <c r="AP1483" s="549"/>
      <c r="AQ1483" s="549"/>
      <c r="AR1483" s="549"/>
      <c r="AS1483" s="549"/>
      <c r="AT1483" s="549"/>
      <c r="AU1483" s="549"/>
      <c r="AV1483" s="549"/>
      <c r="AW1483" s="549"/>
      <c r="AX1483" s="549"/>
      <c r="AY1483" s="549"/>
      <c r="AZ1483" s="549"/>
      <c r="BA1483" s="549"/>
      <c r="BB1483" s="549"/>
      <c r="BC1483" s="549"/>
      <c r="BD1483" s="549"/>
      <c r="BE1483" s="549"/>
      <c r="BF1483" s="549"/>
      <c r="BG1483" s="549"/>
      <c r="BH1483" s="549"/>
      <c r="BI1483" s="549"/>
    </row>
    <row r="1484" spans="16:61" s="254" customFormat="1" ht="9.9">
      <c r="P1484" s="549"/>
      <c r="Q1484" s="549"/>
      <c r="R1484" s="549"/>
      <c r="S1484" s="549"/>
      <c r="T1484" s="549"/>
      <c r="U1484" s="549"/>
      <c r="V1484" s="549"/>
      <c r="W1484" s="549"/>
      <c r="X1484" s="549"/>
      <c r="Y1484" s="549"/>
      <c r="Z1484" s="549"/>
      <c r="AA1484" s="549"/>
      <c r="AB1484" s="549"/>
      <c r="AC1484" s="549"/>
      <c r="AD1484" s="549"/>
      <c r="AE1484" s="549"/>
      <c r="AF1484" s="549"/>
      <c r="AG1484" s="549"/>
      <c r="AH1484" s="549"/>
      <c r="AI1484" s="549"/>
      <c r="AJ1484" s="549"/>
      <c r="AK1484" s="549"/>
      <c r="AL1484" s="549"/>
      <c r="AM1484" s="549"/>
      <c r="AN1484" s="549"/>
      <c r="AO1484" s="549"/>
      <c r="AP1484" s="549"/>
      <c r="AQ1484" s="549"/>
      <c r="AR1484" s="549"/>
      <c r="AS1484" s="549"/>
      <c r="AT1484" s="549"/>
      <c r="AU1484" s="549"/>
      <c r="AV1484" s="549"/>
      <c r="AW1484" s="549"/>
      <c r="AX1484" s="549"/>
      <c r="AY1484" s="549"/>
      <c r="AZ1484" s="549"/>
      <c r="BA1484" s="549"/>
      <c r="BB1484" s="549"/>
      <c r="BC1484" s="549"/>
      <c r="BD1484" s="549"/>
      <c r="BE1484" s="549"/>
      <c r="BF1484" s="549"/>
      <c r="BG1484" s="549"/>
      <c r="BH1484" s="549"/>
      <c r="BI1484" s="549"/>
    </row>
    <row r="1485" spans="16:61" s="254" customFormat="1" ht="9.9">
      <c r="P1485" s="549"/>
      <c r="Q1485" s="549"/>
      <c r="R1485" s="549"/>
      <c r="S1485" s="549"/>
      <c r="T1485" s="549"/>
      <c r="U1485" s="549"/>
      <c r="V1485" s="549"/>
      <c r="W1485" s="549"/>
      <c r="X1485" s="549"/>
      <c r="Y1485" s="549"/>
      <c r="Z1485" s="549"/>
      <c r="AA1485" s="549"/>
      <c r="AB1485" s="549"/>
      <c r="AC1485" s="549"/>
      <c r="AD1485" s="549"/>
      <c r="AE1485" s="549"/>
      <c r="AF1485" s="549"/>
      <c r="AG1485" s="549"/>
      <c r="AH1485" s="549"/>
      <c r="AI1485" s="549"/>
      <c r="AJ1485" s="549"/>
      <c r="AK1485" s="549"/>
      <c r="AL1485" s="549"/>
      <c r="AM1485" s="549"/>
      <c r="AN1485" s="549"/>
      <c r="AO1485" s="549"/>
      <c r="AP1485" s="549"/>
      <c r="AQ1485" s="549"/>
      <c r="AR1485" s="549"/>
      <c r="AS1485" s="549"/>
      <c r="AT1485" s="549"/>
      <c r="AU1485" s="549"/>
      <c r="AV1485" s="549"/>
      <c r="AW1485" s="549"/>
      <c r="AX1485" s="549"/>
      <c r="AY1485" s="549"/>
      <c r="AZ1485" s="549"/>
      <c r="BA1485" s="549"/>
      <c r="BB1485" s="549"/>
      <c r="BC1485" s="549"/>
      <c r="BD1485" s="549"/>
      <c r="BE1485" s="549"/>
      <c r="BF1485" s="549"/>
      <c r="BG1485" s="549"/>
      <c r="BH1485" s="549"/>
      <c r="BI1485" s="549"/>
    </row>
    <row r="1486" spans="16:61" s="254" customFormat="1" ht="9.9">
      <c r="P1486" s="549"/>
      <c r="Q1486" s="549"/>
      <c r="R1486" s="549"/>
      <c r="S1486" s="549"/>
      <c r="T1486" s="549"/>
      <c r="U1486" s="549"/>
      <c r="V1486" s="549"/>
      <c r="W1486" s="549"/>
      <c r="X1486" s="549"/>
      <c r="Y1486" s="549"/>
      <c r="Z1486" s="549"/>
      <c r="AA1486" s="549"/>
      <c r="AB1486" s="549"/>
      <c r="AC1486" s="549"/>
      <c r="AD1486" s="549"/>
      <c r="AE1486" s="549"/>
      <c r="AF1486" s="549"/>
      <c r="AG1486" s="549"/>
      <c r="AH1486" s="549"/>
      <c r="AI1486" s="549"/>
      <c r="AJ1486" s="549"/>
      <c r="AK1486" s="549"/>
      <c r="AL1486" s="549"/>
      <c r="AM1486" s="549"/>
      <c r="AN1486" s="549"/>
      <c r="AO1486" s="549"/>
      <c r="AP1486" s="549"/>
      <c r="AQ1486" s="549"/>
      <c r="AR1486" s="549"/>
      <c r="AS1486" s="549"/>
      <c r="AT1486" s="549"/>
      <c r="AU1486" s="549"/>
      <c r="AV1486" s="549"/>
      <c r="AW1486" s="549"/>
      <c r="AX1486" s="549"/>
      <c r="AY1486" s="549"/>
      <c r="AZ1486" s="549"/>
      <c r="BA1486" s="549"/>
      <c r="BB1486" s="549"/>
      <c r="BC1486" s="549"/>
      <c r="BD1486" s="549"/>
      <c r="BE1486" s="549"/>
      <c r="BF1486" s="549"/>
      <c r="BG1486" s="549"/>
      <c r="BH1486" s="549"/>
      <c r="BI1486" s="549"/>
    </row>
    <row r="1487" spans="16:61" s="254" customFormat="1" ht="9.9">
      <c r="P1487" s="549"/>
      <c r="Q1487" s="549"/>
      <c r="R1487" s="549"/>
      <c r="S1487" s="549"/>
      <c r="T1487" s="549"/>
      <c r="U1487" s="549"/>
      <c r="V1487" s="549"/>
      <c r="W1487" s="549"/>
      <c r="X1487" s="549"/>
      <c r="Y1487" s="549"/>
      <c r="Z1487" s="549"/>
      <c r="AA1487" s="549"/>
      <c r="AB1487" s="549"/>
      <c r="AC1487" s="549"/>
      <c r="AD1487" s="549"/>
      <c r="AE1487" s="549"/>
      <c r="AF1487" s="549"/>
      <c r="AG1487" s="549"/>
      <c r="AH1487" s="549"/>
      <c r="AI1487" s="549"/>
      <c r="AJ1487" s="549"/>
      <c r="AK1487" s="549"/>
      <c r="AL1487" s="549"/>
      <c r="AM1487" s="549"/>
      <c r="AN1487" s="549"/>
      <c r="AO1487" s="549"/>
      <c r="AP1487" s="549"/>
      <c r="AQ1487" s="549"/>
      <c r="AR1487" s="549"/>
      <c r="AS1487" s="549"/>
      <c r="AT1487" s="549"/>
      <c r="AU1487" s="549"/>
      <c r="AV1487" s="549"/>
      <c r="AW1487" s="549"/>
      <c r="AX1487" s="549"/>
      <c r="AY1487" s="549"/>
      <c r="AZ1487" s="549"/>
      <c r="BA1487" s="549"/>
      <c r="BB1487" s="549"/>
      <c r="BC1487" s="549"/>
      <c r="BD1487" s="549"/>
      <c r="BE1487" s="549"/>
      <c r="BF1487" s="549"/>
      <c r="BG1487" s="549"/>
      <c r="BH1487" s="549"/>
      <c r="BI1487" s="549"/>
    </row>
    <row r="1488" spans="16:61" s="254" customFormat="1" ht="9.9">
      <c r="P1488" s="549"/>
      <c r="Q1488" s="549"/>
      <c r="R1488" s="549"/>
      <c r="S1488" s="549"/>
      <c r="T1488" s="549"/>
      <c r="U1488" s="549"/>
      <c r="V1488" s="549"/>
      <c r="W1488" s="549"/>
      <c r="X1488" s="549"/>
      <c r="Y1488" s="549"/>
      <c r="Z1488" s="549"/>
      <c r="AA1488" s="549"/>
      <c r="AB1488" s="549"/>
      <c r="AC1488" s="549"/>
      <c r="AD1488" s="549"/>
      <c r="AE1488" s="549"/>
      <c r="AF1488" s="549"/>
      <c r="AG1488" s="549"/>
      <c r="AH1488" s="549"/>
      <c r="AI1488" s="549"/>
      <c r="AJ1488" s="549"/>
      <c r="AK1488" s="549"/>
      <c r="AL1488" s="549"/>
      <c r="AM1488" s="549"/>
      <c r="AN1488" s="549"/>
      <c r="AO1488" s="549"/>
      <c r="AP1488" s="549"/>
      <c r="AQ1488" s="549"/>
      <c r="AR1488" s="549"/>
      <c r="AS1488" s="549"/>
      <c r="AT1488" s="549"/>
      <c r="AU1488" s="549"/>
      <c r="AV1488" s="549"/>
      <c r="AW1488" s="549"/>
      <c r="AX1488" s="549"/>
      <c r="AY1488" s="549"/>
      <c r="AZ1488" s="549"/>
      <c r="BA1488" s="549"/>
      <c r="BB1488" s="549"/>
      <c r="BC1488" s="549"/>
      <c r="BD1488" s="549"/>
      <c r="BE1488" s="549"/>
      <c r="BF1488" s="549"/>
      <c r="BG1488" s="549"/>
      <c r="BH1488" s="549"/>
      <c r="BI1488" s="549"/>
    </row>
    <row r="1489" spans="16:61" s="254" customFormat="1" ht="9.9">
      <c r="P1489" s="549"/>
      <c r="Q1489" s="549"/>
      <c r="R1489" s="549"/>
      <c r="S1489" s="549"/>
      <c r="T1489" s="549"/>
      <c r="U1489" s="549"/>
      <c r="V1489" s="549"/>
      <c r="W1489" s="549"/>
      <c r="X1489" s="549"/>
      <c r="Y1489" s="549"/>
      <c r="Z1489" s="549"/>
      <c r="AA1489" s="549"/>
      <c r="AB1489" s="549"/>
      <c r="AC1489" s="549"/>
      <c r="AD1489" s="549"/>
      <c r="AE1489" s="549"/>
      <c r="AF1489" s="549"/>
      <c r="AG1489" s="549"/>
      <c r="AH1489" s="549"/>
      <c r="AI1489" s="549"/>
      <c r="AJ1489" s="549"/>
      <c r="AK1489" s="549"/>
      <c r="AL1489" s="549"/>
      <c r="AM1489" s="549"/>
      <c r="AN1489" s="549"/>
      <c r="AO1489" s="549"/>
      <c r="AP1489" s="549"/>
      <c r="AQ1489" s="549"/>
      <c r="AR1489" s="549"/>
      <c r="AS1489" s="549"/>
      <c r="AT1489" s="549"/>
      <c r="AU1489" s="549"/>
      <c r="AV1489" s="549"/>
      <c r="AW1489" s="549"/>
      <c r="AX1489" s="549"/>
      <c r="AY1489" s="549"/>
      <c r="AZ1489" s="549"/>
      <c r="BA1489" s="549"/>
      <c r="BB1489" s="549"/>
      <c r="BC1489" s="549"/>
      <c r="BD1489" s="549"/>
      <c r="BE1489" s="549"/>
      <c r="BF1489" s="549"/>
      <c r="BG1489" s="549"/>
      <c r="BH1489" s="549"/>
      <c r="BI1489" s="549"/>
    </row>
    <row r="1490" spans="16:61" s="254" customFormat="1" ht="9.9">
      <c r="P1490" s="549"/>
      <c r="Q1490" s="549"/>
      <c r="R1490" s="549"/>
      <c r="S1490" s="549"/>
      <c r="T1490" s="549"/>
      <c r="U1490" s="549"/>
      <c r="V1490" s="549"/>
      <c r="W1490" s="549"/>
      <c r="X1490" s="549"/>
      <c r="Y1490" s="549"/>
      <c r="Z1490" s="549"/>
      <c r="AA1490" s="549"/>
      <c r="AB1490" s="549"/>
      <c r="AC1490" s="549"/>
      <c r="AD1490" s="549"/>
      <c r="AE1490" s="549"/>
      <c r="AF1490" s="549"/>
      <c r="AG1490" s="549"/>
      <c r="AH1490" s="549"/>
      <c r="AI1490" s="549"/>
      <c r="AJ1490" s="549"/>
      <c r="AK1490" s="549"/>
      <c r="AL1490" s="549"/>
      <c r="AM1490" s="549"/>
      <c r="AN1490" s="549"/>
      <c r="AO1490" s="549"/>
      <c r="AP1490" s="549"/>
      <c r="AQ1490" s="549"/>
      <c r="AR1490" s="549"/>
      <c r="AS1490" s="549"/>
      <c r="AT1490" s="549"/>
      <c r="AU1490" s="549"/>
      <c r="AV1490" s="549"/>
      <c r="AW1490" s="549"/>
      <c r="AX1490" s="549"/>
      <c r="AY1490" s="549"/>
      <c r="AZ1490" s="549"/>
      <c r="BA1490" s="549"/>
      <c r="BB1490" s="549"/>
      <c r="BC1490" s="549"/>
      <c r="BD1490" s="549"/>
      <c r="BE1490" s="549"/>
      <c r="BF1490" s="549"/>
      <c r="BG1490" s="549"/>
      <c r="BH1490" s="549"/>
      <c r="BI1490" s="549"/>
    </row>
    <row r="1491" spans="16:61" s="254" customFormat="1" ht="9.9">
      <c r="P1491" s="549"/>
      <c r="Q1491" s="549"/>
      <c r="R1491" s="549"/>
      <c r="S1491" s="549"/>
      <c r="T1491" s="549"/>
      <c r="U1491" s="549"/>
      <c r="V1491" s="549"/>
      <c r="W1491" s="549"/>
      <c r="X1491" s="549"/>
      <c r="Y1491" s="549"/>
      <c r="Z1491" s="549"/>
      <c r="AA1491" s="549"/>
      <c r="AB1491" s="549"/>
      <c r="AC1491" s="549"/>
      <c r="AD1491" s="549"/>
      <c r="AE1491" s="549"/>
      <c r="AF1491" s="549"/>
      <c r="AG1491" s="549"/>
      <c r="AH1491" s="549"/>
      <c r="AI1491" s="549"/>
      <c r="AJ1491" s="549"/>
      <c r="AK1491" s="549"/>
      <c r="AL1491" s="549"/>
      <c r="AM1491" s="549"/>
      <c r="AN1491" s="549"/>
      <c r="AO1491" s="549"/>
      <c r="AP1491" s="549"/>
      <c r="AQ1491" s="549"/>
      <c r="AR1491" s="549"/>
      <c r="AS1491" s="549"/>
      <c r="AT1491" s="549"/>
      <c r="AU1491" s="549"/>
      <c r="AV1491" s="549"/>
      <c r="AW1491" s="549"/>
      <c r="AX1491" s="549"/>
      <c r="AY1491" s="549"/>
      <c r="AZ1491" s="549"/>
      <c r="BA1491" s="549"/>
      <c r="BB1491" s="549"/>
      <c r="BC1491" s="549"/>
      <c r="BD1491" s="549"/>
      <c r="BE1491" s="549"/>
      <c r="BF1491" s="549"/>
      <c r="BG1491" s="549"/>
      <c r="BH1491" s="549"/>
      <c r="BI1491" s="549"/>
    </row>
    <row r="1492" spans="16:61" s="254" customFormat="1" ht="9.9">
      <c r="P1492" s="549"/>
      <c r="Q1492" s="549"/>
      <c r="R1492" s="549"/>
      <c r="S1492" s="549"/>
      <c r="T1492" s="549"/>
      <c r="U1492" s="549"/>
      <c r="V1492" s="549"/>
      <c r="W1492" s="549"/>
      <c r="X1492" s="549"/>
      <c r="Y1492" s="549"/>
      <c r="Z1492" s="549"/>
      <c r="AA1492" s="549"/>
      <c r="AB1492" s="549"/>
      <c r="AC1492" s="549"/>
      <c r="AD1492" s="549"/>
      <c r="AE1492" s="549"/>
      <c r="AF1492" s="549"/>
      <c r="AG1492" s="549"/>
      <c r="AH1492" s="549"/>
      <c r="AI1492" s="549"/>
      <c r="AJ1492" s="549"/>
      <c r="AK1492" s="549"/>
      <c r="AL1492" s="549"/>
      <c r="AM1492" s="549"/>
      <c r="AN1492" s="549"/>
      <c r="AO1492" s="549"/>
      <c r="AP1492" s="549"/>
      <c r="AQ1492" s="549"/>
      <c r="AR1492" s="549"/>
      <c r="AS1492" s="549"/>
      <c r="AT1492" s="549"/>
      <c r="AU1492" s="549"/>
      <c r="AV1492" s="549"/>
      <c r="AW1492" s="549"/>
      <c r="AX1492" s="549"/>
      <c r="AY1492" s="549"/>
      <c r="AZ1492" s="549"/>
      <c r="BA1492" s="549"/>
      <c r="BB1492" s="549"/>
      <c r="BC1492" s="549"/>
      <c r="BD1492" s="549"/>
      <c r="BE1492" s="549"/>
      <c r="BF1492" s="549"/>
      <c r="BG1492" s="549"/>
      <c r="BH1492" s="549"/>
      <c r="BI1492" s="549"/>
    </row>
    <row r="1493" spans="16:61" s="254" customFormat="1" ht="9.9">
      <c r="P1493" s="549"/>
      <c r="Q1493" s="549"/>
      <c r="R1493" s="549"/>
      <c r="S1493" s="549"/>
      <c r="T1493" s="549"/>
      <c r="U1493" s="549"/>
      <c r="V1493" s="549"/>
      <c r="W1493" s="549"/>
      <c r="X1493" s="549"/>
      <c r="Y1493" s="549"/>
      <c r="Z1493" s="549"/>
      <c r="AA1493" s="549"/>
      <c r="AB1493" s="549"/>
      <c r="AC1493" s="549"/>
      <c r="AD1493" s="549"/>
      <c r="AE1493" s="549"/>
      <c r="AF1493" s="549"/>
      <c r="AG1493" s="549"/>
      <c r="AH1493" s="549"/>
      <c r="AI1493" s="549"/>
      <c r="AJ1493" s="549"/>
      <c r="AK1493" s="549"/>
      <c r="AL1493" s="549"/>
      <c r="AM1493" s="549"/>
      <c r="AN1493" s="549"/>
      <c r="AO1493" s="549"/>
      <c r="AP1493" s="549"/>
      <c r="AQ1493" s="549"/>
      <c r="AR1493" s="549"/>
      <c r="AS1493" s="549"/>
      <c r="AT1493" s="549"/>
      <c r="AU1493" s="549"/>
      <c r="AV1493" s="549"/>
      <c r="AW1493" s="549"/>
      <c r="AX1493" s="549"/>
      <c r="AY1493" s="549"/>
      <c r="AZ1493" s="549"/>
      <c r="BA1493" s="549"/>
      <c r="BB1493" s="549"/>
      <c r="BC1493" s="549"/>
      <c r="BD1493" s="549"/>
      <c r="BE1493" s="549"/>
      <c r="BF1493" s="549"/>
      <c r="BG1493" s="549"/>
      <c r="BH1493" s="549"/>
      <c r="BI1493" s="549"/>
    </row>
    <row r="1494" spans="16:61" s="254" customFormat="1" ht="9.9">
      <c r="P1494" s="549"/>
      <c r="Q1494" s="549"/>
      <c r="R1494" s="549"/>
      <c r="S1494" s="549"/>
      <c r="T1494" s="549"/>
      <c r="U1494" s="549"/>
      <c r="V1494" s="549"/>
      <c r="W1494" s="549"/>
      <c r="X1494" s="549"/>
      <c r="Y1494" s="549"/>
      <c r="Z1494" s="549"/>
      <c r="AA1494" s="549"/>
      <c r="AB1494" s="549"/>
      <c r="AC1494" s="549"/>
      <c r="AD1494" s="549"/>
      <c r="AE1494" s="549"/>
      <c r="AF1494" s="549"/>
      <c r="AG1494" s="549"/>
      <c r="AH1494" s="549"/>
      <c r="AI1494" s="549"/>
      <c r="AJ1494" s="549"/>
      <c r="AK1494" s="549"/>
      <c r="AL1494" s="549"/>
      <c r="AM1494" s="549"/>
      <c r="AN1494" s="549"/>
      <c r="AO1494" s="549"/>
      <c r="AP1494" s="549"/>
      <c r="AQ1494" s="549"/>
      <c r="AR1494" s="549"/>
      <c r="AS1494" s="549"/>
      <c r="AT1494" s="549"/>
      <c r="AU1494" s="549"/>
      <c r="AV1494" s="549"/>
      <c r="AW1494" s="549"/>
      <c r="AX1494" s="549"/>
      <c r="AY1494" s="549"/>
      <c r="AZ1494" s="549"/>
      <c r="BA1494" s="549"/>
      <c r="BB1494" s="549"/>
      <c r="BC1494" s="549"/>
      <c r="BD1494" s="549"/>
      <c r="BE1494" s="549"/>
      <c r="BF1494" s="549"/>
      <c r="BG1494" s="549"/>
      <c r="BH1494" s="549"/>
      <c r="BI1494" s="549"/>
    </row>
    <row r="1495" spans="16:61" s="254" customFormat="1" ht="9.9">
      <c r="P1495" s="549"/>
      <c r="Q1495" s="549"/>
      <c r="R1495" s="549"/>
      <c r="S1495" s="549"/>
      <c r="T1495" s="549"/>
      <c r="U1495" s="549"/>
      <c r="V1495" s="549"/>
      <c r="W1495" s="549"/>
      <c r="X1495" s="549"/>
      <c r="Y1495" s="549"/>
      <c r="Z1495" s="549"/>
      <c r="AA1495" s="549"/>
      <c r="AB1495" s="549"/>
      <c r="AC1495" s="549"/>
      <c r="AD1495" s="549"/>
      <c r="AE1495" s="549"/>
      <c r="AF1495" s="549"/>
      <c r="AG1495" s="549"/>
      <c r="AH1495" s="549"/>
      <c r="AI1495" s="549"/>
      <c r="AJ1495" s="549"/>
      <c r="AK1495" s="549"/>
      <c r="AL1495" s="549"/>
      <c r="AM1495" s="549"/>
      <c r="AN1495" s="549"/>
      <c r="AO1495" s="549"/>
      <c r="AP1495" s="549"/>
      <c r="AQ1495" s="549"/>
      <c r="AR1495" s="549"/>
      <c r="AS1495" s="549"/>
      <c r="AT1495" s="549"/>
      <c r="AU1495" s="549"/>
      <c r="AV1495" s="549"/>
      <c r="AW1495" s="549"/>
      <c r="AX1495" s="549"/>
      <c r="AY1495" s="549"/>
      <c r="AZ1495" s="549"/>
      <c r="BA1495" s="549"/>
      <c r="BB1495" s="549"/>
      <c r="BC1495" s="549"/>
      <c r="BD1495" s="549"/>
      <c r="BE1495" s="549"/>
      <c r="BF1495" s="549"/>
      <c r="BG1495" s="549"/>
      <c r="BH1495" s="549"/>
      <c r="BI1495" s="549"/>
    </row>
    <row r="1496" spans="16:61" s="254" customFormat="1" ht="9.9">
      <c r="P1496" s="549"/>
      <c r="Q1496" s="549"/>
      <c r="R1496" s="549"/>
      <c r="S1496" s="549"/>
      <c r="T1496" s="549"/>
      <c r="U1496" s="549"/>
      <c r="V1496" s="549"/>
      <c r="W1496" s="549"/>
      <c r="X1496" s="549"/>
      <c r="Y1496" s="549"/>
      <c r="Z1496" s="549"/>
      <c r="AA1496" s="549"/>
      <c r="AB1496" s="549"/>
      <c r="AC1496" s="549"/>
      <c r="AD1496" s="549"/>
      <c r="AE1496" s="549"/>
      <c r="AF1496" s="549"/>
      <c r="AG1496" s="549"/>
      <c r="AH1496" s="549"/>
      <c r="AI1496" s="549"/>
      <c r="AJ1496" s="549"/>
      <c r="AK1496" s="549"/>
      <c r="AL1496" s="549"/>
      <c r="AM1496" s="549"/>
      <c r="AN1496" s="549"/>
      <c r="AO1496" s="549"/>
      <c r="AP1496" s="549"/>
      <c r="AQ1496" s="549"/>
      <c r="AR1496" s="549"/>
      <c r="AS1496" s="549"/>
      <c r="AT1496" s="549"/>
      <c r="AU1496" s="549"/>
      <c r="AV1496" s="549"/>
      <c r="AW1496" s="549"/>
      <c r="AX1496" s="549"/>
      <c r="AY1496" s="549"/>
      <c r="AZ1496" s="549"/>
      <c r="BA1496" s="549"/>
      <c r="BB1496" s="549"/>
      <c r="BC1496" s="549"/>
      <c r="BD1496" s="549"/>
      <c r="BE1496" s="549"/>
      <c r="BF1496" s="549"/>
      <c r="BG1496" s="549"/>
      <c r="BH1496" s="549"/>
      <c r="BI1496" s="549"/>
    </row>
    <row r="1497" spans="16:61" s="254" customFormat="1" ht="9.9">
      <c r="P1497" s="549"/>
      <c r="Q1497" s="549"/>
      <c r="R1497" s="549"/>
      <c r="S1497" s="549"/>
      <c r="T1497" s="549"/>
      <c r="U1497" s="549"/>
      <c r="V1497" s="549"/>
      <c r="W1497" s="549"/>
      <c r="X1497" s="549"/>
      <c r="Y1497" s="549"/>
      <c r="Z1497" s="549"/>
      <c r="AA1497" s="549"/>
      <c r="AB1497" s="549"/>
      <c r="AC1497" s="549"/>
      <c r="AD1497" s="549"/>
      <c r="AE1497" s="549"/>
      <c r="AF1497" s="549"/>
      <c r="AG1497" s="549"/>
      <c r="AH1497" s="549"/>
      <c r="AI1497" s="549"/>
      <c r="AJ1497" s="549"/>
      <c r="AK1497" s="549"/>
      <c r="AL1497" s="549"/>
      <c r="AM1497" s="549"/>
      <c r="AN1497" s="549"/>
      <c r="AO1497" s="549"/>
      <c r="AP1497" s="549"/>
      <c r="AQ1497" s="549"/>
      <c r="AR1497" s="549"/>
      <c r="AS1497" s="549"/>
      <c r="AT1497" s="549"/>
      <c r="AU1497" s="549"/>
      <c r="AV1497" s="549"/>
      <c r="AW1497" s="549"/>
      <c r="AX1497" s="549"/>
      <c r="AY1497" s="549"/>
      <c r="AZ1497" s="549"/>
      <c r="BA1497" s="549"/>
      <c r="BB1497" s="549"/>
      <c r="BC1497" s="549"/>
      <c r="BD1497" s="549"/>
      <c r="BE1497" s="549"/>
      <c r="BF1497" s="549"/>
      <c r="BG1497" s="549"/>
      <c r="BH1497" s="549"/>
      <c r="BI1497" s="549"/>
    </row>
    <row r="1498" spans="16:61" s="254" customFormat="1" ht="9.9">
      <c r="P1498" s="549"/>
      <c r="Q1498" s="549"/>
      <c r="R1498" s="549"/>
      <c r="S1498" s="549"/>
      <c r="T1498" s="549"/>
      <c r="U1498" s="549"/>
      <c r="V1498" s="549"/>
      <c r="W1498" s="549"/>
      <c r="X1498" s="549"/>
      <c r="Y1498" s="549"/>
      <c r="Z1498" s="549"/>
      <c r="AA1498" s="549"/>
      <c r="AB1498" s="549"/>
      <c r="AC1498" s="549"/>
      <c r="AD1498" s="549"/>
      <c r="AE1498" s="549"/>
      <c r="AF1498" s="549"/>
      <c r="AG1498" s="549"/>
      <c r="AH1498" s="549"/>
      <c r="AI1498" s="549"/>
      <c r="AJ1498" s="549"/>
      <c r="AK1498" s="549"/>
      <c r="AL1498" s="549"/>
      <c r="AM1498" s="549"/>
      <c r="AN1498" s="549"/>
      <c r="AO1498" s="549"/>
      <c r="AP1498" s="549"/>
      <c r="AQ1498" s="549"/>
      <c r="AR1498" s="549"/>
      <c r="AS1498" s="549"/>
      <c r="AT1498" s="549"/>
      <c r="AU1498" s="549"/>
      <c r="AV1498" s="549"/>
      <c r="AW1498" s="549"/>
      <c r="AX1498" s="549"/>
      <c r="AY1498" s="549"/>
      <c r="AZ1498" s="549"/>
      <c r="BA1498" s="549"/>
      <c r="BB1498" s="549"/>
      <c r="BC1498" s="549"/>
      <c r="BD1498" s="549"/>
      <c r="BE1498" s="549"/>
      <c r="BF1498" s="549"/>
      <c r="BG1498" s="549"/>
      <c r="BH1498" s="549"/>
      <c r="BI1498" s="549"/>
    </row>
    <row r="1499" spans="16:61" s="254" customFormat="1" ht="9.9">
      <c r="P1499" s="549"/>
      <c r="Q1499" s="549"/>
      <c r="R1499" s="549"/>
      <c r="S1499" s="549"/>
      <c r="T1499" s="549"/>
      <c r="U1499" s="549"/>
      <c r="V1499" s="549"/>
      <c r="W1499" s="549"/>
      <c r="X1499" s="549"/>
      <c r="Y1499" s="549"/>
      <c r="Z1499" s="549"/>
      <c r="AA1499" s="549"/>
      <c r="AB1499" s="549"/>
      <c r="AC1499" s="549"/>
      <c r="AD1499" s="549"/>
      <c r="AE1499" s="549"/>
      <c r="AF1499" s="549"/>
      <c r="AG1499" s="549"/>
      <c r="AH1499" s="549"/>
      <c r="AI1499" s="549"/>
      <c r="AJ1499" s="549"/>
      <c r="AK1499" s="549"/>
      <c r="AL1499" s="549"/>
      <c r="AM1499" s="549"/>
      <c r="AN1499" s="549"/>
      <c r="AO1499" s="549"/>
      <c r="AP1499" s="549"/>
      <c r="AQ1499" s="549"/>
      <c r="AR1499" s="549"/>
      <c r="AS1499" s="549"/>
      <c r="AT1499" s="549"/>
      <c r="AU1499" s="549"/>
      <c r="AV1499" s="549"/>
      <c r="AW1499" s="549"/>
      <c r="AX1499" s="549"/>
      <c r="AY1499" s="549"/>
      <c r="AZ1499" s="549"/>
      <c r="BA1499" s="549"/>
      <c r="BB1499" s="549"/>
      <c r="BC1499" s="549"/>
      <c r="BD1499" s="549"/>
      <c r="BE1499" s="549"/>
      <c r="BF1499" s="549"/>
      <c r="BG1499" s="549"/>
      <c r="BH1499" s="549"/>
      <c r="BI1499" s="549"/>
    </row>
    <row r="1500" spans="16:61" s="254" customFormat="1" ht="9.9">
      <c r="P1500" s="549"/>
      <c r="Q1500" s="549"/>
      <c r="R1500" s="549"/>
      <c r="S1500" s="549"/>
      <c r="T1500" s="549"/>
      <c r="U1500" s="549"/>
      <c r="V1500" s="549"/>
      <c r="W1500" s="549"/>
      <c r="X1500" s="549"/>
      <c r="Y1500" s="549"/>
      <c r="Z1500" s="549"/>
      <c r="AA1500" s="549"/>
      <c r="AB1500" s="549"/>
      <c r="AC1500" s="549"/>
      <c r="AD1500" s="549"/>
      <c r="AE1500" s="549"/>
      <c r="AF1500" s="549"/>
      <c r="AG1500" s="549"/>
      <c r="AH1500" s="549"/>
      <c r="AI1500" s="549"/>
      <c r="AJ1500" s="549"/>
      <c r="AK1500" s="549"/>
      <c r="AL1500" s="549"/>
      <c r="AM1500" s="549"/>
      <c r="AN1500" s="549"/>
      <c r="AO1500" s="549"/>
      <c r="AP1500" s="549"/>
      <c r="AQ1500" s="549"/>
      <c r="AR1500" s="549"/>
      <c r="AS1500" s="549"/>
      <c r="AT1500" s="549"/>
      <c r="AU1500" s="549"/>
      <c r="AV1500" s="549"/>
      <c r="AW1500" s="549"/>
      <c r="AX1500" s="549"/>
      <c r="AY1500" s="549"/>
      <c r="AZ1500" s="549"/>
      <c r="BA1500" s="549"/>
      <c r="BB1500" s="549"/>
      <c r="BC1500" s="549"/>
      <c r="BD1500" s="549"/>
      <c r="BE1500" s="549"/>
      <c r="BF1500" s="549"/>
      <c r="BG1500" s="549"/>
      <c r="BH1500" s="549"/>
      <c r="BI1500" s="549"/>
    </row>
    <row r="1501" spans="16:61" s="254" customFormat="1" ht="9.9">
      <c r="P1501" s="549"/>
      <c r="Q1501" s="549"/>
      <c r="R1501" s="549"/>
      <c r="S1501" s="549"/>
      <c r="T1501" s="549"/>
      <c r="U1501" s="549"/>
      <c r="V1501" s="549"/>
      <c r="W1501" s="549"/>
      <c r="X1501" s="549"/>
      <c r="Y1501" s="549"/>
      <c r="Z1501" s="549"/>
      <c r="AA1501" s="549"/>
      <c r="AB1501" s="549"/>
      <c r="AC1501" s="549"/>
      <c r="AD1501" s="549"/>
      <c r="AE1501" s="549"/>
      <c r="AF1501" s="549"/>
      <c r="AG1501" s="549"/>
      <c r="AH1501" s="549"/>
      <c r="AI1501" s="549"/>
      <c r="AJ1501" s="549"/>
      <c r="AK1501" s="549"/>
      <c r="AL1501" s="549"/>
      <c r="AM1501" s="549"/>
      <c r="AN1501" s="549"/>
      <c r="AO1501" s="549"/>
      <c r="AP1501" s="549"/>
      <c r="AQ1501" s="549"/>
      <c r="AR1501" s="549"/>
      <c r="AS1501" s="549"/>
      <c r="AT1501" s="549"/>
      <c r="AU1501" s="549"/>
      <c r="AV1501" s="549"/>
      <c r="AW1501" s="549"/>
      <c r="AX1501" s="549"/>
      <c r="AY1501" s="549"/>
      <c r="AZ1501" s="549"/>
      <c r="BA1501" s="549"/>
      <c r="BB1501" s="549"/>
      <c r="BC1501" s="549"/>
      <c r="BD1501" s="549"/>
      <c r="BE1501" s="549"/>
      <c r="BF1501" s="549"/>
      <c r="BG1501" s="549"/>
      <c r="BH1501" s="549"/>
      <c r="BI1501" s="549"/>
    </row>
    <row r="1502" spans="16:61" s="254" customFormat="1" ht="9.9">
      <c r="P1502" s="549"/>
      <c r="Q1502" s="549"/>
      <c r="R1502" s="549"/>
      <c r="S1502" s="549"/>
      <c r="T1502" s="549"/>
      <c r="U1502" s="549"/>
      <c r="V1502" s="549"/>
      <c r="W1502" s="549"/>
      <c r="X1502" s="549"/>
      <c r="Y1502" s="549"/>
      <c r="Z1502" s="549"/>
      <c r="AA1502" s="549"/>
      <c r="AB1502" s="549"/>
      <c r="AC1502" s="549"/>
      <c r="AD1502" s="549"/>
      <c r="AE1502" s="549"/>
      <c r="AF1502" s="549"/>
      <c r="AG1502" s="549"/>
      <c r="AH1502" s="549"/>
      <c r="AI1502" s="549"/>
      <c r="AJ1502" s="549"/>
      <c r="AK1502" s="549"/>
      <c r="AL1502" s="549"/>
      <c r="AM1502" s="549"/>
      <c r="AN1502" s="549"/>
      <c r="AO1502" s="549"/>
      <c r="AP1502" s="549"/>
      <c r="AQ1502" s="549"/>
      <c r="AR1502" s="549"/>
      <c r="AS1502" s="549"/>
      <c r="AT1502" s="549"/>
      <c r="AU1502" s="549"/>
      <c r="AV1502" s="549"/>
      <c r="AW1502" s="549"/>
      <c r="AX1502" s="549"/>
      <c r="AY1502" s="549"/>
      <c r="AZ1502" s="549"/>
      <c r="BA1502" s="549"/>
      <c r="BB1502" s="549"/>
      <c r="BC1502" s="549"/>
      <c r="BD1502" s="549"/>
      <c r="BE1502" s="549"/>
      <c r="BF1502" s="549"/>
      <c r="BG1502" s="549"/>
      <c r="BH1502" s="549"/>
      <c r="BI1502" s="549"/>
    </row>
    <row r="1503" spans="16:61" s="254" customFormat="1" ht="9.9">
      <c r="P1503" s="549"/>
      <c r="Q1503" s="549"/>
      <c r="R1503" s="549"/>
      <c r="S1503" s="549"/>
      <c r="T1503" s="549"/>
      <c r="U1503" s="549"/>
      <c r="V1503" s="549"/>
      <c r="W1503" s="549"/>
      <c r="X1503" s="549"/>
      <c r="Y1503" s="549"/>
      <c r="Z1503" s="549"/>
      <c r="AA1503" s="549"/>
      <c r="AB1503" s="549"/>
      <c r="AC1503" s="549"/>
      <c r="AD1503" s="549"/>
      <c r="AE1503" s="549"/>
      <c r="AF1503" s="549"/>
      <c r="AG1503" s="549"/>
      <c r="AH1503" s="549"/>
      <c r="AI1503" s="549"/>
      <c r="AJ1503" s="549"/>
      <c r="AK1503" s="549"/>
      <c r="AL1503" s="549"/>
      <c r="AM1503" s="549"/>
      <c r="AN1503" s="549"/>
      <c r="AO1503" s="549"/>
      <c r="AP1503" s="549"/>
      <c r="AQ1503" s="549"/>
      <c r="AR1503" s="549"/>
      <c r="AS1503" s="549"/>
      <c r="AT1503" s="549"/>
      <c r="AU1503" s="549"/>
      <c r="AV1503" s="549"/>
      <c r="AW1503" s="549"/>
      <c r="AX1503" s="549"/>
      <c r="AY1503" s="549"/>
      <c r="AZ1503" s="549"/>
      <c r="BA1503" s="549"/>
      <c r="BB1503" s="549"/>
      <c r="BC1503" s="549"/>
      <c r="BD1503" s="549"/>
      <c r="BE1503" s="549"/>
      <c r="BF1503" s="549"/>
      <c r="BG1503" s="549"/>
      <c r="BH1503" s="549"/>
      <c r="BI1503" s="549"/>
    </row>
    <row r="1504" spans="16:61" s="254" customFormat="1" ht="9.9">
      <c r="P1504" s="549"/>
      <c r="Q1504" s="549"/>
      <c r="R1504" s="549"/>
      <c r="S1504" s="549"/>
      <c r="T1504" s="549"/>
      <c r="U1504" s="549"/>
      <c r="V1504" s="549"/>
      <c r="W1504" s="549"/>
      <c r="X1504" s="549"/>
      <c r="Y1504" s="549"/>
      <c r="Z1504" s="549"/>
      <c r="AA1504" s="549"/>
      <c r="AB1504" s="549"/>
      <c r="AC1504" s="549"/>
      <c r="AD1504" s="549"/>
      <c r="AE1504" s="549"/>
      <c r="AF1504" s="549"/>
      <c r="AG1504" s="549"/>
      <c r="AH1504" s="549"/>
      <c r="AI1504" s="549"/>
      <c r="AJ1504" s="549"/>
      <c r="AK1504" s="549"/>
      <c r="AL1504" s="549"/>
      <c r="AM1504" s="549"/>
      <c r="AN1504" s="549"/>
      <c r="AO1504" s="549"/>
      <c r="AP1504" s="549"/>
      <c r="AQ1504" s="549"/>
      <c r="AR1504" s="549"/>
      <c r="AS1504" s="549"/>
      <c r="AT1504" s="549"/>
      <c r="AU1504" s="549"/>
      <c r="AV1504" s="549"/>
      <c r="AW1504" s="549"/>
      <c r="AX1504" s="549"/>
      <c r="AY1504" s="549"/>
      <c r="AZ1504" s="549"/>
      <c r="BA1504" s="549"/>
      <c r="BB1504" s="549"/>
      <c r="BC1504" s="549"/>
      <c r="BD1504" s="549"/>
      <c r="BE1504" s="549"/>
      <c r="BF1504" s="549"/>
      <c r="BG1504" s="549"/>
      <c r="BH1504" s="549"/>
      <c r="BI1504" s="549"/>
    </row>
    <row r="1505" spans="12:61" s="254" customFormat="1" ht="9.9">
      <c r="P1505" s="549"/>
      <c r="Q1505" s="549"/>
      <c r="R1505" s="549"/>
      <c r="S1505" s="549"/>
      <c r="T1505" s="549"/>
      <c r="U1505" s="549"/>
      <c r="V1505" s="549"/>
      <c r="W1505" s="549"/>
      <c r="X1505" s="549"/>
      <c r="Y1505" s="549"/>
      <c r="Z1505" s="549"/>
      <c r="AA1505" s="549"/>
      <c r="AB1505" s="549"/>
      <c r="AC1505" s="549"/>
      <c r="AD1505" s="549"/>
      <c r="AE1505" s="549"/>
      <c r="AF1505" s="549"/>
      <c r="AG1505" s="549"/>
      <c r="AH1505" s="549"/>
      <c r="AI1505" s="549"/>
      <c r="AJ1505" s="549"/>
      <c r="AK1505" s="549"/>
      <c r="AL1505" s="549"/>
      <c r="AM1505" s="549"/>
      <c r="AN1505" s="549"/>
      <c r="AO1505" s="549"/>
      <c r="AP1505" s="549"/>
      <c r="AQ1505" s="549"/>
      <c r="AR1505" s="549"/>
      <c r="AS1505" s="549"/>
      <c r="AT1505" s="549"/>
      <c r="AU1505" s="549"/>
      <c r="AV1505" s="549"/>
      <c r="AW1505" s="549"/>
      <c r="AX1505" s="549"/>
      <c r="AY1505" s="549"/>
      <c r="AZ1505" s="549"/>
      <c r="BA1505" s="549"/>
      <c r="BB1505" s="549"/>
      <c r="BC1505" s="549"/>
      <c r="BD1505" s="549"/>
      <c r="BE1505" s="549"/>
      <c r="BF1505" s="549"/>
      <c r="BG1505" s="549"/>
      <c r="BH1505" s="549"/>
      <c r="BI1505" s="549"/>
    </row>
    <row r="1506" spans="12:61" s="254" customFormat="1" ht="9.9">
      <c r="P1506" s="549"/>
      <c r="Q1506" s="549"/>
      <c r="R1506" s="549"/>
      <c r="S1506" s="549"/>
      <c r="T1506" s="549"/>
      <c r="U1506" s="549"/>
      <c r="V1506" s="549"/>
      <c r="W1506" s="549"/>
      <c r="X1506" s="549"/>
      <c r="Y1506" s="549"/>
      <c r="Z1506" s="549"/>
      <c r="AA1506" s="549"/>
      <c r="AB1506" s="549"/>
      <c r="AC1506" s="549"/>
      <c r="AD1506" s="549"/>
      <c r="AE1506" s="549"/>
      <c r="AF1506" s="549"/>
      <c r="AG1506" s="549"/>
      <c r="AH1506" s="549"/>
      <c r="AI1506" s="549"/>
      <c r="AJ1506" s="549"/>
      <c r="AK1506" s="549"/>
      <c r="AL1506" s="549"/>
      <c r="AM1506" s="549"/>
      <c r="AN1506" s="549"/>
      <c r="AO1506" s="549"/>
      <c r="AP1506" s="549"/>
      <c r="AQ1506" s="549"/>
      <c r="AR1506" s="549"/>
      <c r="AS1506" s="549"/>
      <c r="AT1506" s="549"/>
      <c r="AU1506" s="549"/>
      <c r="AV1506" s="549"/>
      <c r="AW1506" s="549"/>
      <c r="AX1506" s="549"/>
      <c r="AY1506" s="549"/>
      <c r="AZ1506" s="549"/>
      <c r="BA1506" s="549"/>
      <c r="BB1506" s="549"/>
      <c r="BC1506" s="549"/>
      <c r="BD1506" s="549"/>
      <c r="BE1506" s="549"/>
      <c r="BF1506" s="549"/>
      <c r="BG1506" s="549"/>
      <c r="BH1506" s="549"/>
      <c r="BI1506" s="549"/>
    </row>
    <row r="1507" spans="12:61" s="254" customFormat="1" ht="9.9">
      <c r="P1507" s="549"/>
      <c r="Q1507" s="549"/>
      <c r="R1507" s="549"/>
      <c r="S1507" s="549"/>
      <c r="T1507" s="549"/>
      <c r="U1507" s="549"/>
      <c r="V1507" s="549"/>
      <c r="W1507" s="549"/>
      <c r="X1507" s="549"/>
      <c r="Y1507" s="549"/>
      <c r="Z1507" s="549"/>
      <c r="AA1507" s="549"/>
      <c r="AB1507" s="549"/>
      <c r="AC1507" s="549"/>
      <c r="AD1507" s="549"/>
      <c r="AE1507" s="549"/>
      <c r="AF1507" s="549"/>
      <c r="AG1507" s="549"/>
      <c r="AH1507" s="549"/>
      <c r="AI1507" s="549"/>
      <c r="AJ1507" s="549"/>
      <c r="AK1507" s="549"/>
      <c r="AL1507" s="549"/>
      <c r="AM1507" s="549"/>
      <c r="AN1507" s="549"/>
      <c r="AO1507" s="549"/>
      <c r="AP1507" s="549"/>
      <c r="AQ1507" s="549"/>
      <c r="AR1507" s="549"/>
      <c r="AS1507" s="549"/>
      <c r="AT1507" s="549"/>
      <c r="AU1507" s="549"/>
      <c r="AV1507" s="549"/>
      <c r="AW1507" s="549"/>
      <c r="AX1507" s="549"/>
      <c r="AY1507" s="549"/>
      <c r="AZ1507" s="549"/>
      <c r="BA1507" s="549"/>
      <c r="BB1507" s="549"/>
      <c r="BC1507" s="549"/>
      <c r="BD1507" s="549"/>
      <c r="BE1507" s="549"/>
      <c r="BF1507" s="549"/>
      <c r="BG1507" s="549"/>
      <c r="BH1507" s="549"/>
      <c r="BI1507" s="549"/>
    </row>
    <row r="1508" spans="12:61" s="254" customFormat="1" ht="9.9">
      <c r="P1508" s="549"/>
      <c r="Q1508" s="549"/>
      <c r="R1508" s="549"/>
      <c r="S1508" s="549"/>
      <c r="T1508" s="549"/>
      <c r="U1508" s="549"/>
      <c r="V1508" s="549"/>
      <c r="W1508" s="549"/>
      <c r="X1508" s="549"/>
      <c r="Y1508" s="549"/>
      <c r="Z1508" s="549"/>
      <c r="AA1508" s="549"/>
      <c r="AB1508" s="549"/>
      <c r="AC1508" s="549"/>
      <c r="AD1508" s="549"/>
      <c r="AE1508" s="549"/>
      <c r="AF1508" s="549"/>
      <c r="AG1508" s="549"/>
      <c r="AH1508" s="549"/>
      <c r="AI1508" s="549"/>
      <c r="AJ1508" s="549"/>
      <c r="AK1508" s="549"/>
      <c r="AL1508" s="549"/>
      <c r="AM1508" s="549"/>
      <c r="AN1508" s="549"/>
      <c r="AO1508" s="549"/>
      <c r="AP1508" s="549"/>
      <c r="AQ1508" s="549"/>
      <c r="AR1508" s="549"/>
      <c r="AS1508" s="549"/>
      <c r="AT1508" s="549"/>
      <c r="AU1508" s="549"/>
      <c r="AV1508" s="549"/>
      <c r="AW1508" s="549"/>
      <c r="AX1508" s="549"/>
      <c r="AY1508" s="549"/>
      <c r="AZ1508" s="549"/>
      <c r="BA1508" s="549"/>
      <c r="BB1508" s="549"/>
      <c r="BC1508" s="549"/>
      <c r="BD1508" s="549"/>
      <c r="BE1508" s="549"/>
      <c r="BF1508" s="549"/>
      <c r="BG1508" s="549"/>
      <c r="BH1508" s="549"/>
      <c r="BI1508" s="549"/>
    </row>
    <row r="1509" spans="12:61" s="254" customFormat="1" ht="9.9">
      <c r="P1509" s="549"/>
      <c r="Q1509" s="549"/>
      <c r="R1509" s="549"/>
      <c r="S1509" s="549"/>
      <c r="T1509" s="549"/>
      <c r="U1509" s="549"/>
      <c r="V1509" s="549"/>
      <c r="W1509" s="549"/>
      <c r="X1509" s="549"/>
      <c r="Y1509" s="549"/>
      <c r="Z1509" s="549"/>
      <c r="AA1509" s="549"/>
      <c r="AB1509" s="549"/>
      <c r="AC1509" s="549"/>
      <c r="AD1509" s="549"/>
      <c r="AE1509" s="549"/>
      <c r="AF1509" s="549"/>
      <c r="AG1509" s="549"/>
      <c r="AH1509" s="549"/>
      <c r="AI1509" s="549"/>
      <c r="AJ1509" s="549"/>
      <c r="AK1509" s="549"/>
      <c r="AL1509" s="549"/>
      <c r="AM1509" s="549"/>
      <c r="AN1509" s="549"/>
      <c r="AO1509" s="549"/>
      <c r="AP1509" s="549"/>
      <c r="AQ1509" s="549"/>
      <c r="AR1509" s="549"/>
      <c r="AS1509" s="549"/>
      <c r="AT1509" s="549"/>
      <c r="AU1509" s="549"/>
      <c r="AV1509" s="549"/>
      <c r="AW1509" s="549"/>
      <c r="AX1509" s="549"/>
      <c r="AY1509" s="549"/>
      <c r="AZ1509" s="549"/>
      <c r="BA1509" s="549"/>
      <c r="BB1509" s="549"/>
      <c r="BC1509" s="549"/>
      <c r="BD1509" s="549"/>
      <c r="BE1509" s="549"/>
      <c r="BF1509" s="549"/>
      <c r="BG1509" s="549"/>
      <c r="BH1509" s="549"/>
      <c r="BI1509" s="549"/>
    </row>
    <row r="1510" spans="12:61" s="254" customFormat="1" ht="9.9">
      <c r="P1510" s="549"/>
      <c r="Q1510" s="549"/>
      <c r="R1510" s="549"/>
      <c r="S1510" s="549"/>
      <c r="T1510" s="549"/>
      <c r="U1510" s="549"/>
      <c r="V1510" s="549"/>
      <c r="W1510" s="549"/>
      <c r="X1510" s="549"/>
      <c r="Y1510" s="549"/>
      <c r="Z1510" s="549"/>
      <c r="AA1510" s="549"/>
      <c r="AB1510" s="549"/>
      <c r="AC1510" s="549"/>
      <c r="AD1510" s="549"/>
      <c r="AE1510" s="549"/>
      <c r="AF1510" s="549"/>
      <c r="AG1510" s="549"/>
      <c r="AH1510" s="549"/>
      <c r="AI1510" s="549"/>
      <c r="AJ1510" s="549"/>
      <c r="AK1510" s="549"/>
      <c r="AL1510" s="549"/>
      <c r="AM1510" s="549"/>
      <c r="AN1510" s="549"/>
      <c r="AO1510" s="549"/>
      <c r="AP1510" s="549"/>
      <c r="AQ1510" s="549"/>
      <c r="AR1510" s="549"/>
      <c r="AS1510" s="549"/>
      <c r="AT1510" s="549"/>
      <c r="AU1510" s="549"/>
      <c r="AV1510" s="549"/>
      <c r="AW1510" s="549"/>
      <c r="AX1510" s="549"/>
      <c r="AY1510" s="549"/>
      <c r="AZ1510" s="549"/>
      <c r="BA1510" s="549"/>
      <c r="BB1510" s="549"/>
      <c r="BC1510" s="549"/>
      <c r="BD1510" s="549"/>
      <c r="BE1510" s="549"/>
      <c r="BF1510" s="549"/>
      <c r="BG1510" s="549"/>
      <c r="BH1510" s="549"/>
      <c r="BI1510" s="549"/>
    </row>
    <row r="1511" spans="12:61" s="254" customFormat="1" ht="9.9">
      <c r="P1511" s="549"/>
      <c r="Q1511" s="549"/>
      <c r="R1511" s="549"/>
      <c r="S1511" s="549"/>
      <c r="T1511" s="549"/>
      <c r="U1511" s="549"/>
      <c r="V1511" s="549"/>
      <c r="W1511" s="549"/>
      <c r="X1511" s="549"/>
      <c r="Y1511" s="549"/>
      <c r="Z1511" s="549"/>
      <c r="AA1511" s="549"/>
      <c r="AB1511" s="549"/>
      <c r="AC1511" s="549"/>
      <c r="AD1511" s="549"/>
      <c r="AE1511" s="549"/>
      <c r="AF1511" s="549"/>
      <c r="AG1511" s="549"/>
      <c r="AH1511" s="549"/>
      <c r="AI1511" s="549"/>
      <c r="AJ1511" s="549"/>
      <c r="AK1511" s="549"/>
      <c r="AL1511" s="549"/>
      <c r="AM1511" s="549"/>
      <c r="AN1511" s="549"/>
      <c r="AO1511" s="549"/>
      <c r="AP1511" s="549"/>
      <c r="AQ1511" s="549"/>
      <c r="AR1511" s="549"/>
      <c r="AS1511" s="549"/>
      <c r="AT1511" s="549"/>
      <c r="AU1511" s="549"/>
      <c r="AV1511" s="549"/>
      <c r="AW1511" s="549"/>
      <c r="AX1511" s="549"/>
      <c r="AY1511" s="549"/>
      <c r="AZ1511" s="549"/>
      <c r="BA1511" s="549"/>
      <c r="BB1511" s="549"/>
      <c r="BC1511" s="549"/>
      <c r="BD1511" s="549"/>
      <c r="BE1511" s="549"/>
      <c r="BF1511" s="549"/>
      <c r="BG1511" s="549"/>
      <c r="BH1511" s="549"/>
      <c r="BI1511" s="549"/>
    </row>
    <row r="1512" spans="12:61" s="254" customFormat="1" ht="9.9">
      <c r="P1512" s="549"/>
      <c r="Q1512" s="549"/>
      <c r="R1512" s="549"/>
      <c r="S1512" s="549"/>
      <c r="T1512" s="549"/>
      <c r="U1512" s="549"/>
      <c r="V1512" s="549"/>
      <c r="W1512" s="549"/>
      <c r="X1512" s="549"/>
      <c r="Y1512" s="549"/>
      <c r="Z1512" s="549"/>
      <c r="AA1512" s="549"/>
      <c r="AB1512" s="549"/>
      <c r="AC1512" s="549"/>
      <c r="AD1512" s="549"/>
      <c r="AE1512" s="549"/>
      <c r="AF1512" s="549"/>
      <c r="AG1512" s="549"/>
      <c r="AH1512" s="549"/>
      <c r="AI1512" s="549"/>
      <c r="AJ1512" s="549"/>
      <c r="AK1512" s="549"/>
      <c r="AL1512" s="549"/>
      <c r="AM1512" s="549"/>
      <c r="AN1512" s="549"/>
      <c r="AO1512" s="549"/>
      <c r="AP1512" s="549"/>
      <c r="AQ1512" s="549"/>
      <c r="AR1512" s="549"/>
      <c r="AS1512" s="549"/>
      <c r="AT1512" s="549"/>
      <c r="AU1512" s="549"/>
      <c r="AV1512" s="549"/>
      <c r="AW1512" s="549"/>
      <c r="AX1512" s="549"/>
      <c r="AY1512" s="549"/>
      <c r="AZ1512" s="549"/>
      <c r="BA1512" s="549"/>
      <c r="BB1512" s="549"/>
      <c r="BC1512" s="549"/>
      <c r="BD1512" s="549"/>
      <c r="BE1512" s="549"/>
      <c r="BF1512" s="549"/>
      <c r="BG1512" s="549"/>
      <c r="BH1512" s="549"/>
      <c r="BI1512" s="549"/>
    </row>
    <row r="1513" spans="12:61" s="254" customFormat="1" ht="9.9">
      <c r="P1513" s="549"/>
      <c r="Q1513" s="549"/>
      <c r="R1513" s="549"/>
      <c r="S1513" s="549"/>
      <c r="T1513" s="549"/>
      <c r="U1513" s="549"/>
      <c r="V1513" s="549"/>
      <c r="W1513" s="549"/>
      <c r="X1513" s="549"/>
      <c r="Y1513" s="549"/>
      <c r="Z1513" s="549"/>
      <c r="AA1513" s="549"/>
      <c r="AB1513" s="549"/>
      <c r="AC1513" s="549"/>
      <c r="AD1513" s="549"/>
      <c r="AE1513" s="549"/>
      <c r="AF1513" s="549"/>
      <c r="AG1513" s="549"/>
      <c r="AH1513" s="549"/>
      <c r="AI1513" s="549"/>
      <c r="AJ1513" s="549"/>
      <c r="AK1513" s="549"/>
      <c r="AL1513" s="549"/>
      <c r="AM1513" s="549"/>
      <c r="AN1513" s="549"/>
      <c r="AO1513" s="549"/>
      <c r="AP1513" s="549"/>
      <c r="AQ1513" s="549"/>
      <c r="AR1513" s="549"/>
      <c r="AS1513" s="549"/>
      <c r="AT1513" s="549"/>
      <c r="AU1513" s="549"/>
      <c r="AV1513" s="549"/>
      <c r="AW1513" s="549"/>
      <c r="AX1513" s="549"/>
      <c r="AY1513" s="549"/>
      <c r="AZ1513" s="549"/>
      <c r="BA1513" s="549"/>
      <c r="BB1513" s="549"/>
      <c r="BC1513" s="549"/>
      <c r="BD1513" s="549"/>
      <c r="BE1513" s="549"/>
      <c r="BF1513" s="549"/>
      <c r="BG1513" s="549"/>
      <c r="BH1513" s="549"/>
      <c r="BI1513" s="549"/>
    </row>
    <row r="1514" spans="12:61" s="254" customFormat="1" ht="9.9">
      <c r="P1514" s="549"/>
      <c r="Q1514" s="549"/>
      <c r="R1514" s="549"/>
      <c r="S1514" s="549"/>
      <c r="T1514" s="549"/>
      <c r="U1514" s="549"/>
      <c r="V1514" s="549"/>
      <c r="W1514" s="549"/>
      <c r="X1514" s="549"/>
      <c r="Y1514" s="549"/>
      <c r="Z1514" s="549"/>
      <c r="AA1514" s="549"/>
      <c r="AB1514" s="549"/>
      <c r="AC1514" s="549"/>
      <c r="AD1514" s="549"/>
      <c r="AE1514" s="549"/>
      <c r="AF1514" s="549"/>
      <c r="AG1514" s="549"/>
      <c r="AH1514" s="549"/>
      <c r="AI1514" s="549"/>
      <c r="AJ1514" s="549"/>
      <c r="AK1514" s="549"/>
      <c r="AL1514" s="549"/>
      <c r="AM1514" s="549"/>
      <c r="AN1514" s="549"/>
      <c r="AO1514" s="549"/>
      <c r="AP1514" s="549"/>
      <c r="AQ1514" s="549"/>
      <c r="AR1514" s="549"/>
      <c r="AS1514" s="549"/>
      <c r="AT1514" s="549"/>
      <c r="AU1514" s="549"/>
      <c r="AV1514" s="549"/>
      <c r="AW1514" s="549"/>
      <c r="AX1514" s="549"/>
      <c r="AY1514" s="549"/>
      <c r="AZ1514" s="549"/>
      <c r="BA1514" s="549"/>
      <c r="BB1514" s="549"/>
      <c r="BC1514" s="549"/>
      <c r="BD1514" s="549"/>
      <c r="BE1514" s="549"/>
      <c r="BF1514" s="549"/>
      <c r="BG1514" s="549"/>
      <c r="BH1514" s="549"/>
      <c r="BI1514" s="549"/>
    </row>
    <row r="1515" spans="12:61" s="254" customFormat="1" ht="9.9">
      <c r="P1515" s="549"/>
      <c r="Q1515" s="549"/>
      <c r="R1515" s="549"/>
      <c r="S1515" s="549"/>
      <c r="T1515" s="549"/>
      <c r="U1515" s="549"/>
      <c r="V1515" s="549"/>
      <c r="W1515" s="549"/>
      <c r="X1515" s="549"/>
      <c r="Y1515" s="549"/>
      <c r="Z1515" s="549"/>
      <c r="AA1515" s="549"/>
      <c r="AB1515" s="549"/>
      <c r="AC1515" s="549"/>
      <c r="AD1515" s="549"/>
      <c r="AE1515" s="549"/>
      <c r="AF1515" s="549"/>
      <c r="AG1515" s="549"/>
      <c r="AH1515" s="549"/>
      <c r="AI1515" s="549"/>
      <c r="AJ1515" s="549"/>
      <c r="AK1515" s="549"/>
      <c r="AL1515" s="549"/>
      <c r="AM1515" s="549"/>
      <c r="AN1515" s="549"/>
      <c r="AO1515" s="549"/>
      <c r="AP1515" s="549"/>
      <c r="AQ1515" s="549"/>
      <c r="AR1515" s="549"/>
      <c r="AS1515" s="549"/>
      <c r="AT1515" s="549"/>
      <c r="AU1515" s="549"/>
      <c r="AV1515" s="549"/>
      <c r="AW1515" s="549"/>
      <c r="AX1515" s="549"/>
      <c r="AY1515" s="549"/>
      <c r="AZ1515" s="549"/>
      <c r="BA1515" s="549"/>
      <c r="BB1515" s="549"/>
      <c r="BC1515" s="549"/>
      <c r="BD1515" s="549"/>
      <c r="BE1515" s="549"/>
      <c r="BF1515" s="549"/>
      <c r="BG1515" s="549"/>
      <c r="BH1515" s="549"/>
      <c r="BI1515" s="549"/>
    </row>
    <row r="1516" spans="12:61" s="254" customFormat="1">
      <c r="L1516"/>
      <c r="P1516" s="549"/>
      <c r="Q1516" s="549"/>
      <c r="R1516" s="549"/>
      <c r="S1516" s="549"/>
      <c r="T1516" s="549"/>
      <c r="U1516" s="549"/>
      <c r="V1516" s="549"/>
      <c r="W1516" s="549"/>
      <c r="X1516" s="549"/>
      <c r="Y1516" s="549"/>
      <c r="Z1516" s="549"/>
      <c r="AA1516" s="549"/>
      <c r="AB1516" s="549"/>
      <c r="AC1516" s="549"/>
      <c r="AD1516" s="549"/>
      <c r="AE1516" s="549"/>
      <c r="AF1516" s="549"/>
      <c r="AG1516" s="549"/>
      <c r="AH1516" s="549"/>
      <c r="AI1516" s="549"/>
      <c r="AJ1516" s="549"/>
      <c r="AK1516" s="549"/>
      <c r="AL1516" s="549"/>
      <c r="AM1516" s="549"/>
      <c r="AN1516" s="549"/>
      <c r="AO1516" s="549"/>
      <c r="AP1516" s="549"/>
      <c r="AQ1516" s="549"/>
      <c r="AR1516" s="549"/>
      <c r="AS1516" s="549"/>
      <c r="AT1516" s="549"/>
      <c r="AU1516" s="549"/>
      <c r="AV1516" s="549"/>
      <c r="AW1516" s="549"/>
      <c r="AX1516" s="549"/>
      <c r="AY1516" s="549"/>
      <c r="AZ1516" s="549"/>
      <c r="BA1516" s="549"/>
      <c r="BB1516" s="549"/>
      <c r="BC1516" s="549"/>
      <c r="BD1516" s="549"/>
      <c r="BE1516" s="549"/>
      <c r="BF1516" s="549"/>
      <c r="BG1516" s="549"/>
      <c r="BH1516" s="549"/>
      <c r="BI1516" s="549"/>
    </row>
  </sheetData>
  <mergeCells count="1">
    <mergeCell ref="K85:L96"/>
  </mergeCells>
  <phoneticPr fontId="96" type="noConversion"/>
  <dataValidations count="1">
    <dataValidation type="custom" errorStyle="information" allowBlank="1" showInputMessage="1" showErrorMessage="1" sqref="M13:M15" xr:uid="{00000000-0002-0000-0900-000000000000}">
      <formula1>"1,2,3,4"</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NavigateCombBox">
              <controlPr defaultSize="0" autoPict="0" macro="[0]!NavigateBox">
                <anchor moveWithCells="1">
                  <from>
                    <xdr:col>0</xdr:col>
                    <xdr:colOff>0</xdr:colOff>
                    <xdr:row>0</xdr:row>
                    <xdr:rowOff>0</xdr:rowOff>
                  </from>
                  <to>
                    <xdr:col>1</xdr:col>
                    <xdr:colOff>936068</xdr:colOff>
                    <xdr:row>1</xdr:row>
                    <xdr:rowOff>0</xdr:rowOff>
                  </to>
                </anchor>
              </controlPr>
            </control>
          </mc:Choice>
        </mc:AlternateContent>
        <mc:AlternateContent xmlns:mc="http://schemas.openxmlformats.org/markup-compatibility/2006">
          <mc:Choice Requires="x14">
            <control shapeId="5168" r:id="rId4" name="营业收入">
              <controlPr defaultSize="0" autoPict="0" macro="[0]!营业收入_Change">
                <anchor mov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5169" r:id="rId5" name="营业成本">
              <controlPr defaultSize="0" autoPict="0" macro="[0]!营业成本_Change">
                <anchor mov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170" r:id="rId6" name="营业税金及附加">
              <controlPr defaultSize="0" autoPict="0" macro="[0]!营业税金及附加_Change">
                <anchor mov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171" r:id="rId7" name="销售费用">
              <controlPr defaultSize="0" autoPict="0" macro="[0]!销售费用_Change">
                <anchor moveWithCells="1">
                  <from>
                    <xdr:col>2</xdr:col>
                    <xdr:colOff>8667</xdr:colOff>
                    <xdr:row>12</xdr:row>
                    <xdr:rowOff>182013</xdr:rowOff>
                  </from>
                  <to>
                    <xdr:col>3</xdr:col>
                    <xdr:colOff>8667</xdr:colOff>
                    <xdr:row>14</xdr:row>
                    <xdr:rowOff>39003</xdr:rowOff>
                  </to>
                </anchor>
              </controlPr>
            </control>
          </mc:Choice>
        </mc:AlternateContent>
        <mc:AlternateContent xmlns:mc="http://schemas.openxmlformats.org/markup-compatibility/2006">
          <mc:Choice Requires="x14">
            <control shapeId="5172" r:id="rId8" name="管理费用">
              <controlPr defaultSize="0" autoPict="0" macro="[0]!管理费用_Change">
                <anchor moveWithCells="1">
                  <from>
                    <xdr:col>2</xdr:col>
                    <xdr:colOff>0</xdr:colOff>
                    <xdr:row>14</xdr:row>
                    <xdr:rowOff>182013</xdr:rowOff>
                  </from>
                  <to>
                    <xdr:col>3</xdr:col>
                    <xdr:colOff>0</xdr:colOff>
                    <xdr:row>15</xdr:row>
                    <xdr:rowOff>182013</xdr:rowOff>
                  </to>
                </anchor>
              </controlPr>
            </control>
          </mc:Choice>
        </mc:AlternateContent>
        <mc:AlternateContent xmlns:mc="http://schemas.openxmlformats.org/markup-compatibility/2006">
          <mc:Choice Requires="x14">
            <control shapeId="5173" r:id="rId9" name="其他财务费用">
              <controlPr defaultSize="0" autoPict="0" macro="[0]!其他财务费用_Change">
                <anchor mov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174" r:id="rId10" name="资产减值损失">
              <controlPr defaultSize="0" autoPict="0" macro="[0]!资产减值损失_Change">
                <anchor mov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175" r:id="rId11" name="其他经营性净收益">
              <controlPr defaultSize="0" autoPict="0" macro="[0]!其他经营性净收益_Change">
                <anchor mov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176" r:id="rId12" name="所得税率">
              <controlPr defaultSize="0" autoPict="0" macro="[0]!所得税率_Change">
                <anchor mov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177" r:id="rId13" name="公允价值变动收益">
              <controlPr defaultSize="0" autoPict="0" macro="[0]!公允价值变动收益_Change">
                <anchor mov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178" r:id="rId14" name="资产处置收益">
              <controlPr defaultSize="0" autoPict="0" macro="[0]!资产处置收益_Change">
                <anchor moveWithCells="1">
                  <from>
                    <xdr:col>2</xdr:col>
                    <xdr:colOff>0</xdr:colOff>
                    <xdr:row>33</xdr:row>
                    <xdr:rowOff>0</xdr:rowOff>
                  </from>
                  <to>
                    <xdr:col>3</xdr:col>
                    <xdr:colOff>0</xdr:colOff>
                    <xdr:row>34</xdr:row>
                    <xdr:rowOff>8667</xdr:rowOff>
                  </to>
                </anchor>
              </controlPr>
            </control>
          </mc:Choice>
        </mc:AlternateContent>
        <mc:AlternateContent xmlns:mc="http://schemas.openxmlformats.org/markup-compatibility/2006">
          <mc:Choice Requires="x14">
            <control shapeId="5179" r:id="rId15" name="其他非经营性收益">
              <controlPr defaultSize="0" autoPict="0" macro="[0]!其他非经营性收益_Change">
                <anchor moveWithCells="1">
                  <from>
                    <xdr:col>2</xdr:col>
                    <xdr:colOff>0</xdr:colOff>
                    <xdr:row>34</xdr:row>
                    <xdr:rowOff>0</xdr:rowOff>
                  </from>
                  <to>
                    <xdr:col>3</xdr:col>
                    <xdr:colOff>0</xdr:colOff>
                    <xdr:row>35</xdr:row>
                    <xdr:rowOff>30336</xdr:rowOff>
                  </to>
                </anchor>
              </controlPr>
            </control>
          </mc:Choice>
        </mc:AlternateContent>
        <mc:AlternateContent xmlns:mc="http://schemas.openxmlformats.org/markup-compatibility/2006">
          <mc:Choice Requires="x14">
            <control shapeId="5180" r:id="rId16" name="税收减免或返还">
              <controlPr defaultSize="0" autoPict="0" macro="[0]!税收减免或返还_Change">
                <anchor moveWithCells="1">
                  <from>
                    <xdr:col>2</xdr:col>
                    <xdr:colOff>0</xdr:colOff>
                    <xdr:row>37</xdr:row>
                    <xdr:rowOff>0</xdr:rowOff>
                  </from>
                  <to>
                    <xdr:col>3</xdr:col>
                    <xdr:colOff>0</xdr:colOff>
                    <xdr:row>38</xdr:row>
                    <xdr:rowOff>60671</xdr:rowOff>
                  </to>
                </anchor>
              </controlPr>
            </control>
          </mc:Choice>
        </mc:AlternateContent>
        <mc:AlternateContent xmlns:mc="http://schemas.openxmlformats.org/markup-compatibility/2006">
          <mc:Choice Requires="x14">
            <control shapeId="5181" r:id="rId17" name="少数股东损益">
              <controlPr defaultSize="0" autoPict="0" macro="[0]!少数股东损益_Change">
                <anchor moveWithCells="1">
                  <from>
                    <xdr:col>2</xdr:col>
                    <xdr:colOff>8667</xdr:colOff>
                    <xdr:row>43</xdr:row>
                    <xdr:rowOff>0</xdr:rowOff>
                  </from>
                  <to>
                    <xdr:col>3</xdr:col>
                    <xdr:colOff>8667</xdr:colOff>
                    <xdr:row>44</xdr:row>
                    <xdr:rowOff>21668</xdr:rowOff>
                  </to>
                </anchor>
              </controlPr>
            </control>
          </mc:Choice>
        </mc:AlternateContent>
        <mc:AlternateContent xmlns:mc="http://schemas.openxmlformats.org/markup-compatibility/2006">
          <mc:Choice Requires="x14">
            <control shapeId="5182" r:id="rId18" name="普通股股利">
              <controlPr defaultSize="0" autoPict="0" macro="[0]!普通股股利_Change">
                <anchor moveWithCells="1">
                  <from>
                    <xdr:col>2</xdr:col>
                    <xdr:colOff>0</xdr:colOff>
                    <xdr:row>46</xdr:row>
                    <xdr:rowOff>0</xdr:rowOff>
                  </from>
                  <to>
                    <xdr:col>3</xdr:col>
                    <xdr:colOff>0</xdr:colOff>
                    <xdr:row>47</xdr:row>
                    <xdr:rowOff>21668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14996795556505021"/>
  </sheetPr>
  <dimension ref="A1:AG449"/>
  <sheetViews>
    <sheetView workbookViewId="0">
      <pane xSplit="3" ySplit="4" topLeftCell="D5" activePane="bottomRight" state="frozen"/>
      <selection pane="topRight"/>
      <selection pane="bottomLeft"/>
      <selection pane="bottomRight" activeCell="E32" sqref="E32"/>
    </sheetView>
  </sheetViews>
  <sheetFormatPr defaultColWidth="9" defaultRowHeight="14.35"/>
  <cols>
    <col min="2" max="2" width="29.875" style="2" customWidth="1"/>
    <col min="3" max="3" width="17.125" customWidth="1"/>
    <col min="4" max="10" width="8.1875" bestFit="1" customWidth="1"/>
    <col min="11" max="11" width="14.75" customWidth="1"/>
  </cols>
  <sheetData>
    <row r="1" spans="1:33">
      <c r="A1" s="404"/>
      <c r="B1" s="429"/>
      <c r="C1" s="430"/>
      <c r="D1" s="430"/>
      <c r="E1" s="430"/>
      <c r="F1" s="430"/>
      <c r="G1" s="430"/>
      <c r="H1" s="430"/>
      <c r="I1" s="430"/>
      <c r="J1" s="430"/>
      <c r="K1" s="430"/>
      <c r="L1" s="430"/>
      <c r="M1" s="430"/>
      <c r="N1" s="458"/>
      <c r="O1" s="458"/>
      <c r="P1" s="458"/>
      <c r="Q1" s="458"/>
      <c r="R1" s="458"/>
      <c r="S1" s="458"/>
      <c r="T1" s="458"/>
      <c r="U1" s="458"/>
      <c r="V1" s="458"/>
      <c r="W1" s="458"/>
      <c r="X1" s="458"/>
      <c r="Y1" s="458"/>
      <c r="Z1" s="458"/>
      <c r="AA1" s="458"/>
      <c r="AB1" s="458"/>
      <c r="AC1" s="458"/>
      <c r="AD1" s="458"/>
      <c r="AE1" s="458"/>
      <c r="AF1" s="458"/>
      <c r="AG1" s="458"/>
    </row>
    <row r="2" spans="1:33">
      <c r="A2" s="211" t="str">
        <f>'[2]历史年度（原始）'!A2</f>
        <v>单位：元</v>
      </c>
      <c r="B2" s="431"/>
      <c r="C2" s="430"/>
      <c r="D2" s="430"/>
      <c r="E2" s="430"/>
      <c r="F2" s="430"/>
      <c r="G2" s="430"/>
      <c r="H2" s="430"/>
      <c r="I2" s="430"/>
      <c r="J2" s="430"/>
      <c r="K2" s="430"/>
      <c r="L2" s="430"/>
      <c r="M2" s="430"/>
      <c r="N2" s="458"/>
      <c r="O2" s="458"/>
      <c r="P2" s="458"/>
      <c r="Q2" s="458"/>
      <c r="R2" s="458"/>
      <c r="S2" s="458"/>
      <c r="T2" s="458"/>
      <c r="U2" s="458"/>
      <c r="V2" s="458"/>
      <c r="W2" s="458"/>
      <c r="X2" s="458"/>
      <c r="Y2" s="458"/>
      <c r="Z2" s="458"/>
      <c r="AA2" s="458"/>
      <c r="AB2" s="458"/>
      <c r="AC2" s="458"/>
      <c r="AD2" s="458"/>
      <c r="AE2" s="458"/>
      <c r="AF2" s="458"/>
      <c r="AG2" s="458"/>
    </row>
    <row r="3" spans="1:33">
      <c r="A3" s="211"/>
      <c r="B3" s="431"/>
      <c r="C3" s="430"/>
      <c r="D3" s="430"/>
      <c r="E3" s="430"/>
      <c r="F3" s="430"/>
      <c r="G3" s="430"/>
      <c r="H3" s="430"/>
      <c r="I3" s="430"/>
      <c r="J3" s="430"/>
      <c r="K3" s="430"/>
      <c r="L3" s="430"/>
      <c r="M3" s="430"/>
      <c r="N3" s="458"/>
      <c r="O3" s="458"/>
      <c r="P3" s="458"/>
      <c r="Q3" s="458"/>
      <c r="R3" s="458"/>
      <c r="S3" s="458"/>
      <c r="T3" s="458"/>
      <c r="U3" s="458"/>
      <c r="V3" s="458"/>
      <c r="W3" s="458"/>
      <c r="X3" s="458"/>
      <c r="Y3" s="458"/>
      <c r="Z3" s="458"/>
      <c r="AA3" s="458"/>
      <c r="AB3" s="458"/>
      <c r="AC3" s="458"/>
      <c r="AD3" s="458"/>
      <c r="AE3" s="458"/>
      <c r="AF3" s="458"/>
      <c r="AG3" s="458"/>
    </row>
    <row r="4" spans="1:33">
      <c r="A4" s="405"/>
      <c r="B4" s="432"/>
      <c r="C4" s="433" t="s">
        <v>1434</v>
      </c>
      <c r="D4" s="76">
        <v>42369</v>
      </c>
      <c r="E4" s="77">
        <v>42735</v>
      </c>
      <c r="F4" s="77">
        <v>43100</v>
      </c>
      <c r="G4" s="77">
        <v>43465</v>
      </c>
      <c r="H4" s="312">
        <v>43830</v>
      </c>
      <c r="I4" s="312">
        <v>44196</v>
      </c>
      <c r="J4" s="312">
        <v>44561</v>
      </c>
      <c r="K4" s="217"/>
      <c r="L4" s="217"/>
      <c r="M4" s="459"/>
      <c r="N4" s="459"/>
      <c r="O4" s="468"/>
      <c r="P4" s="468"/>
      <c r="Q4" s="468"/>
      <c r="R4" s="435"/>
      <c r="S4" s="435"/>
      <c r="T4" s="435"/>
      <c r="U4" s="435"/>
      <c r="V4" s="435"/>
      <c r="W4" s="435"/>
      <c r="X4" s="435"/>
      <c r="Y4" s="435"/>
      <c r="Z4" s="435"/>
      <c r="AA4" s="435"/>
      <c r="AB4" s="435"/>
      <c r="AC4" s="435"/>
      <c r="AD4" s="435"/>
      <c r="AE4" s="435"/>
      <c r="AF4" s="435"/>
      <c r="AG4" s="435"/>
    </row>
    <row r="5" spans="1:33">
      <c r="A5" s="407" t="s">
        <v>890</v>
      </c>
      <c r="B5" s="434"/>
      <c r="C5" s="408"/>
      <c r="D5" s="435"/>
      <c r="E5" s="210"/>
      <c r="F5" s="213"/>
      <c r="G5" s="213"/>
      <c r="H5" s="460"/>
      <c r="I5" s="460"/>
      <c r="J5" s="460"/>
      <c r="K5" s="461"/>
      <c r="L5" s="461"/>
      <c r="M5" s="462"/>
      <c r="N5" s="462"/>
      <c r="O5" s="462"/>
      <c r="P5" s="462"/>
      <c r="Q5" s="462"/>
      <c r="R5" s="469"/>
      <c r="S5" s="469"/>
      <c r="T5" s="469"/>
      <c r="U5" s="469"/>
      <c r="V5" s="469"/>
      <c r="W5" s="469"/>
      <c r="X5" s="469"/>
      <c r="Y5" s="469"/>
      <c r="Z5" s="469"/>
      <c r="AA5" s="469"/>
      <c r="AB5" s="469"/>
      <c r="AC5" s="469"/>
      <c r="AD5" s="469"/>
      <c r="AE5" s="469"/>
      <c r="AF5" s="469"/>
      <c r="AG5" s="469"/>
    </row>
    <row r="6" spans="1:33">
      <c r="A6" s="436" t="s">
        <v>1472</v>
      </c>
      <c r="B6" s="437"/>
      <c r="C6" s="408"/>
      <c r="D6" s="438"/>
      <c r="E6" s="411"/>
      <c r="F6" s="411"/>
      <c r="G6" s="411"/>
      <c r="H6" s="460"/>
      <c r="I6" s="460"/>
      <c r="J6" s="460"/>
      <c r="K6" s="461"/>
      <c r="L6" s="461"/>
      <c r="M6" s="462"/>
      <c r="N6" s="462"/>
      <c r="O6" s="462"/>
      <c r="P6" s="462"/>
      <c r="Q6" s="462"/>
      <c r="R6" s="469"/>
      <c r="S6" s="469"/>
      <c r="T6" s="469"/>
      <c r="U6" s="469"/>
      <c r="V6" s="469"/>
      <c r="W6" s="469"/>
      <c r="X6" s="469"/>
      <c r="Y6" s="469"/>
      <c r="Z6" s="469"/>
      <c r="AA6" s="469"/>
      <c r="AB6" s="469"/>
      <c r="AC6" s="469"/>
      <c r="AD6" s="469"/>
      <c r="AE6" s="469"/>
      <c r="AF6" s="469"/>
      <c r="AG6" s="469"/>
    </row>
    <row r="7" spans="1:33">
      <c r="A7" s="439"/>
      <c r="B7" s="440" t="s">
        <v>892</v>
      </c>
      <c r="C7" s="441"/>
      <c r="D7" s="171">
        <f>'历史年度（简化）'!C40</f>
        <v>0.96667874829999989</v>
      </c>
      <c r="E7" s="171">
        <f>'历史年度（简化）'!D40</f>
        <v>1.5793793950000001</v>
      </c>
      <c r="F7" s="171">
        <f>'历史年度（简化）'!E40</f>
        <v>2.5659734576000002</v>
      </c>
      <c r="G7" s="171">
        <f>'历史年度（简化）'!F40</f>
        <v>2.5321442329999995</v>
      </c>
      <c r="H7" s="171" t="e">
        <f>预测现金流量表!H44</f>
        <v>#VALUE!</v>
      </c>
      <c r="I7" s="171" t="e">
        <f>预测现金流量表!I44</f>
        <v>#VALUE!</v>
      </c>
      <c r="J7" s="171" t="e">
        <f>预测现金流量表!J44</f>
        <v>#VALUE!</v>
      </c>
      <c r="K7" s="463"/>
      <c r="L7" s="463"/>
      <c r="M7" s="463"/>
      <c r="N7" s="463"/>
      <c r="O7" s="463"/>
      <c r="P7" s="463"/>
      <c r="Q7" s="463"/>
      <c r="R7" s="470"/>
      <c r="S7" s="469"/>
      <c r="T7" s="469"/>
      <c r="U7" s="469"/>
      <c r="V7" s="469"/>
      <c r="W7" s="469"/>
      <c r="X7" s="469"/>
      <c r="Y7" s="469"/>
      <c r="Z7" s="469"/>
      <c r="AA7" s="469"/>
      <c r="AB7" s="469"/>
      <c r="AC7" s="469"/>
      <c r="AD7" s="469"/>
      <c r="AE7" s="469"/>
      <c r="AF7" s="469"/>
      <c r="AG7" s="469"/>
    </row>
    <row r="8" spans="1:33">
      <c r="A8" s="439"/>
      <c r="B8" s="440" t="s">
        <v>893</v>
      </c>
      <c r="C8" s="442"/>
      <c r="D8" s="171">
        <f>'历史年度（简化）'!C41</f>
        <v>0</v>
      </c>
      <c r="E8" s="171">
        <f>'历史年度（简化）'!D41</f>
        <v>0</v>
      </c>
      <c r="F8" s="171">
        <f>'历史年度（简化）'!E41</f>
        <v>0</v>
      </c>
      <c r="G8" s="171">
        <f>'历史年度（简化）'!F41</f>
        <v>0</v>
      </c>
      <c r="H8" s="464">
        <f>IF(ISERROR(G8),0,G8)</f>
        <v>0</v>
      </c>
      <c r="I8" s="464">
        <f t="shared" ref="I8:J8" si="0">IF(ISERROR(H8),0,H8)</f>
        <v>0</v>
      </c>
      <c r="J8" s="464">
        <f t="shared" si="0"/>
        <v>0</v>
      </c>
      <c r="K8" s="463"/>
      <c r="L8" s="430"/>
      <c r="M8" s="430"/>
      <c r="N8" s="430"/>
      <c r="O8" s="430"/>
      <c r="P8" s="430"/>
      <c r="Q8" s="430"/>
      <c r="R8" s="470"/>
      <c r="S8" s="469"/>
      <c r="T8" s="469"/>
      <c r="U8" s="469"/>
      <c r="V8" s="469"/>
      <c r="W8" s="469"/>
      <c r="X8" s="469"/>
      <c r="Y8" s="469"/>
      <c r="Z8" s="469"/>
      <c r="AA8" s="469"/>
      <c r="AB8" s="469"/>
      <c r="AC8" s="469"/>
      <c r="AD8" s="469"/>
      <c r="AE8" s="469"/>
      <c r="AF8" s="469"/>
      <c r="AG8" s="469"/>
    </row>
    <row r="9" spans="1:33">
      <c r="A9" s="443"/>
      <c r="B9" s="444" t="s">
        <v>894</v>
      </c>
      <c r="C9" s="442"/>
      <c r="D9" s="171">
        <f>'历史年度（简化）'!C42</f>
        <v>5.9732056991999993</v>
      </c>
      <c r="E9" s="171">
        <f>'历史年度（简化）'!D42</f>
        <v>8.2483419815999994</v>
      </c>
      <c r="F9" s="171">
        <f>'历史年度（简化）'!E42</f>
        <v>9.1053278984000006</v>
      </c>
      <c r="G9" s="171">
        <f>'历史年度（简化）'!F42</f>
        <v>9.7467808342999991</v>
      </c>
      <c r="H9" s="464">
        <f>IF(ISERROR(2*预测利润表!H7/H10-G9),0,2*预测利润表!H7/H10-G9)</f>
        <v>12.65734039136836</v>
      </c>
      <c r="I9" s="464">
        <f>IF(ISERROR(2*预测利润表!I7/I10-H9),0,2*预测利润表!I7/I10-H9)</f>
        <v>13.968044334097042</v>
      </c>
      <c r="J9" s="464">
        <f>IF(ISERROR(2*预测利润表!J7/J10-I9),0,2*预测利润表!J7/J10-I9)</f>
        <v>17.673951557571684</v>
      </c>
      <c r="K9" s="463"/>
      <c r="L9" s="430"/>
      <c r="M9" s="430"/>
      <c r="N9" s="430"/>
      <c r="O9" s="430"/>
      <c r="P9" s="430"/>
      <c r="Q9" s="430"/>
      <c r="R9" s="470"/>
      <c r="S9" s="469"/>
      <c r="T9" s="469"/>
      <c r="U9" s="469"/>
      <c r="V9" s="469"/>
      <c r="W9" s="469"/>
      <c r="X9" s="469"/>
      <c r="Y9" s="469"/>
      <c r="Z9" s="469"/>
      <c r="AA9" s="469"/>
      <c r="AB9" s="469"/>
      <c r="AC9" s="469"/>
      <c r="AD9" s="469"/>
      <c r="AE9" s="469"/>
      <c r="AF9" s="469"/>
      <c r="AG9" s="469"/>
    </row>
    <row r="10" spans="1:33">
      <c r="A10" s="445"/>
      <c r="B10" s="446" t="s">
        <v>1473</v>
      </c>
      <c r="C10" s="442"/>
      <c r="D10" s="447"/>
      <c r="E10" s="447">
        <f>IF(ISERROR(预测利润表!E7*2/('历史年度（简化）'!C42+'历史年度（简化）'!D42)),0,预测利润表!E7*2/('历史年度（简化）'!C42+'历史年度（简化）'!D42))</f>
        <v>2.4417296984407129</v>
      </c>
      <c r="F10" s="447">
        <f>IF(ISERROR(预测利润表!F7*2/('历史年度（简化）'!D42+'历史年度（简化）'!E42)),0,预测利润表!F7*2/('历史年度（简化）'!D42+'历史年度（简化）'!E42))</f>
        <v>2.2906485228126283</v>
      </c>
      <c r="G10" s="447">
        <f>IF(ISERROR(预测利润表!G7*2/('历史年度（简化）'!E42+'历史年度（简化）'!F42)),0,预测利润表!G7*2/('历史年度（简化）'!E42+'历史年度（简化）'!F42))</f>
        <v>2.5058659199465669</v>
      </c>
      <c r="H10" s="465">
        <f>IF(ISERROR(G10),0,G10)</f>
        <v>2.5058659199465669</v>
      </c>
      <c r="I10" s="465">
        <f t="shared" ref="I10:J10" si="1">IF(ISERROR(H10),0,H10)</f>
        <v>2.5058659199465669</v>
      </c>
      <c r="J10" s="465">
        <f t="shared" si="1"/>
        <v>2.5058659199465669</v>
      </c>
      <c r="K10" s="463"/>
      <c r="L10" s="458"/>
      <c r="M10" s="458"/>
      <c r="N10" s="458"/>
      <c r="O10" s="458"/>
      <c r="P10" s="458"/>
      <c r="Q10" s="458"/>
      <c r="R10" s="471"/>
      <c r="S10" s="469"/>
      <c r="T10" s="469"/>
      <c r="U10" s="469"/>
      <c r="V10" s="469"/>
      <c r="W10" s="469"/>
      <c r="X10" s="469"/>
      <c r="Y10" s="469"/>
      <c r="Z10" s="469"/>
      <c r="AA10" s="469"/>
      <c r="AB10" s="469"/>
      <c r="AC10" s="469"/>
      <c r="AD10" s="469"/>
      <c r="AE10" s="469"/>
      <c r="AF10" s="469"/>
      <c r="AG10" s="469"/>
    </row>
    <row r="11" spans="1:33">
      <c r="A11" s="443"/>
      <c r="B11" s="444" t="s">
        <v>895</v>
      </c>
      <c r="C11" s="442"/>
      <c r="D11" s="171">
        <f>'历史年度（简化）'!C43</f>
        <v>6.4983149400000009E-2</v>
      </c>
      <c r="E11" s="171">
        <f>'历史年度（简化）'!D43</f>
        <v>7.41195033E-2</v>
      </c>
      <c r="F11" s="171">
        <f>'历史年度（简化）'!E43</f>
        <v>0.20613596910000001</v>
      </c>
      <c r="G11" s="171">
        <f>'历史年度（简化）'!F43</f>
        <v>0.1174587751</v>
      </c>
      <c r="H11" s="464">
        <f>IF(ISERROR(2*预测利润表!H9/H12-G11),0,2*预测利润表!H9/H12-G11)</f>
        <v>0.26710594282307665</v>
      </c>
      <c r="I11" s="464">
        <f>IF(ISERROR(2*预测利润表!I9/I12-H11),0,2*预测利润表!I9/I12-H11)</f>
        <v>0.18991638192720101</v>
      </c>
      <c r="J11" s="464">
        <f>IF(ISERROR(2*预测利润表!J9/J12-I11),0,2*预测利润表!J9/J12-I11)</f>
        <v>0.35321562053051753</v>
      </c>
      <c r="K11" s="463"/>
      <c r="L11" s="430"/>
      <c r="M11" s="430"/>
      <c r="N11" s="430"/>
      <c r="O11" s="430"/>
      <c r="P11" s="430"/>
      <c r="Q11" s="430"/>
      <c r="R11" s="470"/>
      <c r="S11" s="469"/>
      <c r="T11" s="469"/>
      <c r="U11" s="469"/>
      <c r="V11" s="469"/>
      <c r="W11" s="469"/>
      <c r="X11" s="469"/>
      <c r="Y11" s="469"/>
      <c r="Z11" s="469"/>
      <c r="AA11" s="469"/>
      <c r="AB11" s="469"/>
      <c r="AC11" s="469"/>
      <c r="AD11" s="469"/>
      <c r="AE11" s="469"/>
      <c r="AF11" s="469"/>
      <c r="AG11" s="469"/>
    </row>
    <row r="12" spans="1:33">
      <c r="A12" s="445"/>
      <c r="B12" s="446" t="s">
        <v>1474</v>
      </c>
      <c r="C12" s="442"/>
      <c r="D12" s="447"/>
      <c r="E12" s="447">
        <f>IF(ISERROR(预测利润表!E9*2/('历史年度（简化）'!C43+'历史年度（简化）'!D43)),0,预测利润表!E9*2/('历史年度（简化）'!C43+'历史年度（简化）'!D43))</f>
        <v>157.2563144369137</v>
      </c>
      <c r="F12" s="447">
        <f>IF(ISERROR(预测利润表!F9*2/('历史年度（简化）'!D43+'历史年度（简化）'!E43)),0,预测利润表!F9*2/('历史年度（简化）'!D43+'历史年度（简化）'!E43))</f>
        <v>94.354754122546069</v>
      </c>
      <c r="G12" s="447">
        <f>IF(ISERROR(预测利润表!G9*2/('历史年度（简化）'!E43+'历史年度（简化）'!F43)),0,预测利润表!G9*2/('历史年度（简化）'!E43+'历史年度（简化）'!F43))</f>
        <v>95.415287763502548</v>
      </c>
      <c r="H12" s="465">
        <f>IF(ISERROR(G12),0,G12)</f>
        <v>95.415287763502548</v>
      </c>
      <c r="I12" s="465">
        <f t="shared" ref="I12:J12" si="2">IF(ISERROR(H12),0,H12)</f>
        <v>95.415287763502548</v>
      </c>
      <c r="J12" s="465">
        <f t="shared" si="2"/>
        <v>95.415287763502548</v>
      </c>
      <c r="K12" s="463"/>
      <c r="L12" s="458"/>
      <c r="M12" s="458"/>
      <c r="N12" s="458"/>
      <c r="O12" s="458"/>
      <c r="P12" s="458"/>
      <c r="Q12" s="458"/>
      <c r="R12" s="471"/>
      <c r="S12" s="469"/>
      <c r="T12" s="469"/>
      <c r="U12" s="469"/>
      <c r="V12" s="469"/>
      <c r="W12" s="469"/>
      <c r="X12" s="469"/>
      <c r="Y12" s="469"/>
      <c r="Z12" s="469"/>
      <c r="AA12" s="469"/>
      <c r="AB12" s="469"/>
      <c r="AC12" s="469"/>
      <c r="AD12" s="469"/>
      <c r="AE12" s="469"/>
      <c r="AF12" s="469"/>
      <c r="AG12" s="469"/>
    </row>
    <row r="13" spans="1:33">
      <c r="A13" s="443"/>
      <c r="B13" s="448" t="s">
        <v>896</v>
      </c>
      <c r="C13" s="442"/>
      <c r="D13" s="171">
        <f>'历史年度（简化）'!C44</f>
        <v>6.1536670199999997E-2</v>
      </c>
      <c r="E13" s="171">
        <f>'历史年度（简化）'!D44</f>
        <v>0.13204210560000001</v>
      </c>
      <c r="F13" s="171">
        <f>'历史年度（简化）'!E44</f>
        <v>4.2675326999999999E-2</v>
      </c>
      <c r="G13" s="171">
        <f>'历史年度（简化）'!F44</f>
        <v>0.18944407559999998</v>
      </c>
      <c r="H13" s="464">
        <f>IF(ISERROR(2*预测利润表!H7/H14-G13),0,2*预测利润表!H7/H14-G13)</f>
        <v>8.641001098606399E-2</v>
      </c>
      <c r="I13" s="464">
        <f>IF(ISERROR(2*预测利润表!I7/I14-H13),0,2*预测利润表!I7/I14-H13)</f>
        <v>0.24141901249872971</v>
      </c>
      <c r="J13" s="464">
        <f>IF(ISERROR(2*预测利润表!J7/J14-I13),0,2*预测利润表!J7/J14-I13)</f>
        <v>0.14817778473944782</v>
      </c>
      <c r="K13" s="463"/>
      <c r="L13" s="430"/>
      <c r="M13" s="430"/>
      <c r="N13" s="430"/>
      <c r="O13" s="430"/>
      <c r="P13" s="430"/>
      <c r="Q13" s="430"/>
      <c r="R13" s="470"/>
      <c r="S13" s="469"/>
      <c r="T13" s="469"/>
      <c r="U13" s="469"/>
      <c r="V13" s="469"/>
      <c r="W13" s="469"/>
      <c r="X13" s="469"/>
      <c r="Y13" s="469"/>
      <c r="Z13" s="469"/>
      <c r="AA13" s="469"/>
      <c r="AB13" s="469"/>
      <c r="AC13" s="469"/>
      <c r="AD13" s="469"/>
      <c r="AE13" s="469"/>
      <c r="AF13" s="469"/>
      <c r="AG13" s="469"/>
    </row>
    <row r="14" spans="1:33">
      <c r="A14" s="445"/>
      <c r="B14" s="449" t="s">
        <v>1473</v>
      </c>
      <c r="C14" s="442"/>
      <c r="D14" s="447"/>
      <c r="E14" s="447">
        <f>IF(ISERROR(预测利润表!E7*2/('历史年度（简化）'!C44+'历史年度（简化）'!D44)),0,预测利润表!E7*2/('历史年度（简化）'!C44+'历史年度（简化）'!D44))</f>
        <v>179.38524089994786</v>
      </c>
      <c r="F14" s="447">
        <f>IF(ISERROR(预测利润表!F7*2/('历史年度（简化）'!D44+'历史年度（简化）'!E44)),0,预测利润表!F7*2/('历史年度（简化）'!D44+'历史年度（简化）'!E44))</f>
        <v>227.51684067500429</v>
      </c>
      <c r="G14" s="447">
        <f>IF(ISERROR(预测利润表!G7*2/('历史年度（简化）'!E44+'历史年度（简化）'!F44)),0,预测利润表!G7*2/('历史年度（简化）'!E44+'历史年度（简化）'!F44))</f>
        <v>203.51963801064858</v>
      </c>
      <c r="H14" s="465">
        <f>IF(ISERROR(G14),0,G14)</f>
        <v>203.51963801064858</v>
      </c>
      <c r="I14" s="465">
        <f t="shared" ref="I14:J14" si="3">IF(ISERROR(H14),0,H14)</f>
        <v>203.51963801064858</v>
      </c>
      <c r="J14" s="465">
        <f t="shared" si="3"/>
        <v>203.51963801064858</v>
      </c>
      <c r="K14" s="463"/>
      <c r="L14" s="458"/>
      <c r="M14" s="458"/>
      <c r="N14" s="458"/>
      <c r="O14" s="458"/>
      <c r="P14" s="458"/>
      <c r="Q14" s="458"/>
      <c r="R14" s="471"/>
      <c r="S14" s="469"/>
      <c r="T14" s="469"/>
      <c r="U14" s="469"/>
      <c r="V14" s="469"/>
      <c r="W14" s="469"/>
      <c r="X14" s="469"/>
      <c r="Y14" s="469"/>
      <c r="Z14" s="469"/>
      <c r="AA14" s="469"/>
      <c r="AB14" s="469"/>
      <c r="AC14" s="469"/>
      <c r="AD14" s="469"/>
      <c r="AE14" s="469"/>
      <c r="AF14" s="469"/>
      <c r="AG14" s="469"/>
    </row>
    <row r="15" spans="1:33">
      <c r="A15" s="443"/>
      <c r="B15" s="444" t="s">
        <v>897</v>
      </c>
      <c r="C15" s="442"/>
      <c r="D15" s="171">
        <f>'历史年度（简化）'!C45</f>
        <v>2.0659563218999999</v>
      </c>
      <c r="E15" s="171">
        <f>'历史年度（简化）'!D45</f>
        <v>2.6631389558</v>
      </c>
      <c r="F15" s="171">
        <f>'历史年度（简化）'!E45</f>
        <v>3.8222355762999998</v>
      </c>
      <c r="G15" s="171">
        <f>'历史年度（简化）'!F45</f>
        <v>4.5665514328999999</v>
      </c>
      <c r="H15" s="464">
        <f>IF(ISERROR(2*预测利润表!H9/H16-G15),0,2*预测利润表!H9/H16-G15)</f>
        <v>5.4028055104127004</v>
      </c>
      <c r="I15" s="464">
        <f>IF(ISERROR(2*预测利润表!I9/I16-H15),0,2*预测利润表!I9/I16-H15)</f>
        <v>6.4449238161488163</v>
      </c>
      <c r="J15" s="464">
        <f>IF(ISERROR(2*预测利润表!J9/J16-I15),0,2*预测利润表!J9/J16-I15)</f>
        <v>7.6350906716083999</v>
      </c>
      <c r="K15" s="463"/>
      <c r="L15" s="430"/>
      <c r="M15" s="430"/>
      <c r="N15" s="430"/>
      <c r="O15" s="430"/>
      <c r="P15" s="430"/>
      <c r="Q15" s="430"/>
      <c r="R15" s="470"/>
      <c r="S15" s="469"/>
      <c r="T15" s="469"/>
      <c r="U15" s="469"/>
      <c r="V15" s="469"/>
      <c r="W15" s="469"/>
      <c r="X15" s="469"/>
      <c r="Y15" s="469"/>
      <c r="Z15" s="469"/>
      <c r="AA15" s="469"/>
      <c r="AB15" s="469"/>
      <c r="AC15" s="469"/>
      <c r="AD15" s="469"/>
      <c r="AE15" s="469"/>
      <c r="AF15" s="469"/>
      <c r="AG15" s="469"/>
    </row>
    <row r="16" spans="1:33">
      <c r="A16" s="445"/>
      <c r="B16" s="446" t="s">
        <v>1474</v>
      </c>
      <c r="C16" s="442"/>
      <c r="D16" s="447"/>
      <c r="E16" s="447">
        <f>IF(ISERROR(预测利润表!E9*2/('历史年度（简化）'!C45+'历史年度（简化）'!D45)),0,预测利润表!E9*2/('历史年度（简化）'!C45+'历史年度（简化）'!D45))</f>
        <v>4.6255719556233634</v>
      </c>
      <c r="F16" s="447">
        <f>IF(ISERROR(预测利润表!F9*2/('历史年度（简化）'!D45+'历史年度（简化）'!E45)),0,预测利润表!F9*2/('历史年度（简化）'!D45+'历史年度（简化）'!E45))</f>
        <v>4.0773953854038201</v>
      </c>
      <c r="G16" s="447">
        <f>IF(ISERROR(预测利润表!G9*2/('历史年度（简化）'!E45+'历史年度（简化）'!F45)),0,预测利润表!G9*2/('历史年度（简化）'!E45+'历史年度（简化）'!F45))</f>
        <v>3.6806138483118422</v>
      </c>
      <c r="H16" s="465">
        <f t="shared" ref="H16:H18" si="4">IF(ISERROR(G16),0,G16)</f>
        <v>3.6806138483118422</v>
      </c>
      <c r="I16" s="465">
        <f t="shared" ref="I16:I18" si="5">IF(ISERROR(H16),0,H16)</f>
        <v>3.6806138483118422</v>
      </c>
      <c r="J16" s="465">
        <f t="shared" ref="J16:J18" si="6">IF(ISERROR(I16),0,I16)</f>
        <v>3.6806138483118422</v>
      </c>
      <c r="K16" s="463"/>
      <c r="L16" s="458"/>
      <c r="M16" s="458"/>
      <c r="N16" s="458"/>
      <c r="O16" s="458"/>
      <c r="P16" s="458"/>
      <c r="Q16" s="458"/>
      <c r="R16" s="471"/>
      <c r="S16" s="469"/>
      <c r="T16" s="469"/>
      <c r="U16" s="469"/>
      <c r="V16" s="469"/>
      <c r="W16" s="469"/>
      <c r="X16" s="469"/>
      <c r="Y16" s="469"/>
      <c r="Z16" s="469"/>
      <c r="AA16" s="469"/>
      <c r="AB16" s="469"/>
      <c r="AC16" s="469"/>
      <c r="AD16" s="469"/>
      <c r="AE16" s="469"/>
      <c r="AF16" s="469"/>
      <c r="AG16" s="469"/>
    </row>
    <row r="17" spans="1:33">
      <c r="A17" s="439"/>
      <c r="B17" s="440" t="s">
        <v>898</v>
      </c>
      <c r="C17" s="442"/>
      <c r="D17" s="171">
        <f>'历史年度（简化）'!C46</f>
        <v>0</v>
      </c>
      <c r="E17" s="171">
        <f>'历史年度（简化）'!D46</f>
        <v>0</v>
      </c>
      <c r="F17" s="171">
        <f>'历史年度（简化）'!E46</f>
        <v>0</v>
      </c>
      <c r="G17" s="171">
        <f>'历史年度（简化）'!F46</f>
        <v>0</v>
      </c>
      <c r="H17" s="466">
        <f t="shared" si="4"/>
        <v>0</v>
      </c>
      <c r="I17" s="466">
        <f t="shared" si="5"/>
        <v>0</v>
      </c>
      <c r="J17" s="466">
        <f t="shared" si="6"/>
        <v>0</v>
      </c>
      <c r="K17" s="463"/>
      <c r="L17" s="430"/>
      <c r="M17" s="430"/>
      <c r="N17" s="430"/>
      <c r="O17" s="430"/>
      <c r="P17" s="430"/>
      <c r="Q17" s="430"/>
      <c r="R17" s="470"/>
      <c r="S17" s="469"/>
      <c r="T17" s="469"/>
      <c r="U17" s="469"/>
      <c r="V17" s="469"/>
      <c r="W17" s="469"/>
      <c r="X17" s="469"/>
      <c r="Y17" s="469"/>
      <c r="Z17" s="469"/>
      <c r="AA17" s="469"/>
      <c r="AB17" s="469"/>
      <c r="AC17" s="469"/>
      <c r="AD17" s="469"/>
      <c r="AE17" s="469"/>
      <c r="AF17" s="469"/>
      <c r="AG17" s="469"/>
    </row>
    <row r="18" spans="1:33">
      <c r="A18" s="439"/>
      <c r="B18" s="440" t="s">
        <v>899</v>
      </c>
      <c r="C18" s="442"/>
      <c r="D18" s="171">
        <f>'历史年度（简化）'!C47</f>
        <v>0.17853054409999999</v>
      </c>
      <c r="E18" s="171">
        <f>'历史年度（简化）'!D47</f>
        <v>0.2329343445</v>
      </c>
      <c r="F18" s="171">
        <f>'历史年度（简化）'!E47</f>
        <v>0.20904762229999999</v>
      </c>
      <c r="G18" s="171">
        <f>'历史年度（简化）'!F47</f>
        <v>0.3705894039</v>
      </c>
      <c r="H18" s="466">
        <f t="shared" si="4"/>
        <v>0.3705894039</v>
      </c>
      <c r="I18" s="466">
        <f t="shared" si="5"/>
        <v>0.3705894039</v>
      </c>
      <c r="J18" s="466">
        <f t="shared" si="6"/>
        <v>0.3705894039</v>
      </c>
      <c r="K18" s="463"/>
      <c r="L18" s="430"/>
      <c r="M18" s="430"/>
      <c r="N18" s="430"/>
      <c r="O18" s="430"/>
      <c r="P18" s="430"/>
      <c r="Q18" s="430"/>
      <c r="R18" s="470"/>
      <c r="S18" s="469"/>
      <c r="T18" s="469"/>
      <c r="U18" s="469"/>
      <c r="V18" s="469"/>
      <c r="W18" s="469"/>
      <c r="X18" s="469"/>
      <c r="Y18" s="469"/>
      <c r="Z18" s="469"/>
      <c r="AA18" s="469"/>
      <c r="AB18" s="469"/>
      <c r="AC18" s="469"/>
      <c r="AD18" s="469"/>
      <c r="AE18" s="469"/>
      <c r="AF18" s="469"/>
      <c r="AG18" s="469"/>
    </row>
    <row r="19" spans="1:33">
      <c r="A19" s="439"/>
      <c r="B19" s="450" t="s">
        <v>900</v>
      </c>
      <c r="C19" s="442"/>
      <c r="D19" s="451">
        <f>'历史年度（简化）'!C48</f>
        <v>9.3108911330999966</v>
      </c>
      <c r="E19" s="451">
        <f>'历史年度（简化）'!D48</f>
        <v>12.929956285800001</v>
      </c>
      <c r="F19" s="451">
        <f>'历史年度（简化）'!E48</f>
        <v>15.951395850700001</v>
      </c>
      <c r="G19" s="451">
        <f>'历史年度（简化）'!F48</f>
        <v>17.522968754799994</v>
      </c>
      <c r="H19" s="451" t="e">
        <f>H7+H8+H9+H11+H13+H15+H17+H18</f>
        <v>#VALUE!</v>
      </c>
      <c r="I19" s="451" t="e">
        <f t="shared" ref="I19:J19" si="7">I7+I8+I9+I11+I13+I15+I17+I18</f>
        <v>#VALUE!</v>
      </c>
      <c r="J19" s="451" t="e">
        <f t="shared" si="7"/>
        <v>#VALUE!</v>
      </c>
      <c r="K19" s="463"/>
      <c r="L19" s="463"/>
      <c r="M19" s="463"/>
      <c r="N19" s="463"/>
      <c r="O19" s="463"/>
      <c r="P19" s="463"/>
      <c r="Q19" s="463"/>
      <c r="R19" s="470"/>
      <c r="S19" s="469"/>
      <c r="T19" s="469"/>
      <c r="U19" s="469"/>
      <c r="V19" s="469"/>
      <c r="W19" s="469"/>
      <c r="X19" s="469"/>
      <c r="Y19" s="469"/>
      <c r="Z19" s="469"/>
      <c r="AA19" s="469"/>
      <c r="AB19" s="469"/>
      <c r="AC19" s="469"/>
      <c r="AD19" s="469"/>
      <c r="AE19" s="469"/>
      <c r="AF19" s="469"/>
      <c r="AG19" s="469"/>
    </row>
    <row r="20" spans="1:33">
      <c r="A20" s="439"/>
      <c r="B20" s="440" t="s">
        <v>901</v>
      </c>
      <c r="C20" s="442"/>
      <c r="D20" s="171">
        <f>'历史年度（简化）'!C49</f>
        <v>0</v>
      </c>
      <c r="E20" s="171">
        <f>'历史年度（简化）'!D49</f>
        <v>0</v>
      </c>
      <c r="F20" s="171">
        <f>'历史年度（简化）'!E49</f>
        <v>0</v>
      </c>
      <c r="G20" s="171">
        <f>'历史年度（简化）'!F49</f>
        <v>0</v>
      </c>
      <c r="H20" s="464">
        <f>IF(ISERROR(G20),0,G20)</f>
        <v>0</v>
      </c>
      <c r="I20" s="464">
        <f t="shared" ref="I20:J20" si="8">IF(ISERROR(H20),0,H20)</f>
        <v>0</v>
      </c>
      <c r="J20" s="464">
        <f t="shared" si="8"/>
        <v>0</v>
      </c>
      <c r="K20" s="463"/>
      <c r="L20" s="430"/>
      <c r="M20" s="430"/>
      <c r="N20" s="430"/>
      <c r="O20" s="430"/>
      <c r="P20" s="430"/>
      <c r="Q20" s="430"/>
      <c r="R20" s="470"/>
      <c r="S20" s="469"/>
      <c r="T20" s="469"/>
      <c r="U20" s="469"/>
      <c r="V20" s="469"/>
      <c r="W20" s="469"/>
      <c r="X20" s="469"/>
      <c r="Y20" s="469"/>
      <c r="Z20" s="469"/>
      <c r="AA20" s="469"/>
      <c r="AB20" s="469"/>
      <c r="AC20" s="469"/>
      <c r="AD20" s="469"/>
      <c r="AE20" s="469"/>
      <c r="AF20" s="469"/>
      <c r="AG20" s="469"/>
    </row>
    <row r="21" spans="1:33">
      <c r="A21" s="439"/>
      <c r="B21" s="440" t="s">
        <v>902</v>
      </c>
      <c r="C21" s="442"/>
      <c r="D21" s="171">
        <f>'历史年度（简化）'!C50</f>
        <v>0.55489486090000006</v>
      </c>
      <c r="E21" s="171">
        <f>'历史年度（简化）'!D50</f>
        <v>0.6076075755</v>
      </c>
      <c r="F21" s="171">
        <f>'历史年度（简化）'!E50</f>
        <v>0.29220969229999999</v>
      </c>
      <c r="G21" s="171">
        <f>'历史年度（简化）'!F50</f>
        <v>0.2610208108</v>
      </c>
      <c r="H21" s="171">
        <f>投资!E27</f>
        <v>20.261020810799998</v>
      </c>
      <c r="I21" s="171">
        <f>投资!F27</f>
        <v>20.261020810799998</v>
      </c>
      <c r="J21" s="171">
        <f>投资!G27</f>
        <v>20.261020810799998</v>
      </c>
      <c r="K21" s="463"/>
      <c r="L21" s="463"/>
      <c r="M21" s="463"/>
      <c r="N21" s="463"/>
      <c r="O21" s="463"/>
      <c r="P21" s="463"/>
      <c r="Q21" s="463"/>
      <c r="R21" s="470"/>
      <c r="S21" s="469"/>
      <c r="T21" s="469"/>
      <c r="U21" s="469"/>
      <c r="V21" s="469"/>
      <c r="W21" s="469"/>
      <c r="X21" s="469"/>
      <c r="Y21" s="469"/>
      <c r="Z21" s="469"/>
      <c r="AA21" s="469"/>
      <c r="AB21" s="469"/>
      <c r="AC21" s="469"/>
      <c r="AD21" s="469"/>
      <c r="AE21" s="469"/>
      <c r="AF21" s="469"/>
      <c r="AG21" s="469"/>
    </row>
    <row r="22" spans="1:33">
      <c r="A22" s="439"/>
      <c r="B22" s="440" t="s">
        <v>904</v>
      </c>
      <c r="C22" s="442"/>
      <c r="D22" s="171">
        <f>'历史年度（简化）'!C52</f>
        <v>0</v>
      </c>
      <c r="E22" s="171">
        <f>'历史年度（简化）'!D52</f>
        <v>0</v>
      </c>
      <c r="F22" s="171">
        <f>'历史年度（简化）'!E52</f>
        <v>0</v>
      </c>
      <c r="G22" s="171">
        <f>'历史年度（简化）'!F52</f>
        <v>0</v>
      </c>
      <c r="H22" s="171">
        <f>投资!E13</f>
        <v>0</v>
      </c>
      <c r="I22" s="171">
        <f>投资!F13</f>
        <v>0</v>
      </c>
      <c r="J22" s="171">
        <f>投资!G13</f>
        <v>0</v>
      </c>
      <c r="K22" s="463"/>
      <c r="L22" s="463"/>
      <c r="M22" s="463"/>
      <c r="N22" s="463"/>
      <c r="O22" s="463"/>
      <c r="P22" s="463"/>
      <c r="Q22" s="463"/>
      <c r="R22" s="470"/>
      <c r="S22" s="469"/>
      <c r="T22" s="469"/>
      <c r="U22" s="469"/>
      <c r="V22" s="469"/>
      <c r="W22" s="469"/>
      <c r="X22" s="469"/>
      <c r="Y22" s="469"/>
      <c r="Z22" s="469"/>
      <c r="AA22" s="469"/>
      <c r="AB22" s="469"/>
      <c r="AC22" s="469"/>
      <c r="AD22" s="469"/>
      <c r="AE22" s="469"/>
      <c r="AF22" s="469"/>
      <c r="AG22" s="469"/>
    </row>
    <row r="23" spans="1:33">
      <c r="A23" s="439"/>
      <c r="B23" s="440" t="s">
        <v>1307</v>
      </c>
      <c r="C23" s="442"/>
      <c r="D23" s="171">
        <f>'历史年度（简化）'!C53</f>
        <v>17.272306730699999</v>
      </c>
      <c r="E23" s="171">
        <f>'历史年度（简化）'!D53</f>
        <v>20.6658689538</v>
      </c>
      <c r="F23" s="171">
        <f>'历史年度（简化）'!E53</f>
        <v>22.440433412499999</v>
      </c>
      <c r="G23" s="171">
        <f>'历史年度（简化）'!F53</f>
        <v>24.6299196698</v>
      </c>
      <c r="H23" s="171" t="e">
        <f>投资!E12-SUM(预测利润表!$H20:H20)</f>
        <v>#VALUE!</v>
      </c>
      <c r="I23" s="171" t="e">
        <f>投资!F12-SUM(预测利润表!$H20:I20)</f>
        <v>#VALUE!</v>
      </c>
      <c r="J23" s="171" t="e">
        <f>投资!G12-SUM(预测利润表!$H20:J20)</f>
        <v>#VALUE!</v>
      </c>
      <c r="K23" s="463"/>
      <c r="L23" s="463"/>
      <c r="M23" s="463"/>
      <c r="N23" s="463"/>
      <c r="O23" s="463"/>
      <c r="P23" s="463"/>
      <c r="Q23" s="463"/>
      <c r="R23" s="470"/>
      <c r="S23" s="469"/>
      <c r="T23" s="469"/>
      <c r="U23" s="469"/>
      <c r="V23" s="469"/>
      <c r="W23" s="469"/>
      <c r="X23" s="469"/>
      <c r="Y23" s="469"/>
      <c r="Z23" s="469"/>
      <c r="AA23" s="469"/>
      <c r="AB23" s="469"/>
      <c r="AC23" s="469"/>
      <c r="AD23" s="469"/>
      <c r="AE23" s="469"/>
      <c r="AF23" s="469"/>
      <c r="AG23" s="469"/>
    </row>
    <row r="24" spans="1:33">
      <c r="A24" s="439"/>
      <c r="B24" s="440" t="s">
        <v>1475</v>
      </c>
      <c r="C24" s="442"/>
      <c r="D24" s="171">
        <f>'历史年度（简化）'!C54</f>
        <v>2.1778602419999999</v>
      </c>
      <c r="E24" s="171">
        <f>'历史年度（简化）'!D54</f>
        <v>2.7510781761000001</v>
      </c>
      <c r="F24" s="171">
        <f>'历史年度（简化）'!E54</f>
        <v>2.0236812793999999</v>
      </c>
      <c r="G24" s="171">
        <f>'历史年度（简化）'!F54</f>
        <v>2.0865982441999997</v>
      </c>
      <c r="H24" s="171">
        <f>投资!E14</f>
        <v>0</v>
      </c>
      <c r="I24" s="171">
        <f>投资!F14</f>
        <v>0</v>
      </c>
      <c r="J24" s="171">
        <f>投资!G14</f>
        <v>0</v>
      </c>
      <c r="K24" s="463"/>
      <c r="L24" s="463"/>
      <c r="M24" s="463"/>
      <c r="N24" s="463"/>
      <c r="O24" s="463"/>
      <c r="P24" s="463"/>
      <c r="Q24" s="463"/>
      <c r="R24" s="470"/>
      <c r="S24" s="469"/>
      <c r="T24" s="469"/>
      <c r="U24" s="469"/>
      <c r="V24" s="469"/>
      <c r="W24" s="469"/>
      <c r="X24" s="469"/>
      <c r="Y24" s="469"/>
      <c r="Z24" s="469"/>
      <c r="AA24" s="469"/>
      <c r="AB24" s="469"/>
      <c r="AC24" s="469"/>
      <c r="AD24" s="469"/>
      <c r="AE24" s="469"/>
      <c r="AF24" s="469"/>
      <c r="AG24" s="469"/>
    </row>
    <row r="25" spans="1:33">
      <c r="A25" s="439"/>
      <c r="B25" s="440" t="s">
        <v>907</v>
      </c>
      <c r="C25" s="442"/>
      <c r="D25" s="171">
        <f>'历史年度（简化）'!C55</f>
        <v>0.87847352769999998</v>
      </c>
      <c r="E25" s="171">
        <f>'历史年度（简化）'!D55</f>
        <v>0.91476143189999992</v>
      </c>
      <c r="F25" s="171">
        <f>'历史年度（简化）'!E55</f>
        <v>1.0711834944</v>
      </c>
      <c r="G25" s="171">
        <f>'历史年度（简化）'!F55</f>
        <v>1.0650512071</v>
      </c>
      <c r="H25" s="171" t="e">
        <f>投资!E15</f>
        <v>#VALUE!</v>
      </c>
      <c r="I25" s="171" t="e">
        <f>投资!F15</f>
        <v>#VALUE!</v>
      </c>
      <c r="J25" s="171" t="e">
        <f>投资!G15</f>
        <v>#VALUE!</v>
      </c>
      <c r="K25" s="463"/>
      <c r="L25" s="463"/>
      <c r="M25" s="463"/>
      <c r="N25" s="463"/>
      <c r="O25" s="463"/>
      <c r="P25" s="463"/>
      <c r="Q25" s="463"/>
      <c r="R25" s="470"/>
      <c r="S25" s="469"/>
      <c r="T25" s="469"/>
      <c r="U25" s="469"/>
      <c r="V25" s="469"/>
      <c r="W25" s="469"/>
      <c r="X25" s="469"/>
      <c r="Y25" s="469"/>
      <c r="Z25" s="469"/>
      <c r="AA25" s="469"/>
      <c r="AB25" s="469"/>
      <c r="AC25" s="469"/>
      <c r="AD25" s="469"/>
      <c r="AE25" s="469"/>
      <c r="AF25" s="469"/>
      <c r="AG25" s="469"/>
    </row>
    <row r="26" spans="1:33">
      <c r="A26" s="439"/>
      <c r="B26" s="440" t="s">
        <v>908</v>
      </c>
      <c r="C26" s="442"/>
      <c r="D26" s="171">
        <f>'历史年度（简化）'!C56</f>
        <v>0</v>
      </c>
      <c r="E26" s="171">
        <f>'历史年度（简化）'!D56</f>
        <v>0</v>
      </c>
      <c r="F26" s="171">
        <f>'历史年度（简化）'!E56</f>
        <v>0</v>
      </c>
      <c r="G26" s="171">
        <f>'历史年度（简化）'!F56</f>
        <v>0</v>
      </c>
      <c r="H26" s="171">
        <f>投资!E16</f>
        <v>0</v>
      </c>
      <c r="I26" s="171">
        <f>投资!F16</f>
        <v>0</v>
      </c>
      <c r="J26" s="171">
        <f>投资!G16</f>
        <v>0</v>
      </c>
      <c r="K26" s="463"/>
      <c r="L26" s="463"/>
      <c r="M26" s="463"/>
      <c r="N26" s="463"/>
      <c r="O26" s="463"/>
      <c r="P26" s="463"/>
      <c r="Q26" s="463"/>
      <c r="R26" s="470"/>
      <c r="S26" s="469"/>
      <c r="T26" s="469"/>
      <c r="U26" s="469"/>
      <c r="V26" s="469"/>
      <c r="W26" s="469"/>
      <c r="X26" s="469"/>
      <c r="Y26" s="469"/>
      <c r="Z26" s="469"/>
      <c r="AA26" s="469"/>
      <c r="AB26" s="469"/>
      <c r="AC26" s="469"/>
      <c r="AD26" s="469"/>
      <c r="AE26" s="469"/>
      <c r="AF26" s="469"/>
      <c r="AG26" s="469"/>
    </row>
    <row r="27" spans="1:33">
      <c r="A27" s="439"/>
      <c r="B27" s="440" t="s">
        <v>909</v>
      </c>
      <c r="C27" s="442"/>
      <c r="D27" s="171">
        <f>'历史年度（简化）'!C57</f>
        <v>0.41805607890000002</v>
      </c>
      <c r="E27" s="171">
        <f>'历史年度（简化）'!D57</f>
        <v>0.41805607890000002</v>
      </c>
      <c r="F27" s="171">
        <f>'历史年度（简化）'!E57</f>
        <v>3.3030545101</v>
      </c>
      <c r="G27" s="171">
        <f>'历史年度（简化）'!F57</f>
        <v>3.3030545101</v>
      </c>
      <c r="H27" s="171">
        <f>投资!E17</f>
        <v>5</v>
      </c>
      <c r="I27" s="171">
        <f>投资!F17</f>
        <v>0</v>
      </c>
      <c r="J27" s="171">
        <f>投资!G17</f>
        <v>0</v>
      </c>
      <c r="K27" s="463"/>
      <c r="L27" s="463"/>
      <c r="M27" s="463"/>
      <c r="N27" s="463"/>
      <c r="O27" s="463"/>
      <c r="P27" s="463"/>
      <c r="Q27" s="463"/>
      <c r="R27" s="470"/>
      <c r="S27" s="469"/>
      <c r="T27" s="469"/>
      <c r="U27" s="469"/>
      <c r="V27" s="469"/>
      <c r="W27" s="469"/>
      <c r="X27" s="469"/>
      <c r="Y27" s="469"/>
      <c r="Z27" s="469"/>
      <c r="AA27" s="469"/>
      <c r="AB27" s="469"/>
      <c r="AC27" s="469"/>
      <c r="AD27" s="469"/>
      <c r="AE27" s="469"/>
      <c r="AF27" s="469"/>
      <c r="AG27" s="469"/>
    </row>
    <row r="28" spans="1:33">
      <c r="A28" s="439"/>
      <c r="B28" s="440" t="s">
        <v>903</v>
      </c>
      <c r="C28" s="442"/>
      <c r="D28" s="171">
        <f>'历史年度（简化）'!C51</f>
        <v>0.2</v>
      </c>
      <c r="E28" s="171">
        <f>'历史年度（简化）'!D51</f>
        <v>0.2</v>
      </c>
      <c r="F28" s="171">
        <f>'历史年度（简化）'!E51</f>
        <v>0.23599999999999999</v>
      </c>
      <c r="G28" s="171">
        <f>'历史年度（简化）'!F51</f>
        <v>3.5999999999999997E-2</v>
      </c>
      <c r="H28" s="464">
        <f>IF(ISERROR(G28),0,G28)</f>
        <v>3.5999999999999997E-2</v>
      </c>
      <c r="I28" s="464">
        <f t="shared" ref="I28:J28" si="9">IF(ISERROR(H28),0,H28)</f>
        <v>3.5999999999999997E-2</v>
      </c>
      <c r="J28" s="464">
        <f t="shared" si="9"/>
        <v>3.5999999999999997E-2</v>
      </c>
      <c r="K28" s="463"/>
      <c r="L28" s="430"/>
      <c r="M28" s="430"/>
      <c r="N28" s="430"/>
      <c r="O28" s="430"/>
      <c r="P28" s="430"/>
      <c r="Q28" s="430"/>
      <c r="R28" s="470"/>
      <c r="S28" s="469"/>
      <c r="T28" s="469"/>
      <c r="U28" s="469"/>
      <c r="V28" s="469"/>
      <c r="W28" s="469"/>
      <c r="X28" s="469"/>
      <c r="Y28" s="469"/>
      <c r="Z28" s="469"/>
      <c r="AA28" s="469"/>
      <c r="AB28" s="469"/>
      <c r="AC28" s="469"/>
      <c r="AD28" s="469"/>
      <c r="AE28" s="469"/>
      <c r="AF28" s="469"/>
      <c r="AG28" s="469"/>
    </row>
    <row r="29" spans="1:33">
      <c r="A29" s="439"/>
      <c r="B29" s="440" t="s">
        <v>910</v>
      </c>
      <c r="C29" s="452"/>
      <c r="D29" s="171">
        <f>'历史年度（简化）'!C58</f>
        <v>0.19962215739999997</v>
      </c>
      <c r="E29" s="171">
        <f>'历史年度（简化）'!D58</f>
        <v>0.16973872600000001</v>
      </c>
      <c r="F29" s="171">
        <f>'历史年度（简化）'!E58</f>
        <v>0.15180597029999998</v>
      </c>
      <c r="G29" s="171">
        <f>'历史年度（简化）'!F58</f>
        <v>0.2095509052</v>
      </c>
      <c r="H29" s="171">
        <f>投资!E18</f>
        <v>50.104775452600002</v>
      </c>
      <c r="I29" s="171">
        <f>投资!F18</f>
        <v>0</v>
      </c>
      <c r="J29" s="171">
        <f>投资!G18</f>
        <v>0</v>
      </c>
      <c r="K29" s="463"/>
      <c r="L29" s="463"/>
      <c r="M29" s="463"/>
      <c r="N29" s="463"/>
      <c r="O29" s="463"/>
      <c r="P29" s="463"/>
      <c r="Q29" s="463"/>
      <c r="R29" s="470"/>
      <c r="S29" s="469"/>
      <c r="T29" s="469"/>
      <c r="U29" s="469"/>
      <c r="V29" s="469"/>
      <c r="W29" s="469"/>
      <c r="X29" s="469"/>
      <c r="Y29" s="469"/>
      <c r="Z29" s="469"/>
      <c r="AA29" s="469"/>
      <c r="AB29" s="469"/>
      <c r="AC29" s="469"/>
      <c r="AD29" s="469"/>
      <c r="AE29" s="469"/>
      <c r="AF29" s="469"/>
      <c r="AG29" s="469"/>
    </row>
    <row r="30" spans="1:33">
      <c r="A30" s="439"/>
      <c r="B30" s="440" t="s">
        <v>911</v>
      </c>
      <c r="C30" s="442"/>
      <c r="D30" s="171">
        <f>'历史年度（简化）'!C59</f>
        <v>0.17193834789999998</v>
      </c>
      <c r="E30" s="171">
        <f>'历史年度（简化）'!D59</f>
        <v>0.118679011</v>
      </c>
      <c r="F30" s="171">
        <f>'历史年度（简化）'!E59</f>
        <v>0.45159087640000001</v>
      </c>
      <c r="G30" s="171">
        <f>'历史年度（简化）'!F59</f>
        <v>0.77012401790000007</v>
      </c>
      <c r="H30" s="464">
        <f>IF(ISERROR(G30),0,G30)</f>
        <v>0.77012401790000007</v>
      </c>
      <c r="I30" s="464">
        <f t="shared" ref="I30:J30" si="10">IF(ISERROR(H30),0,H30)</f>
        <v>0.77012401790000007</v>
      </c>
      <c r="J30" s="464">
        <f t="shared" si="10"/>
        <v>0.77012401790000007</v>
      </c>
      <c r="K30" s="463"/>
      <c r="L30" s="430"/>
      <c r="M30" s="430"/>
      <c r="N30" s="430"/>
      <c r="O30" s="430"/>
      <c r="P30" s="430"/>
      <c r="Q30" s="430"/>
      <c r="R30" s="470"/>
      <c r="S30" s="469"/>
      <c r="T30" s="469"/>
      <c r="U30" s="469"/>
      <c r="V30" s="469"/>
      <c r="W30" s="469"/>
      <c r="X30" s="469"/>
      <c r="Y30" s="469"/>
      <c r="Z30" s="469"/>
      <c r="AA30" s="469"/>
      <c r="AB30" s="469"/>
      <c r="AC30" s="469"/>
      <c r="AD30" s="469"/>
      <c r="AE30" s="469"/>
      <c r="AF30" s="469"/>
      <c r="AG30" s="469"/>
    </row>
    <row r="31" spans="1:33">
      <c r="A31" s="439"/>
      <c r="B31" s="450" t="s">
        <v>912</v>
      </c>
      <c r="C31" s="442"/>
      <c r="D31" s="451">
        <f>'历史年度（简化）'!C60</f>
        <v>21.873151945499998</v>
      </c>
      <c r="E31" s="451">
        <f>'历史年度（简化）'!D60</f>
        <v>25.845789953200004</v>
      </c>
      <c r="F31" s="451">
        <f>'历史年度（简化）'!E60</f>
        <v>29.969959235399998</v>
      </c>
      <c r="G31" s="451">
        <f>'历史年度（简化）'!F60</f>
        <v>32.361319365100002</v>
      </c>
      <c r="H31" s="451" t="e">
        <f>SUM(H20:H30)</f>
        <v>#VALUE!</v>
      </c>
      <c r="I31" s="451" t="e">
        <f t="shared" ref="I31:J31" si="11">SUM(I20:I30)</f>
        <v>#VALUE!</v>
      </c>
      <c r="J31" s="451" t="e">
        <f t="shared" si="11"/>
        <v>#VALUE!</v>
      </c>
      <c r="K31" s="463"/>
      <c r="L31" s="463"/>
      <c r="M31" s="463"/>
      <c r="N31" s="463"/>
      <c r="O31" s="463"/>
      <c r="P31" s="463"/>
      <c r="Q31" s="463"/>
      <c r="R31" s="472"/>
      <c r="S31" s="473"/>
      <c r="T31" s="473"/>
      <c r="U31" s="473"/>
      <c r="V31" s="473"/>
      <c r="W31" s="473"/>
      <c r="X31" s="473"/>
      <c r="Y31" s="473"/>
      <c r="Z31" s="473"/>
      <c r="AA31" s="473"/>
      <c r="AB31" s="473"/>
      <c r="AC31" s="473"/>
      <c r="AD31" s="473"/>
      <c r="AE31" s="473"/>
      <c r="AF31" s="473"/>
      <c r="AG31" s="473"/>
    </row>
    <row r="32" spans="1:33">
      <c r="A32" s="439"/>
      <c r="B32" s="450" t="s">
        <v>913</v>
      </c>
      <c r="C32" s="442"/>
      <c r="D32" s="451">
        <f>'历史年度（简化）'!C61</f>
        <v>31.184043078599995</v>
      </c>
      <c r="E32" s="451">
        <f>'历史年度（简化）'!D61</f>
        <v>38.775746239000007</v>
      </c>
      <c r="F32" s="451">
        <f>'历史年度（简化）'!E61</f>
        <v>45.9213550861</v>
      </c>
      <c r="G32" s="451">
        <f>'历史年度（简化）'!F61</f>
        <v>49.884288119899992</v>
      </c>
      <c r="H32" s="451" t="e">
        <f>H19+H31</f>
        <v>#VALUE!</v>
      </c>
      <c r="I32" s="451" t="e">
        <f t="shared" ref="I32:J32" si="12">I19+I31</f>
        <v>#VALUE!</v>
      </c>
      <c r="J32" s="451" t="e">
        <f t="shared" si="12"/>
        <v>#VALUE!</v>
      </c>
      <c r="K32" s="463"/>
      <c r="L32" s="463"/>
      <c r="M32" s="463"/>
      <c r="N32" s="463"/>
      <c r="O32" s="463"/>
      <c r="P32" s="463"/>
      <c r="Q32" s="463"/>
      <c r="R32" s="470"/>
      <c r="S32" s="469"/>
      <c r="T32" s="469"/>
      <c r="U32" s="469"/>
      <c r="V32" s="469"/>
      <c r="W32" s="469"/>
      <c r="X32" s="469"/>
      <c r="Y32" s="469"/>
      <c r="Z32" s="469"/>
      <c r="AA32" s="469"/>
      <c r="AB32" s="469"/>
      <c r="AC32" s="469"/>
      <c r="AD32" s="469"/>
      <c r="AE32" s="469"/>
      <c r="AF32" s="469"/>
      <c r="AG32" s="469"/>
    </row>
    <row r="33" spans="1:33">
      <c r="A33" s="453" t="s">
        <v>1476</v>
      </c>
      <c r="B33" s="454"/>
      <c r="C33" s="455"/>
      <c r="D33" s="171"/>
      <c r="E33" s="171"/>
      <c r="F33" s="171"/>
      <c r="G33" s="171"/>
      <c r="H33" s="171"/>
      <c r="I33" s="171"/>
      <c r="J33" s="171"/>
      <c r="K33" s="463"/>
      <c r="L33" s="463"/>
      <c r="M33" s="463"/>
      <c r="N33" s="463"/>
      <c r="O33" s="463"/>
      <c r="P33" s="463"/>
      <c r="Q33" s="463"/>
      <c r="R33" s="470"/>
      <c r="S33" s="469"/>
      <c r="T33" s="469"/>
      <c r="U33" s="469"/>
      <c r="V33" s="469"/>
      <c r="W33" s="469"/>
      <c r="X33" s="469"/>
      <c r="Y33" s="469"/>
      <c r="Z33" s="469"/>
      <c r="AA33" s="469"/>
      <c r="AB33" s="469"/>
      <c r="AC33" s="469"/>
      <c r="AD33" s="469"/>
      <c r="AE33" s="469"/>
      <c r="AF33" s="469"/>
      <c r="AG33" s="469"/>
    </row>
    <row r="34" spans="1:33">
      <c r="A34" s="439"/>
      <c r="B34" s="440" t="s">
        <v>915</v>
      </c>
      <c r="C34" s="442"/>
      <c r="D34" s="171">
        <f>'历史年度（简化）'!C64</f>
        <v>2.0656444515999999</v>
      </c>
      <c r="E34" s="171">
        <f>'历史年度（简化）'!D64</f>
        <v>6.0129907884999998</v>
      </c>
      <c r="F34" s="171">
        <f>'历史年度（简化）'!E64</f>
        <v>4.1000000000000002E-2</v>
      </c>
      <c r="G34" s="171">
        <f>'历史年度（简化）'!F64</f>
        <v>0.60194173890000002</v>
      </c>
      <c r="H34" s="171" t="e">
        <f>G34+筹资!E8</f>
        <v>#VALUE!</v>
      </c>
      <c r="I34" s="171" t="e">
        <f>H34+筹资!F8</f>
        <v>#VALUE!</v>
      </c>
      <c r="J34" s="171" t="e">
        <f>I34+筹资!G8</f>
        <v>#VALUE!</v>
      </c>
      <c r="K34" s="463"/>
      <c r="L34" s="463"/>
      <c r="M34" s="463"/>
      <c r="N34" s="463"/>
      <c r="O34" s="463"/>
      <c r="P34" s="463"/>
      <c r="Q34" s="463"/>
      <c r="R34" s="470"/>
      <c r="S34" s="469"/>
      <c r="T34" s="469"/>
      <c r="U34" s="469"/>
      <c r="V34" s="469"/>
      <c r="W34" s="469"/>
      <c r="X34" s="469"/>
      <c r="Y34" s="469"/>
      <c r="Z34" s="469"/>
      <c r="AA34" s="469"/>
      <c r="AB34" s="469"/>
      <c r="AC34" s="469"/>
      <c r="AD34" s="469"/>
      <c r="AE34" s="469"/>
      <c r="AF34" s="469"/>
      <c r="AG34" s="469"/>
    </row>
    <row r="35" spans="1:33">
      <c r="A35" s="439"/>
      <c r="B35" s="440" t="s">
        <v>916</v>
      </c>
      <c r="C35" s="442"/>
      <c r="D35" s="171">
        <f>'历史年度（简化）'!C65</f>
        <v>0</v>
      </c>
      <c r="E35" s="171">
        <f>'历史年度（简化）'!D65</f>
        <v>0</v>
      </c>
      <c r="F35" s="171">
        <f>'历史年度（简化）'!E65</f>
        <v>0</v>
      </c>
      <c r="G35" s="171">
        <f>'历史年度（简化）'!F65</f>
        <v>0</v>
      </c>
      <c r="H35" s="464">
        <f>IF(ISERROR(G35),0,G35)</f>
        <v>0</v>
      </c>
      <c r="I35" s="464">
        <f t="shared" ref="I35:J35" si="13">IF(ISERROR(H35),0,H35)</f>
        <v>0</v>
      </c>
      <c r="J35" s="464">
        <f t="shared" si="13"/>
        <v>0</v>
      </c>
      <c r="K35" s="467"/>
      <c r="L35" s="430"/>
      <c r="M35" s="430"/>
      <c r="N35" s="430"/>
      <c r="O35" s="430"/>
      <c r="P35" s="430"/>
      <c r="Q35" s="430"/>
      <c r="R35" s="470"/>
      <c r="S35" s="469"/>
      <c r="T35" s="469"/>
      <c r="U35" s="469"/>
      <c r="V35" s="469"/>
      <c r="W35" s="469"/>
      <c r="X35" s="469"/>
      <c r="Y35" s="469"/>
      <c r="Z35" s="469"/>
      <c r="AA35" s="469"/>
      <c r="AB35" s="469"/>
      <c r="AC35" s="469"/>
      <c r="AD35" s="469"/>
      <c r="AE35" s="469"/>
      <c r="AF35" s="469"/>
      <c r="AG35" s="469"/>
    </row>
    <row r="36" spans="1:33">
      <c r="A36" s="443"/>
      <c r="B36" s="444" t="s">
        <v>917</v>
      </c>
      <c r="C36" s="442"/>
      <c r="D36" s="171">
        <f>'历史年度（简化）'!C66</f>
        <v>1.9141556823000001</v>
      </c>
      <c r="E36" s="171">
        <f>'历史年度（简化）'!D66</f>
        <v>2.6850836087999999</v>
      </c>
      <c r="F36" s="171">
        <f>'历史年度（简化）'!E66</f>
        <v>3.0255233304000004</v>
      </c>
      <c r="G36" s="171">
        <f>'历史年度（简化）'!F66</f>
        <v>3.4634935802999998</v>
      </c>
      <c r="H36" s="464">
        <f>IF(ISERROR(2*预测利润表!H9/H37-G36),0,2*预测利润表!H9/H37-G36)</f>
        <v>4.2481488446433762</v>
      </c>
      <c r="I36" s="464">
        <f>IF(ISERROR(2*预测利润表!I9/I37-H36),0,2*预测利润表!I9/I37-H36)</f>
        <v>4.9164795896152871</v>
      </c>
      <c r="J36" s="464">
        <f>IF(ISERROR(2*预测利润表!J9/J37-I36),0,2*预测利润表!J9/J37-I36)</f>
        <v>5.9748986291613857</v>
      </c>
      <c r="K36" s="467"/>
      <c r="L36" s="430"/>
      <c r="M36" s="430"/>
      <c r="N36" s="430"/>
      <c r="O36" s="430"/>
      <c r="P36" s="430"/>
      <c r="Q36" s="430"/>
      <c r="R36" s="470"/>
      <c r="S36" s="469"/>
      <c r="T36" s="469"/>
      <c r="U36" s="469"/>
      <c r="V36" s="469"/>
      <c r="W36" s="469"/>
      <c r="X36" s="469"/>
      <c r="Y36" s="469"/>
      <c r="Z36" s="469"/>
      <c r="AA36" s="469"/>
      <c r="AB36" s="469"/>
      <c r="AC36" s="469"/>
      <c r="AD36" s="469"/>
      <c r="AE36" s="469"/>
      <c r="AF36" s="469"/>
      <c r="AG36" s="469"/>
    </row>
    <row r="37" spans="1:33">
      <c r="A37" s="445"/>
      <c r="B37" s="446" t="s">
        <v>1474</v>
      </c>
      <c r="C37" s="442"/>
      <c r="E37" s="447">
        <f>IF(ISERROR(预测利润表!E9*2/('历史年度（简化）'!C66+'历史年度（简化）'!D66)),0,预测利润表!E9*2/('历史年度（简化）'!C66+'历史年度（简化）'!D66))</f>
        <v>4.756171424767988</v>
      </c>
      <c r="F37" s="447">
        <f>IF(ISERROR(预测利润表!F9*2/('历史年度（简化）'!D66+'历史年度（简化）'!E66)),0,预测利润表!F9*2/('历史年度（简化）'!D66+'历史年度（简化）'!E66))</f>
        <v>4.6305824356919345</v>
      </c>
      <c r="G37" s="447">
        <f>IF(ISERROR(预测利润表!G9*2/('历史年度（简化）'!E66+'历史年度（简化）'!F66)),0,预测利润表!G9*2/('历史年度（简化）'!E66+'历史年度（简化）'!F66))</f>
        <v>4.7581761708291301</v>
      </c>
      <c r="H37" s="465">
        <f>IF(ISERROR(G37),0,G37)</f>
        <v>4.7581761708291301</v>
      </c>
      <c r="I37" s="465">
        <f t="shared" ref="I37:J37" si="14">IF(ISERROR(H37),0,H37)</f>
        <v>4.7581761708291301</v>
      </c>
      <c r="J37" s="465">
        <f t="shared" si="14"/>
        <v>4.7581761708291301</v>
      </c>
      <c r="K37" s="467"/>
      <c r="L37" s="458"/>
      <c r="M37" s="458"/>
      <c r="N37" s="458"/>
      <c r="O37" s="458"/>
      <c r="P37" s="458"/>
      <c r="Q37" s="458"/>
      <c r="R37" s="471"/>
      <c r="S37" s="469"/>
      <c r="T37" s="469"/>
      <c r="U37" s="469"/>
      <c r="V37" s="469"/>
      <c r="W37" s="469"/>
      <c r="X37" s="469"/>
      <c r="Y37" s="469"/>
      <c r="Z37" s="469"/>
      <c r="AA37" s="469"/>
      <c r="AB37" s="469"/>
      <c r="AC37" s="469"/>
      <c r="AD37" s="469"/>
      <c r="AE37" s="469"/>
      <c r="AF37" s="469"/>
      <c r="AG37" s="469"/>
    </row>
    <row r="38" spans="1:33">
      <c r="A38" s="443"/>
      <c r="B38" s="444" t="s">
        <v>918</v>
      </c>
      <c r="C38" s="442"/>
      <c r="D38" s="171">
        <f>'历史年度（简化）'!C67</f>
        <v>5.22186995E-2</v>
      </c>
      <c r="E38" s="171">
        <f>'历史年度（简化）'!D67</f>
        <v>3.5731680799999999E-2</v>
      </c>
      <c r="F38" s="171">
        <f>'历史年度（简化）'!E67</f>
        <v>7.0910990399999999E-2</v>
      </c>
      <c r="G38" s="171">
        <f>'历史年度（简化）'!F67</f>
        <v>4.9269376500000003E-2</v>
      </c>
      <c r="H38" s="464">
        <f>IF(ISERROR(2*预测利润表!H7/H39-G38),0,2*预测利润表!H7/H39-G38)</f>
        <v>9.3554725946563597E-2</v>
      </c>
      <c r="I38" s="464">
        <f>IF(ISERROR(2*预测利润表!I7/I39-H38),0,2*预测利润表!I7/I39-H38)</f>
        <v>7.617952238236618E-2</v>
      </c>
      <c r="J38" s="464">
        <f>IF(ISERROR(2*预测利润表!J7/J39-I38),0,2*预测利润表!J7/J39-I38)</f>
        <v>0.12553513615410672</v>
      </c>
      <c r="K38" s="467"/>
      <c r="L38" s="430"/>
      <c r="M38" s="430"/>
      <c r="N38" s="430"/>
      <c r="O38" s="430"/>
      <c r="P38" s="430"/>
      <c r="Q38" s="430"/>
      <c r="R38" s="470"/>
      <c r="S38" s="469"/>
      <c r="T38" s="469"/>
      <c r="U38" s="469"/>
      <c r="V38" s="469"/>
      <c r="W38" s="469"/>
      <c r="X38" s="469"/>
      <c r="Y38" s="469"/>
      <c r="Z38" s="469"/>
      <c r="AA38" s="469"/>
      <c r="AB38" s="469"/>
      <c r="AC38" s="469"/>
      <c r="AD38" s="469"/>
      <c r="AE38" s="469"/>
      <c r="AF38" s="469"/>
      <c r="AG38" s="469"/>
    </row>
    <row r="39" spans="1:33">
      <c r="A39" s="445"/>
      <c r="B39" s="446" t="s">
        <v>1473</v>
      </c>
      <c r="C39" s="442"/>
      <c r="D39" s="447"/>
      <c r="E39" s="447">
        <f>IF(ISERROR(预测利润表!E7*2/('历史年度（简化）'!C67+'历史年度（简化）'!D67)),0,预测利润表!E7*2/('历史年度（简化）'!C67+'历史年度（简化）'!D67))</f>
        <v>394.82689229485914</v>
      </c>
      <c r="F39" s="447">
        <f>IF(ISERROR(预测利润表!F7*2/('历史年度（简化）'!D67+'历史年度（简化）'!E67)),0,预测利润表!F7*2/('历史年度（简化）'!D67+'历史年度（简化）'!E67))</f>
        <v>372.75096196202554</v>
      </c>
      <c r="G39" s="447">
        <f>IF(ISERROR(预测利润表!G7*2/('历史年度（简化）'!E67+'历史年度（简化）'!F67)),0,预测利润表!G7*2/('历史年度（简化）'!E67+'历史年度（简化）'!F67))</f>
        <v>393.08298028169855</v>
      </c>
      <c r="H39" s="465">
        <f t="shared" ref="H39:H42" si="15">IF(ISERROR(G39),0,G39)</f>
        <v>393.08298028169855</v>
      </c>
      <c r="I39" s="465">
        <f t="shared" ref="I39:I42" si="16">IF(ISERROR(H39),0,H39)</f>
        <v>393.08298028169855</v>
      </c>
      <c r="J39" s="465">
        <f t="shared" ref="J39:J42" si="17">IF(ISERROR(I39),0,I39)</f>
        <v>393.08298028169855</v>
      </c>
      <c r="K39" s="467"/>
      <c r="L39" s="458"/>
      <c r="M39" s="458"/>
      <c r="N39" s="458"/>
      <c r="O39" s="458"/>
      <c r="P39" s="458"/>
      <c r="Q39" s="458"/>
      <c r="R39" s="471"/>
      <c r="S39" s="469"/>
      <c r="T39" s="469"/>
      <c r="U39" s="469"/>
      <c r="V39" s="469"/>
      <c r="W39" s="469"/>
      <c r="X39" s="469"/>
      <c r="Y39" s="469"/>
      <c r="Z39" s="469"/>
      <c r="AA39" s="469"/>
      <c r="AB39" s="469"/>
      <c r="AC39" s="469"/>
      <c r="AD39" s="469"/>
      <c r="AE39" s="469"/>
      <c r="AF39" s="469"/>
      <c r="AG39" s="469"/>
    </row>
    <row r="40" spans="1:33">
      <c r="A40" s="439"/>
      <c r="B40" s="440" t="s">
        <v>919</v>
      </c>
      <c r="C40" s="442"/>
      <c r="D40" s="171">
        <f>'历史年度（简化）'!C68</f>
        <v>1.8314447712000002</v>
      </c>
      <c r="E40" s="171">
        <f>'历史年度（简化）'!D68</f>
        <v>2.3626225775999998</v>
      </c>
      <c r="F40" s="171">
        <f>'历史年度（简化）'!E68</f>
        <v>2.2768442952000001</v>
      </c>
      <c r="G40" s="171">
        <f>'历史年度（简化）'!F68</f>
        <v>2.1930258155</v>
      </c>
      <c r="H40" s="464">
        <f t="shared" si="15"/>
        <v>2.1930258155</v>
      </c>
      <c r="I40" s="464">
        <f t="shared" si="16"/>
        <v>2.1930258155</v>
      </c>
      <c r="J40" s="464">
        <f t="shared" si="17"/>
        <v>2.1930258155</v>
      </c>
      <c r="K40" s="467"/>
      <c r="L40" s="430"/>
      <c r="M40" s="430"/>
      <c r="N40" s="430"/>
      <c r="O40" s="430"/>
      <c r="P40" s="430"/>
      <c r="Q40" s="430"/>
      <c r="R40" s="470"/>
      <c r="S40" s="469"/>
      <c r="T40" s="469"/>
      <c r="U40" s="469"/>
      <c r="V40" s="469"/>
      <c r="W40" s="469"/>
      <c r="X40" s="469"/>
      <c r="Y40" s="469"/>
      <c r="Z40" s="469"/>
      <c r="AA40" s="469"/>
      <c r="AB40" s="469"/>
      <c r="AC40" s="469"/>
      <c r="AD40" s="469"/>
      <c r="AE40" s="469"/>
      <c r="AF40" s="469"/>
      <c r="AG40" s="469"/>
    </row>
    <row r="41" spans="1:33">
      <c r="A41" s="439"/>
      <c r="B41" s="440" t="s">
        <v>920</v>
      </c>
      <c r="C41" s="442"/>
      <c r="D41" s="171">
        <f>'历史年度（简化）'!C69</f>
        <v>0</v>
      </c>
      <c r="E41" s="171">
        <f>'历史年度（简化）'!D69</f>
        <v>0</v>
      </c>
      <c r="F41" s="171">
        <f>'历史年度（简化）'!E69</f>
        <v>0</v>
      </c>
      <c r="G41" s="171">
        <f>'历史年度（简化）'!F69</f>
        <v>0</v>
      </c>
      <c r="H41" s="464">
        <f t="shared" si="15"/>
        <v>0</v>
      </c>
      <c r="I41" s="464">
        <f t="shared" si="16"/>
        <v>0</v>
      </c>
      <c r="J41" s="464">
        <f t="shared" si="17"/>
        <v>0</v>
      </c>
      <c r="K41" s="467"/>
      <c r="L41" s="430"/>
      <c r="M41" s="430"/>
      <c r="N41" s="430"/>
      <c r="O41" s="430"/>
      <c r="P41" s="430"/>
      <c r="Q41" s="430"/>
      <c r="R41" s="470"/>
      <c r="S41" s="469"/>
      <c r="T41" s="469"/>
      <c r="U41" s="469"/>
      <c r="V41" s="469"/>
      <c r="W41" s="469"/>
      <c r="X41" s="469"/>
      <c r="Y41" s="469"/>
      <c r="Z41" s="469"/>
      <c r="AA41" s="469"/>
      <c r="AB41" s="469"/>
      <c r="AC41" s="469"/>
      <c r="AD41" s="469"/>
      <c r="AE41" s="469"/>
      <c r="AF41" s="469"/>
      <c r="AG41" s="469"/>
    </row>
    <row r="42" spans="1:33">
      <c r="A42" s="439"/>
      <c r="B42" s="440" t="s">
        <v>921</v>
      </c>
      <c r="C42" s="442"/>
      <c r="D42" s="171">
        <f>'历史年度（简化）'!C70</f>
        <v>0.1695398071</v>
      </c>
      <c r="E42" s="171">
        <f>'历史年度（简化）'!D70</f>
        <v>0.19965858210000001</v>
      </c>
      <c r="F42" s="171">
        <f>'历史年度（简化）'!E70</f>
        <v>0</v>
      </c>
      <c r="G42" s="171">
        <f>'历史年度（简化）'!F70</f>
        <v>0</v>
      </c>
      <c r="H42" s="464">
        <f t="shared" si="15"/>
        <v>0</v>
      </c>
      <c r="I42" s="464">
        <f t="shared" si="16"/>
        <v>0</v>
      </c>
      <c r="J42" s="464">
        <f t="shared" si="17"/>
        <v>0</v>
      </c>
      <c r="K42" s="467"/>
      <c r="L42" s="430"/>
      <c r="M42" s="430"/>
      <c r="N42" s="430"/>
      <c r="O42" s="430"/>
      <c r="P42" s="430"/>
      <c r="Q42" s="430"/>
      <c r="R42" s="470"/>
      <c r="S42" s="469"/>
      <c r="T42" s="469"/>
      <c r="U42" s="469"/>
      <c r="V42" s="469"/>
      <c r="W42" s="469"/>
      <c r="X42" s="469"/>
      <c r="Y42" s="469"/>
      <c r="Z42" s="469"/>
      <c r="AA42" s="469"/>
      <c r="AB42" s="469"/>
      <c r="AC42" s="469"/>
      <c r="AD42" s="469"/>
      <c r="AE42" s="469"/>
      <c r="AF42" s="469"/>
      <c r="AG42" s="469"/>
    </row>
    <row r="43" spans="1:33">
      <c r="A43" s="439"/>
      <c r="B43" s="450" t="s">
        <v>922</v>
      </c>
      <c r="C43" s="442"/>
      <c r="D43" s="451">
        <f>'历史年度（简化）'!C71</f>
        <v>6.0330034116999993</v>
      </c>
      <c r="E43" s="451">
        <f>'历史年度（简化）'!D71</f>
        <v>11.296087237799998</v>
      </c>
      <c r="F43" s="451">
        <f>'历史年度（简化）'!E71</f>
        <v>5.4142786160000007</v>
      </c>
      <c r="G43" s="451">
        <f>'历史年度（简化）'!F71</f>
        <v>6.3077305111999991</v>
      </c>
      <c r="H43" s="451" t="e">
        <f>H34+H35+H36+H38+H40+H41+H42</f>
        <v>#VALUE!</v>
      </c>
      <c r="I43" s="451" t="e">
        <f t="shared" ref="I43:J43" si="18">I34+I35+I36+I38+I40+I41+I42</f>
        <v>#VALUE!</v>
      </c>
      <c r="J43" s="451" t="e">
        <f t="shared" si="18"/>
        <v>#VALUE!</v>
      </c>
      <c r="K43" s="467"/>
      <c r="L43" s="463"/>
      <c r="M43" s="463"/>
      <c r="N43" s="463"/>
      <c r="O43" s="463"/>
      <c r="P43" s="463"/>
      <c r="Q43" s="463"/>
      <c r="R43" s="470"/>
      <c r="S43" s="469"/>
      <c r="T43" s="469"/>
      <c r="U43" s="469"/>
      <c r="V43" s="469"/>
      <c r="W43" s="469"/>
      <c r="X43" s="469"/>
      <c r="Y43" s="469"/>
      <c r="Z43" s="469"/>
      <c r="AA43" s="469"/>
      <c r="AB43" s="469"/>
      <c r="AC43" s="469"/>
      <c r="AD43" s="469"/>
      <c r="AE43" s="469"/>
      <c r="AF43" s="469"/>
      <c r="AG43" s="469"/>
    </row>
    <row r="44" spans="1:33">
      <c r="A44" s="439"/>
      <c r="B44" s="440" t="s">
        <v>1477</v>
      </c>
      <c r="C44" s="442"/>
      <c r="D44" s="171">
        <f>'历史年度（简化）'!C72+'历史年度（简化）'!C73</f>
        <v>0.12</v>
      </c>
      <c r="E44" s="171">
        <f>'历史年度（简化）'!D72+'历史年度（简化）'!D73</f>
        <v>0.82563432859999997</v>
      </c>
      <c r="F44" s="171">
        <f>'历史年度（简化）'!E72+'历史年度（简化）'!E73</f>
        <v>0</v>
      </c>
      <c r="G44" s="171">
        <f>'历史年度（简化）'!F72+'历史年度（简化）'!F73</f>
        <v>0</v>
      </c>
      <c r="H44" s="171" t="e">
        <f>G44+筹资!E7</f>
        <v>#VALUE!</v>
      </c>
      <c r="I44" s="171" t="e">
        <f>H44+筹资!F7</f>
        <v>#VALUE!</v>
      </c>
      <c r="J44" s="171" t="e">
        <f>I44+筹资!G7</f>
        <v>#VALUE!</v>
      </c>
      <c r="K44" s="467"/>
      <c r="L44" s="463"/>
      <c r="M44" s="463"/>
      <c r="N44" s="463"/>
      <c r="O44" s="463"/>
      <c r="P44" s="463"/>
      <c r="Q44" s="463"/>
      <c r="R44" s="470"/>
      <c r="S44" s="469"/>
      <c r="T44" s="469"/>
      <c r="U44" s="469"/>
      <c r="V44" s="469"/>
      <c r="W44" s="469"/>
      <c r="X44" s="469"/>
      <c r="Y44" s="469"/>
      <c r="Z44" s="469"/>
      <c r="AA44" s="469"/>
      <c r="AB44" s="469"/>
      <c r="AC44" s="469"/>
      <c r="AD44" s="469"/>
      <c r="AE44" s="469"/>
      <c r="AF44" s="469"/>
      <c r="AG44" s="469"/>
    </row>
    <row r="45" spans="1:33">
      <c r="A45" s="439"/>
      <c r="B45" s="440" t="s">
        <v>925</v>
      </c>
      <c r="C45" s="442"/>
      <c r="D45" s="171">
        <f>'历史年度（简化）'!C74</f>
        <v>0.94477767999999995</v>
      </c>
      <c r="E45" s="171">
        <f>'历史年度（简化）'!D74</f>
        <v>0</v>
      </c>
      <c r="F45" s="171">
        <f>'历史年度（简化）'!E74</f>
        <v>0</v>
      </c>
      <c r="G45" s="171">
        <f>'历史年度（简化）'!F74</f>
        <v>0</v>
      </c>
      <c r="H45" s="464">
        <f t="shared" ref="H45:H48" si="19">IF(ISERROR(G45),0,G45)</f>
        <v>0</v>
      </c>
      <c r="I45" s="464">
        <f t="shared" ref="I45:I48" si="20">IF(ISERROR(H45),0,H45)</f>
        <v>0</v>
      </c>
      <c r="J45" s="464">
        <f t="shared" ref="J45:J48" si="21">IF(ISERROR(I45),0,I45)</f>
        <v>0</v>
      </c>
      <c r="K45" s="467"/>
      <c r="L45" s="430"/>
      <c r="M45" s="430"/>
      <c r="N45" s="430"/>
      <c r="O45" s="430"/>
      <c r="P45" s="430"/>
      <c r="Q45" s="430"/>
      <c r="R45" s="470"/>
      <c r="S45" s="469"/>
      <c r="T45" s="469"/>
      <c r="U45" s="469"/>
      <c r="V45" s="469"/>
      <c r="W45" s="469"/>
      <c r="X45" s="469"/>
      <c r="Y45" s="469"/>
      <c r="Z45" s="469"/>
      <c r="AA45" s="469"/>
      <c r="AB45" s="469"/>
      <c r="AC45" s="469"/>
      <c r="AD45" s="469"/>
      <c r="AE45" s="469"/>
      <c r="AF45" s="469"/>
      <c r="AG45" s="469"/>
    </row>
    <row r="46" spans="1:33">
      <c r="A46" s="439"/>
      <c r="B46" s="440" t="s">
        <v>926</v>
      </c>
      <c r="C46" s="442"/>
      <c r="D46" s="171">
        <f>'历史年度（简化）'!C75</f>
        <v>0</v>
      </c>
      <c r="E46" s="171">
        <f>'历史年度（简化）'!D75</f>
        <v>0</v>
      </c>
      <c r="F46" s="171">
        <f>'历史年度（简化）'!E75</f>
        <v>0</v>
      </c>
      <c r="G46" s="171">
        <f>'历史年度（简化）'!F75</f>
        <v>0</v>
      </c>
      <c r="H46" s="464">
        <f t="shared" si="19"/>
        <v>0</v>
      </c>
      <c r="I46" s="464">
        <f t="shared" si="20"/>
        <v>0</v>
      </c>
      <c r="J46" s="464">
        <f t="shared" si="21"/>
        <v>0</v>
      </c>
      <c r="K46" s="467"/>
      <c r="L46" s="430"/>
      <c r="M46" s="430"/>
      <c r="N46" s="430"/>
      <c r="O46" s="430"/>
      <c r="P46" s="430"/>
      <c r="Q46" s="430"/>
      <c r="R46" s="470"/>
      <c r="S46" s="469"/>
      <c r="T46" s="469"/>
      <c r="U46" s="469"/>
      <c r="V46" s="469"/>
      <c r="W46" s="469"/>
      <c r="X46" s="469"/>
      <c r="Y46" s="469"/>
      <c r="Z46" s="469"/>
      <c r="AA46" s="469"/>
      <c r="AB46" s="469"/>
      <c r="AC46" s="469"/>
      <c r="AD46" s="469"/>
      <c r="AE46" s="469"/>
      <c r="AF46" s="469"/>
      <c r="AG46" s="469"/>
    </row>
    <row r="47" spans="1:33">
      <c r="A47" s="439"/>
      <c r="B47" s="440" t="s">
        <v>927</v>
      </c>
      <c r="C47" s="442"/>
      <c r="D47" s="171">
        <f>'历史年度（简化）'!C76</f>
        <v>0</v>
      </c>
      <c r="E47" s="171">
        <f>'历史年度（简化）'!D76</f>
        <v>0</v>
      </c>
      <c r="F47" s="171">
        <f>'历史年度（简化）'!E76</f>
        <v>0</v>
      </c>
      <c r="G47" s="171">
        <f>'历史年度（简化）'!F76</f>
        <v>0</v>
      </c>
      <c r="H47" s="464">
        <f t="shared" si="19"/>
        <v>0</v>
      </c>
      <c r="I47" s="464">
        <f t="shared" si="20"/>
        <v>0</v>
      </c>
      <c r="J47" s="464">
        <f t="shared" si="21"/>
        <v>0</v>
      </c>
      <c r="K47" s="467"/>
      <c r="L47" s="430"/>
      <c r="M47" s="430"/>
      <c r="N47" s="430"/>
      <c r="O47" s="430"/>
      <c r="P47" s="430"/>
      <c r="Q47" s="430"/>
      <c r="R47" s="470"/>
      <c r="S47" s="469"/>
      <c r="T47" s="469"/>
      <c r="U47" s="469"/>
      <c r="V47" s="469"/>
      <c r="W47" s="469"/>
      <c r="X47" s="469"/>
      <c r="Y47" s="469"/>
      <c r="Z47" s="469"/>
      <c r="AA47" s="469"/>
      <c r="AB47" s="469"/>
      <c r="AC47" s="469"/>
      <c r="AD47" s="469"/>
      <c r="AE47" s="469"/>
      <c r="AF47" s="469"/>
      <c r="AG47" s="469"/>
    </row>
    <row r="48" spans="1:33">
      <c r="A48" s="439"/>
      <c r="B48" s="440" t="s">
        <v>928</v>
      </c>
      <c r="C48" s="442"/>
      <c r="D48" s="171">
        <f>'历史年度（简化）'!C77</f>
        <v>0</v>
      </c>
      <c r="E48" s="171">
        <f>'历史年度（简化）'!D77</f>
        <v>0</v>
      </c>
      <c r="F48" s="171">
        <f>'历史年度（简化）'!E77</f>
        <v>0</v>
      </c>
      <c r="G48" s="171">
        <f>'历史年度（简化）'!F77</f>
        <v>0</v>
      </c>
      <c r="H48" s="464">
        <f t="shared" si="19"/>
        <v>0</v>
      </c>
      <c r="I48" s="464">
        <f t="shared" si="20"/>
        <v>0</v>
      </c>
      <c r="J48" s="464">
        <f t="shared" si="21"/>
        <v>0</v>
      </c>
      <c r="K48" s="467"/>
      <c r="L48" s="430"/>
      <c r="M48" s="430"/>
      <c r="N48" s="430"/>
      <c r="O48" s="430"/>
      <c r="P48" s="430"/>
      <c r="Q48" s="430"/>
      <c r="R48" s="470"/>
      <c r="S48" s="469"/>
      <c r="T48" s="469"/>
      <c r="U48" s="469"/>
      <c r="V48" s="469"/>
      <c r="W48" s="469"/>
      <c r="X48" s="469"/>
      <c r="Y48" s="469"/>
      <c r="Z48" s="469"/>
      <c r="AA48" s="469"/>
      <c r="AB48" s="469"/>
      <c r="AC48" s="469"/>
      <c r="AD48" s="469"/>
      <c r="AE48" s="469"/>
      <c r="AF48" s="469"/>
      <c r="AG48" s="469"/>
    </row>
    <row r="49" spans="1:33">
      <c r="A49" s="439"/>
      <c r="B49" s="450" t="s">
        <v>929</v>
      </c>
      <c r="C49" s="442"/>
      <c r="D49" s="451">
        <f>'历史年度（简化）'!C78</f>
        <v>1.0647776799999999</v>
      </c>
      <c r="E49" s="451">
        <f>'历史年度（简化）'!D78</f>
        <v>0.82563432859999997</v>
      </c>
      <c r="F49" s="451">
        <f>'历史年度（简化）'!E78</f>
        <v>0</v>
      </c>
      <c r="G49" s="451">
        <f>'历史年度（简化）'!F78</f>
        <v>0</v>
      </c>
      <c r="H49" s="451" t="e">
        <f>SUM(H44:H48)</f>
        <v>#VALUE!</v>
      </c>
      <c r="I49" s="451" t="e">
        <f t="shared" ref="I49:J49" si="22">SUM(I44:I48)</f>
        <v>#VALUE!</v>
      </c>
      <c r="J49" s="451" t="e">
        <f t="shared" si="22"/>
        <v>#VALUE!</v>
      </c>
      <c r="K49" s="463"/>
      <c r="L49" s="463"/>
      <c r="M49" s="463"/>
      <c r="N49" s="463"/>
      <c r="O49" s="463"/>
      <c r="P49" s="463"/>
      <c r="Q49" s="463"/>
      <c r="R49" s="470"/>
      <c r="S49" s="469"/>
      <c r="T49" s="469"/>
      <c r="U49" s="469"/>
      <c r="V49" s="469"/>
      <c r="W49" s="469"/>
      <c r="X49" s="469"/>
      <c r="Y49" s="469"/>
      <c r="Z49" s="469"/>
      <c r="AA49" s="469"/>
      <c r="AB49" s="469"/>
      <c r="AC49" s="469"/>
      <c r="AD49" s="469"/>
      <c r="AE49" s="469"/>
      <c r="AF49" s="469"/>
      <c r="AG49" s="469"/>
    </row>
    <row r="50" spans="1:33">
      <c r="A50" s="439"/>
      <c r="B50" s="450" t="s">
        <v>930</v>
      </c>
      <c r="C50" s="442"/>
      <c r="D50" s="451">
        <f>'历史年度（简化）'!C80</f>
        <v>7.097781091699999</v>
      </c>
      <c r="E50" s="451">
        <f>'历史年度（简化）'!D80</f>
        <v>12.121721566399998</v>
      </c>
      <c r="F50" s="451">
        <f>'历史年度（简化）'!E80</f>
        <v>5.4142786160000007</v>
      </c>
      <c r="G50" s="451">
        <f>'历史年度（简化）'!F80</f>
        <v>6.3077305111999991</v>
      </c>
      <c r="H50" s="451" t="e">
        <f>H43+H49</f>
        <v>#VALUE!</v>
      </c>
      <c r="I50" s="451" t="e">
        <f t="shared" ref="I50:J50" si="23">I43+I49</f>
        <v>#VALUE!</v>
      </c>
      <c r="J50" s="451" t="e">
        <f t="shared" si="23"/>
        <v>#VALUE!</v>
      </c>
      <c r="K50" s="463"/>
      <c r="L50" s="463"/>
      <c r="M50" s="463"/>
      <c r="N50" s="463"/>
      <c r="O50" s="463"/>
      <c r="P50" s="463"/>
      <c r="Q50" s="463"/>
      <c r="R50" s="470"/>
      <c r="S50" s="469"/>
      <c r="T50" s="469"/>
      <c r="U50" s="469"/>
      <c r="V50" s="469"/>
      <c r="W50" s="469"/>
      <c r="X50" s="469"/>
      <c r="Y50" s="469"/>
      <c r="Z50" s="469"/>
      <c r="AA50" s="469"/>
      <c r="AB50" s="469"/>
      <c r="AC50" s="469"/>
      <c r="AD50" s="469"/>
      <c r="AE50" s="469"/>
      <c r="AF50" s="469"/>
      <c r="AG50" s="469"/>
    </row>
    <row r="51" spans="1:33">
      <c r="A51" s="453" t="s">
        <v>1478</v>
      </c>
      <c r="B51" s="456"/>
      <c r="C51" s="455"/>
      <c r="D51" s="171"/>
      <c r="E51" s="171"/>
      <c r="F51" s="171"/>
      <c r="G51" s="171"/>
      <c r="H51" s="171"/>
      <c r="I51" s="171"/>
      <c r="J51" s="171"/>
      <c r="K51" s="463"/>
      <c r="L51" s="463"/>
      <c r="M51" s="463"/>
      <c r="N51" s="463"/>
      <c r="O51" s="463"/>
      <c r="P51" s="463"/>
      <c r="Q51" s="463"/>
      <c r="R51" s="470"/>
      <c r="S51" s="469"/>
      <c r="T51" s="469"/>
      <c r="U51" s="469"/>
      <c r="V51" s="469"/>
      <c r="W51" s="469"/>
      <c r="X51" s="469"/>
      <c r="Y51" s="469"/>
      <c r="Z51" s="469"/>
      <c r="AA51" s="469"/>
      <c r="AB51" s="469"/>
      <c r="AC51" s="469"/>
      <c r="AD51" s="469"/>
      <c r="AE51" s="469"/>
      <c r="AF51" s="469"/>
      <c r="AG51" s="469"/>
    </row>
    <row r="52" spans="1:33">
      <c r="A52" s="439"/>
      <c r="B52" s="440" t="s">
        <v>932</v>
      </c>
      <c r="C52" s="442"/>
      <c r="D52" s="171">
        <f>'历史年度（简化）'!C85</f>
        <v>7.4093881399999999</v>
      </c>
      <c r="E52" s="171">
        <f>'历史年度（简化）'!D85</f>
        <v>7.5547481400000001</v>
      </c>
      <c r="F52" s="171">
        <f>'历史年度（简化）'!E85</f>
        <v>8.1661535399999998</v>
      </c>
      <c r="G52" s="171">
        <f>'历史年度（简化）'!F85</f>
        <v>8.1203735399999992</v>
      </c>
      <c r="H52" s="171" t="e">
        <f>G52+筹资!E12</f>
        <v>#VALUE!</v>
      </c>
      <c r="I52" s="171" t="e">
        <f>H52+筹资!F12</f>
        <v>#VALUE!</v>
      </c>
      <c r="J52" s="171" t="e">
        <f>I52+筹资!G12</f>
        <v>#VALUE!</v>
      </c>
      <c r="K52" s="463"/>
      <c r="L52" s="463"/>
      <c r="M52" s="463"/>
      <c r="N52" s="463"/>
      <c r="O52" s="463"/>
      <c r="P52" s="463"/>
      <c r="Q52" s="463"/>
      <c r="R52" s="470"/>
      <c r="S52" s="469"/>
      <c r="T52" s="469"/>
      <c r="U52" s="469"/>
      <c r="V52" s="469"/>
      <c r="W52" s="469"/>
      <c r="X52" s="469"/>
      <c r="Y52" s="469"/>
      <c r="Z52" s="469"/>
      <c r="AA52" s="469"/>
      <c r="AB52" s="469"/>
      <c r="AC52" s="469"/>
      <c r="AD52" s="469"/>
      <c r="AE52" s="469"/>
      <c r="AF52" s="469"/>
      <c r="AG52" s="469"/>
    </row>
    <row r="53" spans="1:33">
      <c r="A53" s="439"/>
      <c r="B53" s="440" t="s">
        <v>1479</v>
      </c>
      <c r="C53" s="442"/>
      <c r="D53" s="171">
        <f>'历史年度（简化）'!C86</f>
        <v>8.4261393568000003</v>
      </c>
      <c r="E53" s="171">
        <f>'历史年度（简化）'!D86</f>
        <v>8.7407487140999987</v>
      </c>
      <c r="F53" s="171">
        <f>'历史年度（简化）'!E86</f>
        <v>19.726764313699999</v>
      </c>
      <c r="G53" s="171">
        <f>'历史年度（简化）'!F86</f>
        <v>19.561780815199999</v>
      </c>
      <c r="H53" s="171" t="e">
        <f>H54+H55+H56</f>
        <v>#VALUE!</v>
      </c>
      <c r="I53" s="171" t="e">
        <f t="shared" ref="I53:J53" si="24">I54+I55+I56</f>
        <v>#VALUE!</v>
      </c>
      <c r="J53" s="171" t="e">
        <f t="shared" si="24"/>
        <v>#VALUE!</v>
      </c>
      <c r="K53" s="463"/>
      <c r="L53" s="463"/>
      <c r="M53" s="463"/>
      <c r="N53" s="463"/>
      <c r="O53" s="463"/>
      <c r="P53" s="463"/>
      <c r="Q53" s="463"/>
      <c r="R53" s="470"/>
      <c r="S53" s="469"/>
      <c r="T53" s="469"/>
      <c r="U53" s="469"/>
      <c r="V53" s="469"/>
      <c r="W53" s="469"/>
      <c r="X53" s="469"/>
      <c r="Y53" s="469"/>
      <c r="Z53" s="469"/>
      <c r="AA53" s="469"/>
      <c r="AB53" s="469"/>
      <c r="AC53" s="469"/>
      <c r="AD53" s="469"/>
      <c r="AE53" s="469"/>
      <c r="AF53" s="469"/>
      <c r="AG53" s="469"/>
    </row>
    <row r="54" spans="1:33">
      <c r="A54" s="439"/>
      <c r="B54" s="440" t="s">
        <v>1480</v>
      </c>
      <c r="C54" s="442"/>
      <c r="D54" s="171">
        <f>'历史年度（简化）'!C86</f>
        <v>8.4261393568000003</v>
      </c>
      <c r="E54" s="171">
        <f>'历史年度（简化）'!D86</f>
        <v>8.7407487140999987</v>
      </c>
      <c r="F54" s="171">
        <f>'历史年度（简化）'!E86</f>
        <v>19.726764313699999</v>
      </c>
      <c r="G54" s="171">
        <f>'历史年度（简化）'!F86</f>
        <v>19.561780815199999</v>
      </c>
      <c r="H54" s="171">
        <f>G53</f>
        <v>19.561780815199999</v>
      </c>
      <c r="I54" s="171" t="e">
        <f t="shared" ref="I54:J54" si="25">H53</f>
        <v>#VALUE!</v>
      </c>
      <c r="J54" s="171" t="e">
        <f t="shared" si="25"/>
        <v>#VALUE!</v>
      </c>
      <c r="K54" s="463"/>
      <c r="L54" s="463"/>
      <c r="M54" s="463"/>
      <c r="N54" s="463"/>
      <c r="O54" s="463"/>
      <c r="P54" s="463"/>
      <c r="Q54" s="463"/>
      <c r="R54" s="470"/>
      <c r="S54" s="469"/>
      <c r="T54" s="469"/>
      <c r="U54" s="469"/>
      <c r="V54" s="469"/>
      <c r="W54" s="469"/>
      <c r="X54" s="469"/>
      <c r="Y54" s="469"/>
      <c r="Z54" s="469"/>
      <c r="AA54" s="469"/>
      <c r="AB54" s="469"/>
      <c r="AC54" s="469"/>
      <c r="AD54" s="469"/>
      <c r="AE54" s="469"/>
      <c r="AF54" s="469"/>
      <c r="AG54" s="469"/>
    </row>
    <row r="55" spans="1:33">
      <c r="A55" s="439"/>
      <c r="B55" s="440" t="s">
        <v>1481</v>
      </c>
      <c r="C55" s="442"/>
      <c r="D55" s="171"/>
      <c r="E55" s="171"/>
      <c r="F55" s="171"/>
      <c r="G55" s="171"/>
      <c r="H55" s="171" t="e">
        <f>筹资!E13</f>
        <v>#VALUE!</v>
      </c>
      <c r="I55" s="171" t="e">
        <f>筹资!F13</f>
        <v>#VALUE!</v>
      </c>
      <c r="J55" s="171" t="e">
        <f>筹资!G13</f>
        <v>#VALUE!</v>
      </c>
      <c r="K55" s="463"/>
      <c r="L55" s="463"/>
      <c r="M55" s="463"/>
      <c r="N55" s="463"/>
      <c r="O55" s="463"/>
      <c r="P55" s="463"/>
      <c r="Q55" s="463"/>
      <c r="R55" s="470"/>
      <c r="S55" s="469"/>
      <c r="T55" s="469"/>
      <c r="U55" s="469"/>
      <c r="V55" s="469"/>
      <c r="W55" s="469"/>
      <c r="X55" s="469"/>
      <c r="Y55" s="469"/>
      <c r="Z55" s="469"/>
      <c r="AA55" s="469"/>
      <c r="AB55" s="469"/>
      <c r="AC55" s="469"/>
      <c r="AD55" s="469"/>
      <c r="AE55" s="469"/>
      <c r="AF55" s="469"/>
      <c r="AG55" s="469"/>
    </row>
    <row r="56" spans="1:33">
      <c r="A56" s="439"/>
      <c r="B56" s="440" t="s">
        <v>1482</v>
      </c>
      <c r="C56" s="442"/>
      <c r="D56" s="171"/>
      <c r="E56" s="171"/>
      <c r="F56" s="171"/>
      <c r="G56" s="171"/>
      <c r="H56" s="464">
        <v>0</v>
      </c>
      <c r="I56" s="464">
        <v>1</v>
      </c>
      <c r="J56" s="464">
        <v>2</v>
      </c>
      <c r="K56" s="430"/>
      <c r="L56" s="430"/>
      <c r="M56" s="430"/>
      <c r="N56" s="430"/>
      <c r="O56" s="430"/>
      <c r="P56" s="430"/>
      <c r="Q56" s="430"/>
      <c r="R56" s="470"/>
      <c r="S56" s="469"/>
      <c r="T56" s="469"/>
      <c r="U56" s="469"/>
      <c r="V56" s="469"/>
      <c r="W56" s="469"/>
      <c r="X56" s="469"/>
      <c r="Y56" s="469"/>
      <c r="Z56" s="469"/>
      <c r="AA56" s="469"/>
      <c r="AB56" s="469"/>
      <c r="AC56" s="469"/>
      <c r="AD56" s="469"/>
      <c r="AE56" s="469"/>
      <c r="AF56" s="469"/>
      <c r="AG56" s="469"/>
    </row>
    <row r="57" spans="1:33">
      <c r="A57" s="439"/>
      <c r="B57" s="440" t="s">
        <v>1483</v>
      </c>
      <c r="C57" s="442"/>
      <c r="D57" s="171">
        <f>'历史年度（简化）'!C87</f>
        <v>8.2560972212999992</v>
      </c>
      <c r="E57" s="171">
        <f>'历史年度（简化）'!D87</f>
        <v>10.3746908029</v>
      </c>
      <c r="F57" s="171">
        <f>'历史年度（简化）'!E87</f>
        <v>12.141992080100003</v>
      </c>
      <c r="G57" s="171">
        <f>'历史年度（简化）'!F87</f>
        <v>15.300538666299996</v>
      </c>
      <c r="H57" s="171">
        <f>H58+H59</f>
        <v>36.537104167101468</v>
      </c>
      <c r="I57" s="171" t="e">
        <f t="shared" ref="I57:J57" si="26">I58+I59</f>
        <v>#VALUE!</v>
      </c>
      <c r="J57" s="171" t="e">
        <f t="shared" si="26"/>
        <v>#VALUE!</v>
      </c>
      <c r="K57" s="463"/>
      <c r="L57" s="463"/>
      <c r="M57" s="463"/>
      <c r="N57" s="463"/>
      <c r="O57" s="463"/>
      <c r="P57" s="463"/>
      <c r="Q57" s="463"/>
      <c r="R57" s="470"/>
      <c r="S57" s="469"/>
      <c r="T57" s="469"/>
      <c r="U57" s="469"/>
      <c r="V57" s="469"/>
      <c r="W57" s="469"/>
      <c r="X57" s="469"/>
      <c r="Y57" s="469"/>
      <c r="Z57" s="469"/>
      <c r="AA57" s="469"/>
      <c r="AB57" s="469"/>
      <c r="AC57" s="469"/>
      <c r="AD57" s="469"/>
      <c r="AE57" s="469"/>
      <c r="AF57" s="469"/>
      <c r="AG57" s="469"/>
    </row>
    <row r="58" spans="1:33">
      <c r="A58" s="439"/>
      <c r="B58" s="440" t="s">
        <v>1484</v>
      </c>
      <c r="C58" s="442"/>
      <c r="D58" s="171"/>
      <c r="E58" s="171">
        <f t="shared" ref="E58:H58" si="27">D57</f>
        <v>8.2560972212999992</v>
      </c>
      <c r="F58" s="171">
        <f t="shared" ref="F58" si="28">E57</f>
        <v>10.3746908029</v>
      </c>
      <c r="G58" s="171">
        <f t="shared" ref="G58" si="29">F57</f>
        <v>12.141992080100003</v>
      </c>
      <c r="H58" s="171">
        <f t="shared" si="27"/>
        <v>15.300538666299996</v>
      </c>
      <c r="I58" s="171">
        <f t="shared" ref="I58" si="30">H57</f>
        <v>36.537104167101468</v>
      </c>
      <c r="J58" s="171" t="e">
        <f t="shared" ref="J58" si="31">I57</f>
        <v>#VALUE!</v>
      </c>
      <c r="K58" s="463"/>
      <c r="L58" s="463"/>
      <c r="M58" s="463"/>
      <c r="N58" s="463"/>
      <c r="O58" s="463"/>
      <c r="P58" s="463"/>
      <c r="Q58" s="463"/>
      <c r="R58" s="470"/>
      <c r="S58" s="469"/>
      <c r="T58" s="469"/>
      <c r="U58" s="469"/>
      <c r="V58" s="469"/>
      <c r="W58" s="469"/>
      <c r="X58" s="469"/>
      <c r="Y58" s="469"/>
      <c r="Z58" s="469"/>
      <c r="AA58" s="469"/>
      <c r="AB58" s="469"/>
      <c r="AC58" s="469"/>
      <c r="AD58" s="469"/>
      <c r="AE58" s="469"/>
      <c r="AF58" s="469"/>
      <c r="AG58" s="469"/>
    </row>
    <row r="59" spans="1:33">
      <c r="A59" s="439"/>
      <c r="B59" s="440" t="s">
        <v>1485</v>
      </c>
      <c r="C59" s="442"/>
      <c r="D59" s="171"/>
      <c r="E59" s="171">
        <f>E57-E58</f>
        <v>2.1185935816000008</v>
      </c>
      <c r="F59" s="171">
        <f t="shared" ref="F59:G59" si="32">F57-F58</f>
        <v>1.7673012772000032</v>
      </c>
      <c r="G59" s="171">
        <f t="shared" si="32"/>
        <v>3.1585465861999928</v>
      </c>
      <c r="H59" s="171">
        <f>预测利润表!H48</f>
        <v>21.236565500801472</v>
      </c>
      <c r="I59" s="171" t="e">
        <f>预测利润表!I48</f>
        <v>#VALUE!</v>
      </c>
      <c r="J59" s="171" t="e">
        <f>预测利润表!J48</f>
        <v>#VALUE!</v>
      </c>
      <c r="K59" s="463"/>
      <c r="L59" s="463"/>
      <c r="M59" s="463"/>
      <c r="N59" s="463"/>
      <c r="O59" s="463"/>
      <c r="P59" s="463"/>
      <c r="Q59" s="463"/>
      <c r="R59" s="470"/>
      <c r="S59" s="469"/>
      <c r="T59" s="469"/>
      <c r="U59" s="469"/>
      <c r="V59" s="469"/>
      <c r="W59" s="469"/>
      <c r="X59" s="469"/>
      <c r="Y59" s="469"/>
      <c r="Z59" s="469"/>
      <c r="AA59" s="469"/>
      <c r="AB59" s="469"/>
      <c r="AC59" s="469"/>
      <c r="AD59" s="469"/>
      <c r="AE59" s="469"/>
      <c r="AF59" s="469"/>
      <c r="AG59" s="469"/>
    </row>
    <row r="60" spans="1:33">
      <c r="A60" s="439"/>
      <c r="B60" s="450" t="s">
        <v>935</v>
      </c>
      <c r="C60" s="442"/>
      <c r="D60" s="451">
        <f>'历史年度（简化）'!C90</f>
        <v>24.0916247181</v>
      </c>
      <c r="E60" s="451">
        <f>'历史年度（简化）'!D90</f>
        <v>26.670187657</v>
      </c>
      <c r="F60" s="451">
        <f>'历史年度（简化）'!E90</f>
        <v>40.034909933800002</v>
      </c>
      <c r="G60" s="451">
        <f>'历史年度（简化）'!F90</f>
        <v>42.982693021499998</v>
      </c>
      <c r="H60" s="451" t="e">
        <f>H52+H53+H57</f>
        <v>#VALUE!</v>
      </c>
      <c r="I60" s="451" t="e">
        <f t="shared" ref="I60:J60" si="33">I52+I53+I57</f>
        <v>#VALUE!</v>
      </c>
      <c r="J60" s="451" t="e">
        <f t="shared" si="33"/>
        <v>#VALUE!</v>
      </c>
      <c r="K60" s="463"/>
      <c r="L60" s="463"/>
      <c r="M60" s="463"/>
      <c r="N60" s="463"/>
      <c r="O60" s="463"/>
      <c r="P60" s="463"/>
      <c r="Q60" s="463"/>
      <c r="R60" s="470"/>
      <c r="S60" s="469"/>
      <c r="T60" s="469"/>
      <c r="U60" s="469"/>
      <c r="V60" s="469"/>
      <c r="W60" s="469"/>
      <c r="X60" s="469"/>
      <c r="Y60" s="469"/>
      <c r="Z60" s="469"/>
      <c r="AA60" s="469"/>
      <c r="AB60" s="469"/>
      <c r="AC60" s="469"/>
      <c r="AD60" s="469"/>
      <c r="AE60" s="469"/>
      <c r="AF60" s="469"/>
      <c r="AG60" s="469"/>
    </row>
    <row r="61" spans="1:33">
      <c r="A61" s="439"/>
      <c r="B61" s="440" t="s">
        <v>936</v>
      </c>
      <c r="C61" s="442"/>
      <c r="D61" s="171">
        <f>'历史年度（简化）'!C91</f>
        <v>-5.3627312E-3</v>
      </c>
      <c r="E61" s="171">
        <f>'历史年度（简化）'!D91</f>
        <v>-1.61629844E-2</v>
      </c>
      <c r="F61" s="171">
        <f>'历史年度（简化）'!E91</f>
        <v>0.47216653630000005</v>
      </c>
      <c r="G61" s="171">
        <f>'历史年度（简化）'!F91</f>
        <v>0.59386458720000002</v>
      </c>
      <c r="H61" s="171">
        <f>G61+预测利润表!H43</f>
        <v>0.59386458720000002</v>
      </c>
      <c r="I61" s="171">
        <f>H61+预测利润表!I43</f>
        <v>0.59386458720000002</v>
      </c>
      <c r="J61" s="171">
        <f>I61+预测利润表!J43</f>
        <v>0.59386458720000002</v>
      </c>
      <c r="K61" s="463"/>
      <c r="L61" s="463"/>
      <c r="M61" s="463"/>
      <c r="N61" s="463"/>
      <c r="O61" s="463"/>
      <c r="P61" s="463"/>
      <c r="Q61" s="463"/>
      <c r="R61" s="470"/>
      <c r="S61" s="469"/>
      <c r="T61" s="469"/>
      <c r="U61" s="469"/>
      <c r="V61" s="469"/>
      <c r="W61" s="469"/>
      <c r="X61" s="469"/>
      <c r="Y61" s="469"/>
      <c r="Z61" s="469"/>
      <c r="AA61" s="469"/>
      <c r="AB61" s="469"/>
      <c r="AC61" s="469"/>
      <c r="AD61" s="469"/>
      <c r="AE61" s="469"/>
      <c r="AF61" s="469"/>
      <c r="AG61" s="469"/>
    </row>
    <row r="62" spans="1:33">
      <c r="A62" s="439"/>
      <c r="B62" s="450" t="s">
        <v>937</v>
      </c>
      <c r="C62" s="442"/>
      <c r="D62" s="451">
        <f t="shared" ref="D62:H62" si="34">D60+D61</f>
        <v>24.086261986899999</v>
      </c>
      <c r="E62" s="451">
        <f t="shared" si="34"/>
        <v>26.654024672599999</v>
      </c>
      <c r="F62" s="451">
        <f t="shared" ref="F62:G62" si="35">F60+F61</f>
        <v>40.507076470100003</v>
      </c>
      <c r="G62" s="451">
        <f t="shared" si="35"/>
        <v>43.5765576087</v>
      </c>
      <c r="H62" s="451" t="e">
        <f t="shared" si="34"/>
        <v>#VALUE!</v>
      </c>
      <c r="I62" s="451" t="e">
        <f t="shared" ref="I62:J62" si="36">I60+I61</f>
        <v>#VALUE!</v>
      </c>
      <c r="J62" s="451" t="e">
        <f t="shared" si="36"/>
        <v>#VALUE!</v>
      </c>
      <c r="K62" s="463"/>
      <c r="L62" s="463"/>
      <c r="M62" s="463"/>
      <c r="N62" s="463"/>
      <c r="O62" s="463"/>
      <c r="P62" s="463"/>
      <c r="Q62" s="463"/>
      <c r="R62" s="470"/>
      <c r="S62" s="469"/>
      <c r="T62" s="469"/>
      <c r="U62" s="469"/>
      <c r="V62" s="469"/>
      <c r="W62" s="469"/>
      <c r="X62" s="469"/>
      <c r="Y62" s="469"/>
      <c r="Z62" s="469"/>
      <c r="AA62" s="469"/>
      <c r="AB62" s="469"/>
      <c r="AC62" s="469"/>
      <c r="AD62" s="469"/>
      <c r="AE62" s="469"/>
      <c r="AF62" s="469"/>
      <c r="AG62" s="469"/>
    </row>
    <row r="63" spans="1:33">
      <c r="A63" s="439"/>
      <c r="B63" s="450" t="s">
        <v>938</v>
      </c>
      <c r="C63" s="442"/>
      <c r="D63" s="451">
        <f t="shared" ref="D63:H63" si="37">D50+D62</f>
        <v>31.184043078599998</v>
      </c>
      <c r="E63" s="451">
        <f t="shared" si="37"/>
        <v>38.775746239</v>
      </c>
      <c r="F63" s="451">
        <f t="shared" ref="F63:G63" si="38">F50+F62</f>
        <v>45.921355086100007</v>
      </c>
      <c r="G63" s="451">
        <f t="shared" si="38"/>
        <v>49.884288119899999</v>
      </c>
      <c r="H63" s="451" t="e">
        <f t="shared" si="37"/>
        <v>#VALUE!</v>
      </c>
      <c r="I63" s="451" t="e">
        <f t="shared" ref="I63:J63" si="39">I50+I62</f>
        <v>#VALUE!</v>
      </c>
      <c r="J63" s="451" t="e">
        <f t="shared" si="39"/>
        <v>#VALUE!</v>
      </c>
      <c r="K63" s="463"/>
      <c r="L63" s="463"/>
      <c r="M63" s="463"/>
      <c r="N63" s="463"/>
      <c r="O63" s="463"/>
      <c r="P63" s="463"/>
      <c r="Q63" s="463"/>
      <c r="R63" s="470"/>
      <c r="S63" s="469"/>
      <c r="T63" s="469"/>
      <c r="U63" s="469"/>
      <c r="V63" s="469"/>
      <c r="W63" s="469"/>
      <c r="X63" s="469"/>
      <c r="Y63" s="469"/>
      <c r="Z63" s="469"/>
      <c r="AA63" s="469"/>
      <c r="AB63" s="469"/>
      <c r="AC63" s="469"/>
      <c r="AD63" s="469"/>
      <c r="AE63" s="469"/>
      <c r="AF63" s="469"/>
      <c r="AG63" s="469"/>
    </row>
    <row r="64" spans="1:33">
      <c r="A64" s="439"/>
      <c r="B64" s="457" t="s">
        <v>1486</v>
      </c>
      <c r="C64" s="442"/>
      <c r="D64" s="171">
        <f t="shared" ref="D64:H64" si="40">D32-D63</f>
        <v>0</v>
      </c>
      <c r="E64" s="171">
        <f t="shared" si="40"/>
        <v>0</v>
      </c>
      <c r="F64" s="171">
        <f t="shared" ref="F64:G64" si="41">F32-F63</f>
        <v>0</v>
      </c>
      <c r="G64" s="171">
        <f t="shared" si="41"/>
        <v>0</v>
      </c>
      <c r="H64" s="171" t="e">
        <f t="shared" si="40"/>
        <v>#VALUE!</v>
      </c>
      <c r="I64" s="171" t="e">
        <f t="shared" ref="I64:J64" si="42">I32-I63</f>
        <v>#VALUE!</v>
      </c>
      <c r="J64" s="171" t="e">
        <f t="shared" si="42"/>
        <v>#VALUE!</v>
      </c>
      <c r="K64" s="463"/>
      <c r="L64" s="463"/>
      <c r="M64" s="463"/>
      <c r="N64" s="463"/>
      <c r="O64" s="463"/>
      <c r="P64" s="463"/>
      <c r="Q64" s="463"/>
      <c r="R64" s="470"/>
      <c r="S64" s="469"/>
      <c r="T64" s="469"/>
      <c r="U64" s="469"/>
      <c r="V64" s="469"/>
      <c r="W64" s="469"/>
      <c r="X64" s="469"/>
      <c r="Y64" s="469"/>
      <c r="Z64" s="469"/>
      <c r="AA64" s="469"/>
      <c r="AB64" s="469"/>
      <c r="AC64" s="469"/>
      <c r="AD64" s="469"/>
      <c r="AE64" s="469"/>
      <c r="AF64" s="469"/>
      <c r="AG64" s="469"/>
    </row>
    <row r="65" spans="1:33">
      <c r="A65" s="439"/>
      <c r="B65" s="457" t="s">
        <v>1487</v>
      </c>
      <c r="C65" s="442"/>
      <c r="D65" s="270">
        <f>IF(ISERROR(D64/MAX(D32,D63)),0,D64/MAX(D32,D63))</f>
        <v>0</v>
      </c>
      <c r="E65" s="270">
        <f t="shared" ref="E65:H65" si="43">E64/MAX(E32,E63)</f>
        <v>0</v>
      </c>
      <c r="F65" s="270">
        <f t="shared" ref="F65:G65" si="44">F64/MAX(F32,F63)</f>
        <v>0</v>
      </c>
      <c r="G65" s="270">
        <f t="shared" si="44"/>
        <v>0</v>
      </c>
      <c r="H65" s="270" t="e">
        <f t="shared" si="43"/>
        <v>#VALUE!</v>
      </c>
      <c r="I65" s="270" t="e">
        <f t="shared" ref="I65:J65" si="45">I64/MAX(I32,I63)</f>
        <v>#VALUE!</v>
      </c>
      <c r="J65" s="270" t="e">
        <f t="shared" si="45"/>
        <v>#VALUE!</v>
      </c>
      <c r="K65" s="500"/>
      <c r="L65" s="501"/>
      <c r="M65" s="501"/>
      <c r="N65" s="501"/>
      <c r="O65" s="501"/>
      <c r="P65" s="501"/>
      <c r="Q65" s="501"/>
      <c r="R65" s="470"/>
      <c r="S65" s="469"/>
      <c r="T65" s="469"/>
      <c r="U65" s="469"/>
      <c r="V65" s="469"/>
      <c r="W65" s="469"/>
      <c r="X65" s="469"/>
      <c r="Y65" s="469"/>
      <c r="Z65" s="469"/>
      <c r="AA65" s="469"/>
      <c r="AB65" s="469"/>
      <c r="AC65" s="469"/>
      <c r="AD65" s="469"/>
      <c r="AE65" s="469"/>
      <c r="AF65" s="469"/>
      <c r="AG65" s="469"/>
    </row>
    <row r="66" spans="1:33" ht="15.35">
      <c r="A66" s="212"/>
      <c r="B66" s="474"/>
      <c r="C66" s="455"/>
      <c r="D66" s="296"/>
      <c r="E66" s="296"/>
      <c r="F66" s="296"/>
      <c r="G66" s="296"/>
      <c r="H66" s="296"/>
      <c r="I66" s="296"/>
      <c r="J66" s="296"/>
      <c r="K66" s="463"/>
      <c r="L66" s="463"/>
      <c r="M66" s="463"/>
      <c r="N66" s="463"/>
      <c r="O66" s="463"/>
      <c r="P66" s="463"/>
      <c r="Q66" s="463"/>
      <c r="R66" s="503"/>
      <c r="S66" s="504"/>
      <c r="T66" s="504"/>
      <c r="U66" s="504"/>
      <c r="V66" s="504"/>
      <c r="W66" s="504"/>
      <c r="X66" s="504"/>
      <c r="Y66" s="504"/>
      <c r="Z66" s="504"/>
      <c r="AA66" s="504"/>
      <c r="AB66" s="504"/>
      <c r="AC66" s="504"/>
      <c r="AD66" s="504"/>
      <c r="AE66" s="504"/>
      <c r="AF66" s="504"/>
      <c r="AG66" s="504"/>
    </row>
    <row r="67" spans="1:33" ht="15.35">
      <c r="A67" s="237" t="s">
        <v>1488</v>
      </c>
      <c r="B67" s="474"/>
      <c r="C67" s="455"/>
      <c r="D67" s="269"/>
      <c r="E67" s="269"/>
      <c r="F67" s="269"/>
      <c r="G67" s="269"/>
      <c r="H67" s="269"/>
      <c r="I67" s="269"/>
      <c r="J67" s="269"/>
      <c r="K67" s="463"/>
      <c r="L67" s="463"/>
      <c r="M67" s="463"/>
      <c r="N67" s="463"/>
      <c r="O67" s="463"/>
      <c r="P67" s="463"/>
      <c r="Q67" s="463"/>
      <c r="R67" s="503"/>
      <c r="S67" s="504"/>
      <c r="T67" s="504"/>
      <c r="U67" s="504"/>
      <c r="V67" s="504"/>
      <c r="W67" s="504"/>
      <c r="X67" s="504"/>
      <c r="Y67" s="504"/>
      <c r="Z67" s="504"/>
      <c r="AA67" s="504"/>
      <c r="AB67" s="504"/>
      <c r="AC67" s="504"/>
      <c r="AD67" s="504"/>
      <c r="AE67" s="504"/>
      <c r="AF67" s="504"/>
      <c r="AG67" s="504"/>
    </row>
    <row r="68" spans="1:33">
      <c r="A68" s="255"/>
      <c r="B68" s="475" t="s">
        <v>1489</v>
      </c>
      <c r="C68" s="442"/>
      <c r="D68" s="171">
        <f>'历史年度（简化）'!C64</f>
        <v>2.0656444515999999</v>
      </c>
      <c r="E68" s="171">
        <f>'历史年度（简化）'!D64</f>
        <v>6.0129907884999998</v>
      </c>
      <c r="F68" s="171">
        <f>'历史年度（简化）'!E64</f>
        <v>4.1000000000000002E-2</v>
      </c>
      <c r="G68" s="171">
        <f>'历史年度（简化）'!F64</f>
        <v>0.60194173890000002</v>
      </c>
      <c r="H68" s="171" t="e">
        <f>H34</f>
        <v>#VALUE!</v>
      </c>
      <c r="I68" s="171" t="e">
        <f t="shared" ref="I68:J68" si="46">I34</f>
        <v>#VALUE!</v>
      </c>
      <c r="J68" s="171" t="e">
        <f t="shared" si="46"/>
        <v>#VALUE!</v>
      </c>
      <c r="K68" s="463"/>
      <c r="L68" s="463"/>
      <c r="M68" s="463"/>
      <c r="N68" s="463"/>
      <c r="O68" s="463"/>
      <c r="P68" s="463"/>
      <c r="Q68" s="463"/>
      <c r="R68" s="503"/>
      <c r="S68" s="504"/>
      <c r="T68" s="504"/>
      <c r="U68" s="504"/>
      <c r="V68" s="504"/>
      <c r="W68" s="504"/>
      <c r="X68" s="504"/>
      <c r="Y68" s="504"/>
      <c r="Z68" s="504"/>
      <c r="AA68" s="504"/>
      <c r="AB68" s="504"/>
      <c r="AC68" s="504"/>
      <c r="AD68" s="504"/>
      <c r="AE68" s="504"/>
      <c r="AF68" s="504"/>
      <c r="AG68" s="504"/>
    </row>
    <row r="69" spans="1:33">
      <c r="A69" s="255"/>
      <c r="B69" s="475" t="s">
        <v>1490</v>
      </c>
      <c r="C69" s="442"/>
      <c r="D69" s="171">
        <f>'历史年度（简化）'!C72+'历史年度（简化）'!C73</f>
        <v>0.12</v>
      </c>
      <c r="E69" s="171">
        <f>'历史年度（简化）'!D72+'历史年度（简化）'!D73</f>
        <v>0.82563432859999997</v>
      </c>
      <c r="F69" s="171">
        <f>'历史年度（简化）'!E72+'历史年度（简化）'!E73</f>
        <v>0</v>
      </c>
      <c r="G69" s="171">
        <f>'历史年度（简化）'!F72+'历史年度（简化）'!F73</f>
        <v>0</v>
      </c>
      <c r="H69" s="171" t="e">
        <f>H44</f>
        <v>#VALUE!</v>
      </c>
      <c r="I69" s="171" t="e">
        <f t="shared" ref="I69:J69" si="47">I44</f>
        <v>#VALUE!</v>
      </c>
      <c r="J69" s="171" t="e">
        <f t="shared" si="47"/>
        <v>#VALUE!</v>
      </c>
      <c r="K69" s="463"/>
      <c r="L69" s="463"/>
      <c r="M69" s="463"/>
      <c r="N69" s="463"/>
      <c r="O69" s="463"/>
      <c r="P69" s="463"/>
      <c r="Q69" s="463"/>
      <c r="R69" s="503"/>
      <c r="S69" s="504"/>
      <c r="T69" s="504"/>
      <c r="U69" s="504"/>
      <c r="V69" s="504"/>
      <c r="W69" s="504"/>
      <c r="X69" s="504"/>
      <c r="Y69" s="504"/>
      <c r="Z69" s="504"/>
      <c r="AA69" s="504"/>
      <c r="AB69" s="504"/>
      <c r="AC69" s="504"/>
      <c r="AD69" s="504"/>
      <c r="AE69" s="504"/>
      <c r="AF69" s="504"/>
      <c r="AG69" s="504"/>
    </row>
    <row r="70" spans="1:33">
      <c r="A70" s="255"/>
      <c r="B70" s="475" t="s">
        <v>1491</v>
      </c>
      <c r="C70" s="442"/>
      <c r="D70" s="171">
        <f t="shared" ref="D70:H70" si="48">D68+D69</f>
        <v>2.1856444516</v>
      </c>
      <c r="E70" s="171">
        <f t="shared" si="48"/>
        <v>6.8386251170999994</v>
      </c>
      <c r="F70" s="171">
        <f t="shared" ref="F70:G70" si="49">F68+F69</f>
        <v>4.1000000000000002E-2</v>
      </c>
      <c r="G70" s="171">
        <f t="shared" si="49"/>
        <v>0.60194173890000002</v>
      </c>
      <c r="H70" s="171" t="e">
        <f t="shared" si="48"/>
        <v>#VALUE!</v>
      </c>
      <c r="I70" s="171" t="e">
        <f t="shared" ref="I70:J70" si="50">I68+I69</f>
        <v>#VALUE!</v>
      </c>
      <c r="J70" s="171" t="e">
        <f t="shared" si="50"/>
        <v>#VALUE!</v>
      </c>
      <c r="K70" s="463"/>
      <c r="L70" s="463"/>
      <c r="M70" s="463"/>
      <c r="N70" s="463"/>
      <c r="O70" s="463"/>
      <c r="P70" s="463"/>
      <c r="Q70" s="463"/>
      <c r="R70" s="503"/>
      <c r="S70" s="504"/>
      <c r="T70" s="504"/>
      <c r="U70" s="504"/>
      <c r="V70" s="504"/>
      <c r="W70" s="504"/>
      <c r="X70" s="504"/>
      <c r="Y70" s="504"/>
      <c r="Z70" s="504"/>
      <c r="AA70" s="504"/>
      <c r="AB70" s="504"/>
      <c r="AC70" s="504"/>
      <c r="AD70" s="504"/>
      <c r="AE70" s="504"/>
      <c r="AF70" s="504"/>
      <c r="AG70" s="504"/>
    </row>
    <row r="71" spans="1:33" ht="15.35">
      <c r="A71" s="212"/>
      <c r="B71" s="474"/>
      <c r="C71" s="455"/>
      <c r="D71" s="423"/>
      <c r="E71" s="423"/>
      <c r="F71" s="423"/>
      <c r="G71" s="423"/>
      <c r="H71" s="423"/>
      <c r="I71" s="423"/>
      <c r="J71" s="423"/>
      <c r="K71" s="463"/>
      <c r="L71" s="463"/>
      <c r="M71" s="463"/>
      <c r="N71" s="463"/>
      <c r="O71" s="463"/>
      <c r="P71" s="463"/>
      <c r="Q71" s="463"/>
      <c r="R71" s="503"/>
      <c r="S71" s="504"/>
      <c r="T71" s="504"/>
      <c r="U71" s="504"/>
      <c r="V71" s="504"/>
      <c r="W71" s="504"/>
      <c r="X71" s="504"/>
      <c r="Y71" s="504"/>
      <c r="Z71" s="504"/>
      <c r="AA71" s="504"/>
      <c r="AB71" s="504"/>
      <c r="AC71" s="504"/>
      <c r="AD71" s="504"/>
      <c r="AE71" s="504"/>
      <c r="AF71" s="504"/>
      <c r="AG71" s="504"/>
    </row>
    <row r="72" spans="1:33">
      <c r="A72" s="476"/>
      <c r="B72" s="477" t="s">
        <v>1492</v>
      </c>
      <c r="C72" s="455"/>
      <c r="D72" s="451"/>
      <c r="E72" s="451">
        <f t="shared" ref="E72:H72" si="51">E70-D70</f>
        <v>4.6529806654999994</v>
      </c>
      <c r="F72" s="451">
        <f t="shared" ref="F72" si="52">F70-E70</f>
        <v>-6.7976251170999991</v>
      </c>
      <c r="G72" s="451">
        <f t="shared" ref="G72" si="53">G70-F70</f>
        <v>0.56094173889999999</v>
      </c>
      <c r="H72" s="451" t="e">
        <f t="shared" si="51"/>
        <v>#VALUE!</v>
      </c>
      <c r="I72" s="451" t="e">
        <f t="shared" ref="I72" si="54">I70-H70</f>
        <v>#VALUE!</v>
      </c>
      <c r="J72" s="451" t="e">
        <f t="shared" ref="J72" si="55">J70-I70</f>
        <v>#VALUE!</v>
      </c>
      <c r="K72" s="463"/>
      <c r="L72" s="463"/>
      <c r="M72" s="463"/>
      <c r="N72" s="463"/>
      <c r="O72" s="463"/>
      <c r="P72" s="463"/>
      <c r="Q72" s="463"/>
      <c r="R72" s="503"/>
      <c r="S72" s="504"/>
      <c r="T72" s="504"/>
      <c r="U72" s="504"/>
      <c r="V72" s="504"/>
      <c r="W72" s="504"/>
      <c r="X72" s="504"/>
      <c r="Y72" s="504"/>
      <c r="Z72" s="504"/>
      <c r="AA72" s="504"/>
      <c r="AB72" s="504"/>
      <c r="AC72" s="504"/>
      <c r="AD72" s="504"/>
      <c r="AE72" s="504"/>
      <c r="AF72" s="504"/>
      <c r="AG72" s="504"/>
    </row>
    <row r="73" spans="1:33">
      <c r="A73" s="422"/>
      <c r="B73" s="478"/>
      <c r="C73" s="455"/>
      <c r="D73" s="109"/>
      <c r="E73" s="109"/>
      <c r="F73" s="426"/>
      <c r="G73" s="426"/>
      <c r="H73" s="109"/>
      <c r="I73" s="426"/>
      <c r="J73" s="426"/>
      <c r="K73" s="463"/>
      <c r="L73" s="463"/>
      <c r="M73" s="463"/>
      <c r="N73" s="463"/>
      <c r="O73" s="463"/>
      <c r="P73" s="463"/>
      <c r="Q73" s="463"/>
      <c r="R73" s="503"/>
      <c r="S73" s="504"/>
      <c r="T73" s="504"/>
      <c r="U73" s="504"/>
      <c r="V73" s="504"/>
      <c r="W73" s="504"/>
      <c r="X73" s="504"/>
      <c r="Y73" s="504"/>
      <c r="Z73" s="504"/>
      <c r="AA73" s="504"/>
      <c r="AB73" s="504"/>
      <c r="AC73" s="504"/>
      <c r="AD73" s="504"/>
      <c r="AE73" s="504"/>
      <c r="AF73" s="504"/>
      <c r="AG73" s="504"/>
    </row>
    <row r="74" spans="1:33">
      <c r="A74" s="479" t="s">
        <v>1493</v>
      </c>
      <c r="B74" s="480"/>
      <c r="C74" s="455"/>
      <c r="D74" s="109"/>
      <c r="E74" s="109"/>
      <c r="F74" s="426"/>
      <c r="G74" s="426"/>
      <c r="H74" s="109"/>
      <c r="I74" s="426"/>
      <c r="J74" s="426"/>
      <c r="K74" s="463"/>
      <c r="L74" s="463"/>
      <c r="M74" s="463"/>
      <c r="N74" s="463"/>
      <c r="O74" s="463"/>
      <c r="P74" s="463"/>
      <c r="Q74" s="463"/>
      <c r="R74" s="503"/>
      <c r="S74" s="504"/>
      <c r="T74" s="504"/>
      <c r="U74" s="504"/>
      <c r="V74" s="504"/>
      <c r="W74" s="504"/>
      <c r="X74" s="504"/>
      <c r="Y74" s="504"/>
      <c r="Z74" s="504"/>
      <c r="AA74" s="504"/>
      <c r="AB74" s="504"/>
      <c r="AC74" s="504"/>
      <c r="AD74" s="504"/>
      <c r="AE74" s="504"/>
      <c r="AF74" s="504"/>
      <c r="AG74" s="504"/>
    </row>
    <row r="75" spans="1:33">
      <c r="A75" s="415"/>
      <c r="B75" s="475" t="s">
        <v>527</v>
      </c>
      <c r="C75" s="442"/>
      <c r="D75" s="171">
        <f>'历史年度（简化）'!C48</f>
        <v>9.3108911330999966</v>
      </c>
      <c r="E75" s="171">
        <f>'历史年度（简化）'!D48</f>
        <v>12.929956285800001</v>
      </c>
      <c r="F75" s="171">
        <f>'历史年度（简化）'!E48</f>
        <v>15.951395850700001</v>
      </c>
      <c r="G75" s="171">
        <f>'历史年度（简化）'!F48</f>
        <v>17.522968754799994</v>
      </c>
      <c r="H75" s="171" t="e">
        <f>H19</f>
        <v>#VALUE!</v>
      </c>
      <c r="I75" s="171" t="e">
        <f t="shared" ref="I75:J75" si="56">I19</f>
        <v>#VALUE!</v>
      </c>
      <c r="J75" s="171" t="e">
        <f t="shared" si="56"/>
        <v>#VALUE!</v>
      </c>
      <c r="K75" s="463"/>
      <c r="L75" s="463"/>
      <c r="M75" s="463"/>
      <c r="N75" s="463"/>
      <c r="O75" s="463"/>
      <c r="P75" s="463"/>
      <c r="Q75" s="463"/>
      <c r="R75" s="503"/>
      <c r="S75" s="504"/>
      <c r="T75" s="504"/>
      <c r="U75" s="504"/>
      <c r="V75" s="504"/>
      <c r="W75" s="504"/>
      <c r="X75" s="504"/>
      <c r="Y75" s="504"/>
      <c r="Z75" s="504"/>
      <c r="AA75" s="504"/>
      <c r="AB75" s="504"/>
      <c r="AC75" s="504"/>
      <c r="AD75" s="504"/>
      <c r="AE75" s="504"/>
      <c r="AF75" s="504"/>
      <c r="AG75" s="504"/>
    </row>
    <row r="76" spans="1:33">
      <c r="A76" s="265" t="s">
        <v>858</v>
      </c>
      <c r="B76" s="475" t="s">
        <v>1494</v>
      </c>
      <c r="C76" s="442"/>
      <c r="D76" s="171">
        <f>IF(D7-筹资!$B$9*预测利润表!D7&gt;0,D7-筹资!$B$9*预测利润表!D7,0)</f>
        <v>0.83475114615099988</v>
      </c>
      <c r="E76" s="171">
        <f>IF(E7-筹资!$B$9*预测利润表!E7&gt;0,E7-筹资!$B$9*预测利润表!E7,0)</f>
        <v>1.4057535183500001</v>
      </c>
      <c r="F76" s="171">
        <f>IF(F7-筹资!$B$9*预测利润表!F7&gt;0,F7-筹资!$B$9*预测利润表!F7,0)</f>
        <v>2.3672176662200002</v>
      </c>
      <c r="G76" s="171">
        <f>IF(G7-筹资!$B$9*预测利润表!G7&gt;0,G7-筹资!$B$9*预测利润表!G7,0)</f>
        <v>2.2959399490379995</v>
      </c>
      <c r="H76" s="171" t="e">
        <f>IF(H7-筹资!$B$9*预测利润表!H7&gt;0,H7-筹资!$B$9*预测利润表!H7,0)</f>
        <v>#VALUE!</v>
      </c>
      <c r="I76" s="171" t="e">
        <f>IF(I7-筹资!$B$9*预测利润表!I7&gt;0,I7-筹资!$B$9*预测利润表!I7,0)</f>
        <v>#VALUE!</v>
      </c>
      <c r="J76" s="171" t="e">
        <f>IF(J7-筹资!$B$9*预测利润表!J7&gt;0,J7-筹资!$B$9*预测利润表!J7,0)</f>
        <v>#VALUE!</v>
      </c>
      <c r="K76" s="463"/>
      <c r="L76" s="463"/>
      <c r="M76" s="463"/>
      <c r="N76" s="463"/>
      <c r="O76" s="463"/>
      <c r="P76" s="463"/>
      <c r="Q76" s="463"/>
      <c r="R76" s="503"/>
      <c r="S76" s="504"/>
      <c r="T76" s="504"/>
      <c r="U76" s="504"/>
      <c r="V76" s="504"/>
      <c r="W76" s="504"/>
      <c r="X76" s="504"/>
      <c r="Y76" s="504"/>
      <c r="Z76" s="504"/>
      <c r="AA76" s="504"/>
      <c r="AB76" s="504"/>
      <c r="AC76" s="504"/>
      <c r="AD76" s="504"/>
      <c r="AE76" s="504"/>
      <c r="AF76" s="504"/>
      <c r="AG76" s="504"/>
    </row>
    <row r="77" spans="1:33">
      <c r="A77" s="265"/>
      <c r="B77" s="475" t="s">
        <v>1495</v>
      </c>
      <c r="C77" s="442"/>
      <c r="D77" s="171">
        <f>'历史年度（简化）'!C41</f>
        <v>0</v>
      </c>
      <c r="E77" s="171">
        <f>'历史年度（简化）'!D41</f>
        <v>0</v>
      </c>
      <c r="F77" s="171">
        <f>'历史年度（简化）'!E41</f>
        <v>0</v>
      </c>
      <c r="G77" s="171">
        <f>'历史年度（简化）'!F41</f>
        <v>0</v>
      </c>
      <c r="H77" s="171">
        <f>H8</f>
        <v>0</v>
      </c>
      <c r="I77" s="171">
        <f t="shared" ref="I77:J77" si="57">I8</f>
        <v>0</v>
      </c>
      <c r="J77" s="171">
        <f t="shared" si="57"/>
        <v>0</v>
      </c>
      <c r="K77" s="463"/>
      <c r="L77" s="463"/>
      <c r="M77" s="463"/>
      <c r="N77" s="463"/>
      <c r="O77" s="463"/>
      <c r="P77" s="463"/>
      <c r="Q77" s="463"/>
      <c r="R77" s="503"/>
      <c r="S77" s="504"/>
      <c r="T77" s="504"/>
      <c r="U77" s="504"/>
      <c r="V77" s="504"/>
      <c r="W77" s="504"/>
      <c r="X77" s="504"/>
      <c r="Y77" s="504"/>
      <c r="Z77" s="504"/>
      <c r="AA77" s="504"/>
      <c r="AB77" s="504"/>
      <c r="AC77" s="504"/>
      <c r="AD77" s="504"/>
      <c r="AE77" s="504"/>
      <c r="AF77" s="504"/>
      <c r="AG77" s="504"/>
    </row>
    <row r="78" spans="1:33">
      <c r="A78" s="415" t="s">
        <v>1496</v>
      </c>
      <c r="B78" s="481" t="s">
        <v>1497</v>
      </c>
      <c r="C78" s="442"/>
      <c r="D78" s="451">
        <f t="shared" ref="D78:H78" si="58">D75-D76-D77</f>
        <v>8.4761399869489971</v>
      </c>
      <c r="E78" s="451">
        <f t="shared" si="58"/>
        <v>11.524202767450001</v>
      </c>
      <c r="F78" s="451">
        <f t="shared" ref="F78:G78" si="59">F75-F76-F77</f>
        <v>13.584178184480001</v>
      </c>
      <c r="G78" s="451">
        <f t="shared" si="59"/>
        <v>15.227028805761995</v>
      </c>
      <c r="H78" s="451" t="e">
        <f t="shared" si="58"/>
        <v>#VALUE!</v>
      </c>
      <c r="I78" s="451" t="e">
        <f t="shared" ref="I78:J78" si="60">I75-I76-I77</f>
        <v>#VALUE!</v>
      </c>
      <c r="J78" s="451" t="e">
        <f t="shared" si="60"/>
        <v>#VALUE!</v>
      </c>
      <c r="K78" s="463"/>
      <c r="L78" s="463"/>
      <c r="M78" s="463"/>
      <c r="N78" s="463"/>
      <c r="O78" s="463"/>
      <c r="P78" s="463"/>
      <c r="Q78" s="463"/>
      <c r="R78" s="503"/>
      <c r="S78" s="504"/>
      <c r="T78" s="504"/>
      <c r="U78" s="504"/>
      <c r="V78" s="504"/>
      <c r="W78" s="504"/>
      <c r="X78" s="504"/>
      <c r="Y78" s="504"/>
      <c r="Z78" s="504"/>
      <c r="AA78" s="504"/>
      <c r="AB78" s="504"/>
      <c r="AC78" s="504"/>
      <c r="AD78" s="504"/>
      <c r="AE78" s="504"/>
      <c r="AF78" s="504"/>
      <c r="AG78" s="504"/>
    </row>
    <row r="79" spans="1:33">
      <c r="A79" s="415"/>
      <c r="B79" s="475"/>
      <c r="C79" s="482"/>
      <c r="D79" s="423"/>
      <c r="E79" s="423"/>
      <c r="F79" s="423"/>
      <c r="G79" s="423"/>
      <c r="H79" s="423"/>
      <c r="I79" s="423"/>
      <c r="J79" s="423"/>
      <c r="K79" s="463"/>
      <c r="L79" s="463"/>
      <c r="M79" s="463"/>
      <c r="N79" s="463"/>
      <c r="O79" s="463"/>
      <c r="P79" s="463"/>
      <c r="Q79" s="463"/>
      <c r="R79" s="503"/>
      <c r="S79" s="504"/>
      <c r="T79" s="504"/>
      <c r="U79" s="504"/>
      <c r="V79" s="504"/>
      <c r="W79" s="504"/>
      <c r="X79" s="504"/>
      <c r="Y79" s="504"/>
      <c r="Z79" s="504"/>
      <c r="AA79" s="504"/>
      <c r="AB79" s="504"/>
      <c r="AC79" s="504"/>
      <c r="AD79" s="504"/>
      <c r="AE79" s="504"/>
      <c r="AF79" s="504"/>
      <c r="AG79" s="504"/>
    </row>
    <row r="80" spans="1:33">
      <c r="A80" s="415"/>
      <c r="B80" s="475" t="s">
        <v>1498</v>
      </c>
      <c r="C80" s="442"/>
      <c r="D80" s="171">
        <f>'历史年度（简化）'!C71</f>
        <v>6.0330034116999993</v>
      </c>
      <c r="E80" s="171">
        <f>'历史年度（简化）'!D71</f>
        <v>11.296087237799998</v>
      </c>
      <c r="F80" s="171">
        <f>'历史年度（简化）'!E71</f>
        <v>5.4142786160000007</v>
      </c>
      <c r="G80" s="171">
        <f>'历史年度（简化）'!F71</f>
        <v>6.3077305111999991</v>
      </c>
      <c r="H80" s="171" t="e">
        <f>H43</f>
        <v>#VALUE!</v>
      </c>
      <c r="I80" s="171" t="e">
        <f t="shared" ref="I80:J80" si="61">I43</f>
        <v>#VALUE!</v>
      </c>
      <c r="J80" s="171" t="e">
        <f t="shared" si="61"/>
        <v>#VALUE!</v>
      </c>
      <c r="K80" s="463"/>
      <c r="L80" s="463"/>
      <c r="M80" s="463"/>
      <c r="N80" s="463"/>
      <c r="O80" s="463"/>
      <c r="P80" s="463"/>
      <c r="Q80" s="463"/>
      <c r="R80" s="503"/>
      <c r="S80" s="504"/>
      <c r="T80" s="504"/>
      <c r="U80" s="504"/>
      <c r="V80" s="504"/>
      <c r="W80" s="504"/>
      <c r="X80" s="504"/>
      <c r="Y80" s="504"/>
      <c r="Z80" s="504"/>
      <c r="AA80" s="504"/>
      <c r="AB80" s="504"/>
      <c r="AC80" s="504"/>
      <c r="AD80" s="504"/>
      <c r="AE80" s="504"/>
      <c r="AF80" s="504"/>
      <c r="AG80" s="504"/>
    </row>
    <row r="81" spans="1:33">
      <c r="A81" s="265" t="s">
        <v>858</v>
      </c>
      <c r="B81" s="475" t="s">
        <v>915</v>
      </c>
      <c r="C81" s="442"/>
      <c r="D81" s="171">
        <f>'历史年度（简化）'!C64</f>
        <v>2.0656444515999999</v>
      </c>
      <c r="E81" s="171">
        <f>'历史年度（简化）'!D64</f>
        <v>6.0129907884999998</v>
      </c>
      <c r="F81" s="171">
        <f>'历史年度（简化）'!E64</f>
        <v>4.1000000000000002E-2</v>
      </c>
      <c r="G81" s="171">
        <f>'历史年度（简化）'!F64</f>
        <v>0.60194173890000002</v>
      </c>
      <c r="H81" s="171" t="e">
        <f t="shared" ref="H81:J82" si="62">H34</f>
        <v>#VALUE!</v>
      </c>
      <c r="I81" s="171" t="e">
        <f t="shared" ref="I81:J81" si="63">I34</f>
        <v>#VALUE!</v>
      </c>
      <c r="J81" s="171" t="e">
        <f t="shared" si="63"/>
        <v>#VALUE!</v>
      </c>
      <c r="K81" s="463"/>
      <c r="L81" s="463"/>
      <c r="M81" s="463"/>
      <c r="N81" s="463"/>
      <c r="O81" s="463"/>
      <c r="P81" s="463"/>
      <c r="Q81" s="463"/>
      <c r="R81" s="503"/>
      <c r="S81" s="504"/>
      <c r="T81" s="504"/>
      <c r="U81" s="504"/>
      <c r="V81" s="504"/>
      <c r="W81" s="504"/>
      <c r="X81" s="504"/>
      <c r="Y81" s="504"/>
      <c r="Z81" s="504"/>
      <c r="AA81" s="504"/>
      <c r="AB81" s="504"/>
      <c r="AC81" s="504"/>
      <c r="AD81" s="504"/>
      <c r="AE81" s="504"/>
      <c r="AF81" s="504"/>
      <c r="AG81" s="504"/>
    </row>
    <row r="82" spans="1:33">
      <c r="A82" s="415"/>
      <c r="B82" s="475" t="s">
        <v>1499</v>
      </c>
      <c r="C82" s="442"/>
      <c r="D82" s="171">
        <f>'历史年度（简化）'!C65</f>
        <v>0</v>
      </c>
      <c r="E82" s="171">
        <f>'历史年度（简化）'!D65</f>
        <v>0</v>
      </c>
      <c r="F82" s="171">
        <f>'历史年度（简化）'!E65</f>
        <v>0</v>
      </c>
      <c r="G82" s="171">
        <f>'历史年度（简化）'!F65</f>
        <v>0</v>
      </c>
      <c r="H82" s="171">
        <f t="shared" si="62"/>
        <v>0</v>
      </c>
      <c r="I82" s="171">
        <f t="shared" ref="I82:J82" si="64">I35</f>
        <v>0</v>
      </c>
      <c r="J82" s="171">
        <f t="shared" si="64"/>
        <v>0</v>
      </c>
      <c r="K82" s="502"/>
      <c r="L82" s="463"/>
      <c r="M82" s="463"/>
      <c r="N82" s="463"/>
      <c r="O82" s="463"/>
      <c r="P82" s="463"/>
      <c r="Q82" s="463"/>
      <c r="R82" s="503"/>
      <c r="S82" s="504"/>
      <c r="T82" s="504"/>
      <c r="U82" s="504"/>
      <c r="V82" s="504"/>
      <c r="W82" s="504"/>
      <c r="X82" s="504"/>
      <c r="Y82" s="504"/>
      <c r="Z82" s="504"/>
      <c r="AA82" s="504"/>
      <c r="AB82" s="504"/>
      <c r="AC82" s="504"/>
      <c r="AD82" s="504"/>
      <c r="AE82" s="504"/>
      <c r="AF82" s="504"/>
      <c r="AG82" s="504"/>
    </row>
    <row r="83" spans="1:33">
      <c r="A83" s="415" t="s">
        <v>1496</v>
      </c>
      <c r="B83" s="481" t="s">
        <v>1500</v>
      </c>
      <c r="C83" s="442"/>
      <c r="D83" s="451">
        <f t="shared" ref="D83:H83" si="65">D80-D81-D82</f>
        <v>3.9673589600999994</v>
      </c>
      <c r="E83" s="451">
        <f t="shared" si="65"/>
        <v>5.2830964492999986</v>
      </c>
      <c r="F83" s="451">
        <f t="shared" ref="F83:G83" si="66">F80-F81-F82</f>
        <v>5.3732786160000003</v>
      </c>
      <c r="G83" s="451">
        <f t="shared" si="66"/>
        <v>5.7057887722999991</v>
      </c>
      <c r="H83" s="451" t="e">
        <f t="shared" si="65"/>
        <v>#VALUE!</v>
      </c>
      <c r="I83" s="451" t="e">
        <f t="shared" ref="I83:J83" si="67">I80-I81-I82</f>
        <v>#VALUE!</v>
      </c>
      <c r="J83" s="451" t="e">
        <f t="shared" si="67"/>
        <v>#VALUE!</v>
      </c>
      <c r="K83" s="463"/>
      <c r="L83" s="463"/>
      <c r="M83" s="463"/>
      <c r="N83" s="463"/>
      <c r="O83" s="463"/>
      <c r="P83" s="463"/>
      <c r="Q83" s="463"/>
      <c r="R83" s="503"/>
      <c r="S83" s="504"/>
      <c r="T83" s="504"/>
      <c r="U83" s="504"/>
      <c r="V83" s="504"/>
      <c r="W83" s="504"/>
      <c r="X83" s="504"/>
      <c r="Y83" s="504"/>
      <c r="Z83" s="504"/>
      <c r="AA83" s="504"/>
      <c r="AB83" s="504"/>
      <c r="AC83" s="504"/>
      <c r="AD83" s="504"/>
      <c r="AE83" s="504"/>
      <c r="AF83" s="504"/>
      <c r="AG83" s="504"/>
    </row>
    <row r="84" spans="1:33">
      <c r="A84" s="415"/>
      <c r="B84" s="475"/>
      <c r="C84" s="482"/>
      <c r="D84" s="423"/>
      <c r="E84" s="423"/>
      <c r="F84" s="423"/>
      <c r="G84" s="423"/>
      <c r="H84" s="423"/>
      <c r="I84" s="423"/>
      <c r="J84" s="423"/>
      <c r="K84" s="463"/>
      <c r="L84" s="463"/>
      <c r="M84" s="463"/>
      <c r="N84" s="463"/>
      <c r="O84" s="463"/>
      <c r="P84" s="463"/>
      <c r="Q84" s="463"/>
      <c r="R84" s="503"/>
      <c r="S84" s="504"/>
      <c r="T84" s="504"/>
      <c r="U84" s="504"/>
      <c r="V84" s="504"/>
      <c r="W84" s="504"/>
      <c r="X84" s="504"/>
      <c r="Y84" s="504"/>
      <c r="Z84" s="504"/>
      <c r="AA84" s="504"/>
      <c r="AB84" s="504"/>
      <c r="AC84" s="504"/>
      <c r="AD84" s="504"/>
      <c r="AE84" s="504"/>
      <c r="AF84" s="504"/>
      <c r="AG84" s="504"/>
    </row>
    <row r="85" spans="1:33">
      <c r="A85" s="415"/>
      <c r="B85" s="483" t="s">
        <v>1493</v>
      </c>
      <c r="C85" s="442"/>
      <c r="D85" s="451">
        <f t="shared" ref="D85:H85" si="68">D78-D83</f>
        <v>4.5087810268489976</v>
      </c>
      <c r="E85" s="451">
        <f t="shared" si="68"/>
        <v>6.2411063181500026</v>
      </c>
      <c r="F85" s="451">
        <f t="shared" ref="F85:G85" si="69">F78-F83</f>
        <v>8.2108995684800004</v>
      </c>
      <c r="G85" s="451">
        <f t="shared" si="69"/>
        <v>9.5212400334619964</v>
      </c>
      <c r="H85" s="451" t="e">
        <f t="shared" si="68"/>
        <v>#VALUE!</v>
      </c>
      <c r="I85" s="451" t="e">
        <f t="shared" ref="I85:J85" si="70">I78-I83</f>
        <v>#VALUE!</v>
      </c>
      <c r="J85" s="451" t="e">
        <f t="shared" si="70"/>
        <v>#VALUE!</v>
      </c>
      <c r="K85" s="463"/>
      <c r="L85" s="463"/>
      <c r="M85" s="463"/>
      <c r="N85" s="463"/>
      <c r="O85" s="463"/>
      <c r="P85" s="463"/>
      <c r="Q85" s="463"/>
      <c r="R85" s="503"/>
      <c r="S85" s="504"/>
      <c r="T85" s="504"/>
      <c r="U85" s="504"/>
      <c r="V85" s="504"/>
      <c r="W85" s="504"/>
      <c r="X85" s="504"/>
      <c r="Y85" s="504"/>
      <c r="Z85" s="504"/>
      <c r="AA85" s="504"/>
      <c r="AB85" s="504"/>
      <c r="AC85" s="504"/>
      <c r="AD85" s="504"/>
      <c r="AE85" s="504"/>
      <c r="AF85" s="504"/>
      <c r="AG85" s="504"/>
    </row>
    <row r="86" spans="1:33">
      <c r="A86" s="415"/>
      <c r="B86" s="484" t="s">
        <v>1501</v>
      </c>
      <c r="C86" s="442"/>
      <c r="D86" s="485"/>
      <c r="E86" s="485">
        <f t="shared" ref="E86:H86" si="71">E85-D85</f>
        <v>1.732325291301005</v>
      </c>
      <c r="F86" s="485">
        <f t="shared" ref="F86" si="72">F85-E85</f>
        <v>1.9697932503299977</v>
      </c>
      <c r="G86" s="485">
        <f t="shared" ref="G86" si="73">G85-F85</f>
        <v>1.3103404649819961</v>
      </c>
      <c r="H86" s="485" t="e">
        <f t="shared" si="71"/>
        <v>#VALUE!</v>
      </c>
      <c r="I86" s="485" t="e">
        <f t="shared" ref="I86" si="74">I85-H85</f>
        <v>#VALUE!</v>
      </c>
      <c r="J86" s="485" t="e">
        <f t="shared" ref="J86" si="75">J85-I85</f>
        <v>#VALUE!</v>
      </c>
      <c r="K86" s="463"/>
      <c r="L86" s="463"/>
      <c r="M86" s="463"/>
      <c r="N86" s="463"/>
      <c r="O86" s="463"/>
      <c r="P86" s="463"/>
      <c r="Q86" s="463"/>
      <c r="R86" s="503"/>
      <c r="S86" s="504"/>
      <c r="T86" s="504"/>
      <c r="U86" s="504"/>
      <c r="V86" s="504"/>
      <c r="W86" s="504"/>
      <c r="X86" s="504"/>
      <c r="Y86" s="504"/>
      <c r="Z86" s="504"/>
      <c r="AA86" s="504"/>
      <c r="AB86" s="504"/>
      <c r="AC86" s="504"/>
      <c r="AD86" s="504"/>
      <c r="AE86" s="504"/>
      <c r="AF86" s="504"/>
      <c r="AG86" s="504"/>
    </row>
    <row r="87" spans="1:33">
      <c r="A87" s="425"/>
      <c r="B87" s="478"/>
      <c r="C87" s="455"/>
      <c r="D87" s="296"/>
      <c r="E87" s="296"/>
      <c r="F87" s="296"/>
      <c r="G87" s="296"/>
      <c r="H87" s="296"/>
      <c r="I87" s="296"/>
      <c r="J87" s="296"/>
      <c r="K87" s="463"/>
      <c r="L87" s="463"/>
      <c r="M87" s="463"/>
      <c r="N87" s="463"/>
      <c r="O87" s="463"/>
      <c r="P87" s="463"/>
      <c r="Q87" s="463"/>
      <c r="R87" s="503"/>
      <c r="S87" s="504"/>
      <c r="T87" s="504"/>
      <c r="U87" s="504"/>
      <c r="V87" s="504"/>
      <c r="W87" s="504"/>
      <c r="X87" s="504"/>
      <c r="Y87" s="504"/>
      <c r="Z87" s="504"/>
      <c r="AA87" s="504"/>
      <c r="AB87" s="504"/>
      <c r="AC87" s="504"/>
      <c r="AD87" s="504"/>
      <c r="AE87" s="504"/>
      <c r="AF87" s="504"/>
      <c r="AG87" s="504"/>
    </row>
    <row r="88" spans="1:33">
      <c r="A88" s="486" t="s">
        <v>1502</v>
      </c>
      <c r="B88" s="487"/>
      <c r="C88" s="455"/>
      <c r="D88" s="269"/>
      <c r="E88" s="269"/>
      <c r="F88" s="269"/>
      <c r="G88" s="269"/>
      <c r="H88" s="269"/>
      <c r="I88" s="269"/>
      <c r="J88" s="269"/>
      <c r="K88" s="463"/>
      <c r="L88" s="463"/>
      <c r="M88" s="463"/>
      <c r="N88" s="463"/>
      <c r="O88" s="463"/>
      <c r="P88" s="463"/>
      <c r="Q88" s="463"/>
      <c r="R88" s="503"/>
      <c r="S88" s="504"/>
      <c r="T88" s="504"/>
      <c r="U88" s="504"/>
      <c r="V88" s="504"/>
      <c r="W88" s="504"/>
      <c r="X88" s="504"/>
      <c r="Y88" s="504"/>
      <c r="Z88" s="504"/>
      <c r="AA88" s="504"/>
      <c r="AB88" s="504"/>
      <c r="AC88" s="504"/>
      <c r="AD88" s="504"/>
      <c r="AE88" s="504"/>
      <c r="AF88" s="504"/>
      <c r="AG88" s="504"/>
    </row>
    <row r="89" spans="1:33">
      <c r="A89" s="255"/>
      <c r="B89" s="484" t="s">
        <v>1503</v>
      </c>
      <c r="C89" s="442"/>
      <c r="D89" s="171">
        <f t="shared" ref="D89:H89" si="76">D60</f>
        <v>24.0916247181</v>
      </c>
      <c r="E89" s="171">
        <f t="shared" si="76"/>
        <v>26.670187657</v>
      </c>
      <c r="F89" s="171">
        <f t="shared" ref="F89:G89" si="77">F60</f>
        <v>40.034909933800002</v>
      </c>
      <c r="G89" s="171">
        <f t="shared" si="77"/>
        <v>42.982693021499998</v>
      </c>
      <c r="H89" s="171" t="e">
        <f t="shared" si="76"/>
        <v>#VALUE!</v>
      </c>
      <c r="I89" s="171" t="e">
        <f t="shared" ref="I89:J89" si="78">I60</f>
        <v>#VALUE!</v>
      </c>
      <c r="J89" s="171" t="e">
        <f t="shared" si="78"/>
        <v>#VALUE!</v>
      </c>
      <c r="K89" s="463"/>
      <c r="L89" s="463"/>
      <c r="M89" s="463"/>
      <c r="N89" s="463"/>
      <c r="O89" s="463"/>
      <c r="P89" s="463"/>
      <c r="Q89" s="463"/>
      <c r="R89" s="503"/>
      <c r="S89" s="504"/>
      <c r="T89" s="504"/>
      <c r="U89" s="504"/>
      <c r="V89" s="504"/>
      <c r="W89" s="504"/>
      <c r="X89" s="504"/>
      <c r="Y89" s="504"/>
      <c r="Z89" s="504"/>
      <c r="AA89" s="504"/>
      <c r="AB89" s="504"/>
      <c r="AC89" s="504"/>
      <c r="AD89" s="504"/>
      <c r="AE89" s="504"/>
      <c r="AF89" s="504"/>
      <c r="AG89" s="504"/>
    </row>
    <row r="90" spans="1:33">
      <c r="A90" s="265" t="s">
        <v>865</v>
      </c>
      <c r="B90" s="484" t="s">
        <v>936</v>
      </c>
      <c r="C90" s="442"/>
      <c r="D90" s="171">
        <f t="shared" ref="D90:H90" si="79">D61</f>
        <v>-5.3627312E-3</v>
      </c>
      <c r="E90" s="171">
        <f t="shared" si="79"/>
        <v>-1.61629844E-2</v>
      </c>
      <c r="F90" s="171">
        <f t="shared" ref="F90:G90" si="80">F61</f>
        <v>0.47216653630000005</v>
      </c>
      <c r="G90" s="171">
        <f t="shared" si="80"/>
        <v>0.59386458720000002</v>
      </c>
      <c r="H90" s="171">
        <f t="shared" si="79"/>
        <v>0.59386458720000002</v>
      </c>
      <c r="I90" s="171">
        <f t="shared" ref="I90:J90" si="81">I61</f>
        <v>0.59386458720000002</v>
      </c>
      <c r="J90" s="171">
        <f t="shared" si="81"/>
        <v>0.59386458720000002</v>
      </c>
      <c r="K90" s="463"/>
      <c r="L90" s="463"/>
      <c r="M90" s="463"/>
      <c r="N90" s="463"/>
      <c r="O90" s="463"/>
      <c r="P90" s="463"/>
      <c r="Q90" s="463"/>
      <c r="R90" s="503"/>
      <c r="S90" s="504"/>
      <c r="T90" s="504"/>
      <c r="U90" s="504"/>
      <c r="V90" s="504"/>
      <c r="W90" s="504"/>
      <c r="X90" s="504"/>
      <c r="Y90" s="504"/>
      <c r="Z90" s="504"/>
      <c r="AA90" s="504"/>
      <c r="AB90" s="504"/>
      <c r="AC90" s="504"/>
      <c r="AD90" s="504"/>
      <c r="AE90" s="504"/>
      <c r="AF90" s="504"/>
      <c r="AG90" s="504"/>
    </row>
    <row r="91" spans="1:33">
      <c r="A91" s="265"/>
      <c r="B91" s="484" t="s">
        <v>1491</v>
      </c>
      <c r="C91" s="442"/>
      <c r="D91" s="171">
        <f t="shared" ref="D91:H91" si="82">D70</f>
        <v>2.1856444516</v>
      </c>
      <c r="E91" s="171">
        <f t="shared" si="82"/>
        <v>6.8386251170999994</v>
      </c>
      <c r="F91" s="171">
        <f t="shared" ref="F91:G91" si="83">F70</f>
        <v>4.1000000000000002E-2</v>
      </c>
      <c r="G91" s="171">
        <f t="shared" si="83"/>
        <v>0.60194173890000002</v>
      </c>
      <c r="H91" s="171" t="e">
        <f t="shared" si="82"/>
        <v>#VALUE!</v>
      </c>
      <c r="I91" s="171" t="e">
        <f t="shared" ref="I91:J91" si="84">I70</f>
        <v>#VALUE!</v>
      </c>
      <c r="J91" s="171" t="e">
        <f t="shared" si="84"/>
        <v>#VALUE!</v>
      </c>
      <c r="K91" s="463"/>
      <c r="L91" s="463"/>
      <c r="M91" s="463"/>
      <c r="N91" s="463"/>
      <c r="O91" s="463"/>
      <c r="P91" s="463"/>
      <c r="Q91" s="463"/>
      <c r="R91" s="503"/>
      <c r="S91" s="504"/>
      <c r="T91" s="504"/>
      <c r="U91" s="504"/>
      <c r="V91" s="504"/>
      <c r="W91" s="504"/>
      <c r="X91" s="504"/>
      <c r="Y91" s="504"/>
      <c r="Z91" s="504"/>
      <c r="AA91" s="504"/>
      <c r="AB91" s="504"/>
      <c r="AC91" s="504"/>
      <c r="AD91" s="504"/>
      <c r="AE91" s="504"/>
      <c r="AF91" s="504"/>
      <c r="AG91" s="504"/>
    </row>
    <row r="92" spans="1:33">
      <c r="A92" s="415" t="s">
        <v>858</v>
      </c>
      <c r="B92" s="484" t="s">
        <v>1494</v>
      </c>
      <c r="C92" s="442"/>
      <c r="D92" s="171">
        <f t="shared" ref="D92:H92" si="85">IF(D76&gt;0,D76,0)</f>
        <v>0.83475114615099988</v>
      </c>
      <c r="E92" s="171">
        <f t="shared" si="85"/>
        <v>1.4057535183500001</v>
      </c>
      <c r="F92" s="171">
        <f t="shared" ref="F92:G92" si="86">IF(F76&gt;0,F76,0)</f>
        <v>2.3672176662200002</v>
      </c>
      <c r="G92" s="171">
        <f t="shared" si="86"/>
        <v>2.2959399490379995</v>
      </c>
      <c r="H92" s="171" t="e">
        <f t="shared" si="85"/>
        <v>#VALUE!</v>
      </c>
      <c r="I92" s="171" t="e">
        <f t="shared" ref="I92:J92" si="87">IF(I76&gt;0,I76,0)</f>
        <v>#VALUE!</v>
      </c>
      <c r="J92" s="171" t="e">
        <f t="shared" si="87"/>
        <v>#VALUE!</v>
      </c>
      <c r="K92" s="463"/>
      <c r="L92" s="463"/>
      <c r="M92" s="463"/>
      <c r="N92" s="463"/>
      <c r="O92" s="463"/>
      <c r="P92" s="463"/>
      <c r="Q92" s="463"/>
      <c r="R92" s="503"/>
      <c r="S92" s="504"/>
      <c r="T92" s="504"/>
      <c r="U92" s="504"/>
      <c r="V92" s="504"/>
      <c r="W92" s="504"/>
      <c r="X92" s="504"/>
      <c r="Y92" s="504"/>
      <c r="Z92" s="504"/>
      <c r="AA92" s="504"/>
      <c r="AB92" s="504"/>
      <c r="AC92" s="504"/>
      <c r="AD92" s="504"/>
      <c r="AE92" s="504"/>
      <c r="AF92" s="504"/>
      <c r="AG92" s="504"/>
    </row>
    <row r="93" spans="1:33">
      <c r="A93" s="255"/>
      <c r="B93" s="484" t="s">
        <v>1504</v>
      </c>
      <c r="C93" s="442"/>
      <c r="D93" s="171">
        <f t="shared" ref="D93:H93" si="88">D8+D28-D35</f>
        <v>0.2</v>
      </c>
      <c r="E93" s="171">
        <f t="shared" si="88"/>
        <v>0.2</v>
      </c>
      <c r="F93" s="171">
        <f t="shared" ref="F93:G93" si="89">F8+F28-F35</f>
        <v>0.23599999999999999</v>
      </c>
      <c r="G93" s="171">
        <f t="shared" si="89"/>
        <v>3.5999999999999997E-2</v>
      </c>
      <c r="H93" s="171">
        <f t="shared" si="88"/>
        <v>3.5999999999999997E-2</v>
      </c>
      <c r="I93" s="171">
        <f t="shared" ref="I93:J93" si="90">I8+I28-I35</f>
        <v>3.5999999999999997E-2</v>
      </c>
      <c r="J93" s="171">
        <f t="shared" si="90"/>
        <v>3.5999999999999997E-2</v>
      </c>
      <c r="K93" s="463"/>
      <c r="L93" s="463"/>
      <c r="M93" s="463"/>
      <c r="N93" s="463"/>
      <c r="O93" s="463"/>
      <c r="P93" s="463"/>
      <c r="Q93" s="463"/>
      <c r="R93" s="503"/>
      <c r="S93" s="504"/>
      <c r="T93" s="504"/>
      <c r="U93" s="504"/>
      <c r="V93" s="504"/>
      <c r="W93" s="504"/>
      <c r="X93" s="504"/>
      <c r="Y93" s="504"/>
      <c r="Z93" s="504"/>
      <c r="AA93" s="504"/>
      <c r="AB93" s="504"/>
      <c r="AC93" s="504"/>
      <c r="AD93" s="504"/>
      <c r="AE93" s="504"/>
      <c r="AF93" s="504"/>
      <c r="AG93" s="504"/>
    </row>
    <row r="94" spans="1:33">
      <c r="A94" s="415" t="s">
        <v>1496</v>
      </c>
      <c r="B94" s="483" t="s">
        <v>1505</v>
      </c>
      <c r="C94" s="442"/>
      <c r="D94" s="451">
        <f t="shared" ref="D94:H94" si="91">D89+D90+D91-D92-D93</f>
        <v>25.237155292348998</v>
      </c>
      <c r="E94" s="451">
        <f t="shared" si="91"/>
        <v>31.88689627135</v>
      </c>
      <c r="F94" s="451">
        <f t="shared" ref="F94:G94" si="92">F89+F90+F91-F92-F93</f>
        <v>37.944858803880003</v>
      </c>
      <c r="G94" s="451">
        <f t="shared" si="92"/>
        <v>41.846559398562</v>
      </c>
      <c r="H94" s="451" t="e">
        <f t="shared" si="91"/>
        <v>#VALUE!</v>
      </c>
      <c r="I94" s="451" t="e">
        <f t="shared" ref="I94:J94" si="93">I89+I90+I91-I92-I93</f>
        <v>#VALUE!</v>
      </c>
      <c r="J94" s="451" t="e">
        <f t="shared" si="93"/>
        <v>#VALUE!</v>
      </c>
      <c r="K94" s="463"/>
      <c r="L94" s="463"/>
      <c r="M94" s="463"/>
      <c r="N94" s="463"/>
      <c r="O94" s="463"/>
      <c r="P94" s="463"/>
      <c r="Q94" s="463"/>
      <c r="R94" s="503"/>
      <c r="S94" s="504"/>
      <c r="T94" s="504"/>
      <c r="U94" s="504"/>
      <c r="V94" s="504"/>
      <c r="W94" s="504"/>
      <c r="X94" s="504"/>
      <c r="Y94" s="504"/>
      <c r="Z94" s="504"/>
      <c r="AA94" s="504"/>
      <c r="AB94" s="504"/>
      <c r="AC94" s="504"/>
      <c r="AD94" s="504"/>
      <c r="AE94" s="504"/>
      <c r="AF94" s="504"/>
      <c r="AG94" s="504"/>
    </row>
    <row r="95" spans="1:33">
      <c r="A95" s="255"/>
      <c r="B95" s="484"/>
      <c r="C95" s="482"/>
      <c r="D95" s="423"/>
      <c r="E95" s="423"/>
      <c r="F95" s="423"/>
      <c r="G95" s="423"/>
      <c r="H95" s="423"/>
      <c r="I95" s="423"/>
      <c r="J95" s="423"/>
      <c r="K95" s="463"/>
      <c r="L95" s="463"/>
      <c r="M95" s="463"/>
      <c r="N95" s="463"/>
      <c r="O95" s="463"/>
      <c r="P95" s="463"/>
      <c r="Q95" s="463"/>
      <c r="R95" s="503"/>
      <c r="S95" s="504"/>
      <c r="T95" s="504"/>
      <c r="U95" s="504"/>
      <c r="V95" s="504"/>
      <c r="W95" s="504"/>
      <c r="X95" s="504"/>
      <c r="Y95" s="504"/>
      <c r="Z95" s="504"/>
      <c r="AA95" s="504"/>
      <c r="AB95" s="504"/>
      <c r="AC95" s="504"/>
      <c r="AD95" s="504"/>
      <c r="AE95" s="504"/>
      <c r="AF95" s="504"/>
      <c r="AG95" s="504"/>
    </row>
    <row r="96" spans="1:33">
      <c r="A96" s="255"/>
      <c r="B96" s="483" t="s">
        <v>1506</v>
      </c>
      <c r="C96" s="442"/>
      <c r="D96" s="451"/>
      <c r="E96" s="451">
        <f t="shared" ref="E96:H96" si="94">E94-D94</f>
        <v>6.6497409790010025</v>
      </c>
      <c r="F96" s="451">
        <f t="shared" ref="F96" si="95">F94-E94</f>
        <v>6.0579625325300022</v>
      </c>
      <c r="G96" s="451">
        <f t="shared" ref="G96" si="96">G94-F94</f>
        <v>3.9017005946819978</v>
      </c>
      <c r="H96" s="451" t="e">
        <f t="shared" si="94"/>
        <v>#VALUE!</v>
      </c>
      <c r="I96" s="451" t="e">
        <f t="shared" ref="I96" si="97">I94-H94</f>
        <v>#VALUE!</v>
      </c>
      <c r="J96" s="451" t="e">
        <f t="shared" ref="J96" si="98">J94-I94</f>
        <v>#VALUE!</v>
      </c>
      <c r="K96" s="463"/>
      <c r="L96" s="463"/>
      <c r="M96" s="463"/>
      <c r="N96" s="463"/>
      <c r="O96" s="463"/>
      <c r="P96" s="463"/>
      <c r="Q96" s="463"/>
      <c r="R96" s="503"/>
      <c r="S96" s="504"/>
      <c r="T96" s="504"/>
      <c r="U96" s="504"/>
      <c r="V96" s="504"/>
      <c r="W96" s="504"/>
      <c r="X96" s="504"/>
      <c r="Y96" s="504"/>
      <c r="Z96" s="504"/>
      <c r="AA96" s="504"/>
      <c r="AB96" s="504"/>
      <c r="AC96" s="504"/>
      <c r="AD96" s="504"/>
      <c r="AE96" s="504"/>
      <c r="AF96" s="504"/>
      <c r="AG96" s="504"/>
    </row>
    <row r="97" spans="1:33">
      <c r="A97" s="389"/>
      <c r="B97" s="488"/>
      <c r="C97" s="455"/>
      <c r="D97" s="296"/>
      <c r="E97" s="296"/>
      <c r="F97" s="296"/>
      <c r="G97" s="296"/>
      <c r="H97" s="296"/>
      <c r="I97" s="296"/>
      <c r="J97" s="296"/>
      <c r="K97" s="463"/>
      <c r="L97" s="463"/>
      <c r="M97" s="463"/>
      <c r="N97" s="463"/>
      <c r="O97" s="463"/>
      <c r="P97" s="463"/>
      <c r="Q97" s="463"/>
      <c r="R97" s="503"/>
      <c r="S97" s="504"/>
      <c r="T97" s="504"/>
      <c r="U97" s="504"/>
      <c r="V97" s="504"/>
      <c r="W97" s="504"/>
      <c r="X97" s="504"/>
      <c r="Y97" s="504"/>
      <c r="Z97" s="504"/>
      <c r="AA97" s="504"/>
      <c r="AB97" s="504"/>
      <c r="AC97" s="504"/>
      <c r="AD97" s="504"/>
      <c r="AE97" s="504"/>
      <c r="AF97" s="504"/>
      <c r="AG97" s="504"/>
    </row>
    <row r="98" spans="1:33">
      <c r="A98" s="428"/>
      <c r="B98" s="489"/>
      <c r="C98" s="455"/>
      <c r="D98" s="109"/>
      <c r="E98" s="109"/>
      <c r="F98" s="109"/>
      <c r="G98" s="109"/>
      <c r="H98" s="109"/>
      <c r="I98" s="109"/>
      <c r="J98" s="109"/>
      <c r="K98" s="463"/>
      <c r="L98" s="463"/>
      <c r="M98" s="463"/>
      <c r="N98" s="463"/>
      <c r="O98" s="463"/>
      <c r="P98" s="463"/>
      <c r="Q98" s="463"/>
      <c r="R98" s="503"/>
      <c r="S98" s="504"/>
      <c r="T98" s="504"/>
      <c r="U98" s="504"/>
      <c r="V98" s="504"/>
      <c r="W98" s="504"/>
      <c r="X98" s="504"/>
      <c r="Y98" s="504"/>
      <c r="Z98" s="504"/>
      <c r="AA98" s="504"/>
      <c r="AB98" s="504"/>
      <c r="AC98" s="504"/>
      <c r="AD98" s="504"/>
      <c r="AE98" s="504"/>
      <c r="AF98" s="504"/>
      <c r="AG98" s="504"/>
    </row>
    <row r="99" spans="1:33">
      <c r="A99" s="225"/>
      <c r="B99" s="490"/>
      <c r="C99" s="455"/>
      <c r="D99" s="109"/>
      <c r="E99" s="109"/>
      <c r="F99" s="109"/>
      <c r="G99" s="109"/>
      <c r="H99" s="109"/>
      <c r="I99" s="109"/>
      <c r="J99" s="109"/>
      <c r="K99" s="463"/>
      <c r="L99" s="463"/>
      <c r="M99" s="463"/>
      <c r="N99" s="463"/>
      <c r="O99" s="463"/>
      <c r="P99" s="463"/>
      <c r="Q99" s="463"/>
      <c r="R99" s="503"/>
      <c r="S99" s="504"/>
      <c r="T99" s="504"/>
      <c r="U99" s="504"/>
      <c r="V99" s="504"/>
      <c r="W99" s="504"/>
      <c r="X99" s="504"/>
      <c r="Y99" s="504"/>
      <c r="Z99" s="504"/>
      <c r="AA99" s="504"/>
      <c r="AB99" s="504"/>
      <c r="AC99" s="504"/>
      <c r="AD99" s="504"/>
      <c r="AE99" s="504"/>
      <c r="AF99" s="504"/>
      <c r="AG99" s="504"/>
    </row>
    <row r="100" spans="1:33">
      <c r="A100" s="428"/>
      <c r="B100" s="491"/>
      <c r="C100" s="455"/>
      <c r="D100" s="109"/>
      <c r="E100" s="109"/>
      <c r="F100" s="109"/>
      <c r="G100" s="109"/>
      <c r="H100" s="109"/>
      <c r="I100" s="109"/>
      <c r="J100" s="109"/>
      <c r="K100" s="463"/>
      <c r="L100" s="463"/>
      <c r="M100" s="463"/>
      <c r="N100" s="463"/>
      <c r="O100" s="463"/>
      <c r="P100" s="463"/>
      <c r="Q100" s="463"/>
      <c r="R100" s="503"/>
      <c r="S100" s="504"/>
      <c r="T100" s="504"/>
      <c r="U100" s="504"/>
      <c r="V100" s="504"/>
      <c r="W100" s="504"/>
      <c r="X100" s="504"/>
      <c r="Y100" s="504"/>
      <c r="Z100" s="504"/>
      <c r="AA100" s="504"/>
      <c r="AB100" s="504"/>
      <c r="AC100" s="504"/>
      <c r="AD100" s="504"/>
      <c r="AE100" s="504"/>
      <c r="AF100" s="504"/>
      <c r="AG100" s="504"/>
    </row>
    <row r="101" spans="1:33">
      <c r="A101" s="427"/>
      <c r="B101" s="491"/>
      <c r="C101" s="455"/>
      <c r="D101" s="109"/>
      <c r="E101" s="109"/>
      <c r="F101" s="109"/>
      <c r="G101" s="109"/>
      <c r="H101" s="109"/>
      <c r="I101" s="109"/>
      <c r="J101" s="109"/>
      <c r="K101" s="463"/>
      <c r="L101" s="463"/>
      <c r="M101" s="463"/>
      <c r="N101" s="463"/>
      <c r="O101" s="463"/>
      <c r="P101" s="463"/>
      <c r="Q101" s="463"/>
      <c r="R101" s="503"/>
      <c r="S101" s="504"/>
      <c r="T101" s="504"/>
      <c r="U101" s="504"/>
      <c r="V101" s="504"/>
      <c r="W101" s="504"/>
      <c r="X101" s="504"/>
      <c r="Y101" s="504"/>
      <c r="Z101" s="504"/>
      <c r="AA101" s="504"/>
      <c r="AB101" s="504"/>
      <c r="AC101" s="504"/>
      <c r="AD101" s="504"/>
      <c r="AE101" s="504"/>
      <c r="AF101" s="504"/>
      <c r="AG101" s="504"/>
    </row>
    <row r="102" spans="1:33">
      <c r="A102" s="428"/>
      <c r="B102" s="491"/>
      <c r="C102" s="455"/>
      <c r="D102" s="109"/>
      <c r="E102" s="109"/>
      <c r="F102" s="109"/>
      <c r="G102" s="109"/>
      <c r="H102" s="109"/>
      <c r="I102" s="109"/>
      <c r="J102" s="109"/>
      <c r="K102" s="463"/>
      <c r="L102" s="463"/>
      <c r="M102" s="463"/>
      <c r="N102" s="463"/>
      <c r="O102" s="463"/>
      <c r="P102" s="463"/>
      <c r="Q102" s="463"/>
      <c r="R102" s="503"/>
      <c r="S102" s="504"/>
      <c r="T102" s="504"/>
      <c r="U102" s="504"/>
      <c r="V102" s="504"/>
      <c r="W102" s="504"/>
      <c r="X102" s="504"/>
      <c r="Y102" s="504"/>
      <c r="Z102" s="504"/>
      <c r="AA102" s="504"/>
      <c r="AB102" s="504"/>
      <c r="AC102" s="504"/>
      <c r="AD102" s="504"/>
      <c r="AE102" s="504"/>
      <c r="AF102" s="504"/>
      <c r="AG102" s="504"/>
    </row>
    <row r="103" spans="1:33">
      <c r="A103" s="225"/>
      <c r="B103" s="491"/>
      <c r="C103" s="455"/>
      <c r="D103" s="109"/>
      <c r="E103" s="109"/>
      <c r="F103" s="109"/>
      <c r="G103" s="109"/>
      <c r="H103" s="109"/>
      <c r="I103" s="109"/>
      <c r="J103" s="109"/>
      <c r="K103" s="463"/>
      <c r="L103" s="463"/>
      <c r="M103" s="463"/>
      <c r="N103" s="463"/>
      <c r="O103" s="463"/>
      <c r="P103" s="463"/>
      <c r="Q103" s="463"/>
      <c r="R103" s="503"/>
      <c r="S103" s="504"/>
      <c r="T103" s="504"/>
      <c r="U103" s="504"/>
      <c r="V103" s="504"/>
      <c r="W103" s="504"/>
      <c r="X103" s="504"/>
      <c r="Y103" s="504"/>
      <c r="Z103" s="504"/>
      <c r="AA103" s="504"/>
      <c r="AB103" s="504"/>
      <c r="AC103" s="504"/>
      <c r="AD103" s="504"/>
      <c r="AE103" s="504"/>
      <c r="AF103" s="504"/>
      <c r="AG103" s="504"/>
    </row>
    <row r="104" spans="1:33">
      <c r="A104" s="428"/>
      <c r="B104" s="489"/>
      <c r="C104" s="455"/>
      <c r="D104" s="109"/>
      <c r="E104" s="109"/>
      <c r="F104" s="109"/>
      <c r="G104" s="109"/>
      <c r="H104" s="109"/>
      <c r="I104" s="109"/>
      <c r="J104" s="109"/>
      <c r="K104" s="463"/>
      <c r="L104" s="463"/>
      <c r="M104" s="463"/>
      <c r="N104" s="463"/>
      <c r="O104" s="463"/>
      <c r="P104" s="463"/>
      <c r="Q104" s="463"/>
      <c r="R104" s="503"/>
      <c r="S104" s="504"/>
      <c r="T104" s="504"/>
      <c r="U104" s="504"/>
      <c r="V104" s="504"/>
      <c r="W104" s="504"/>
      <c r="X104" s="504"/>
      <c r="Y104" s="504"/>
      <c r="Z104" s="504"/>
      <c r="AA104" s="504"/>
      <c r="AB104" s="504"/>
      <c r="AC104" s="504"/>
      <c r="AD104" s="504"/>
      <c r="AE104" s="504"/>
      <c r="AF104" s="504"/>
      <c r="AG104" s="504"/>
    </row>
    <row r="105" spans="1:33">
      <c r="A105" s="225"/>
      <c r="B105" s="492"/>
      <c r="C105" s="455"/>
      <c r="D105" s="109"/>
      <c r="E105" s="109"/>
      <c r="F105" s="109"/>
      <c r="G105" s="109"/>
      <c r="H105" s="109"/>
      <c r="I105" s="109"/>
      <c r="J105" s="109"/>
      <c r="K105" s="463"/>
      <c r="L105" s="463"/>
      <c r="M105" s="463"/>
      <c r="N105" s="463"/>
      <c r="O105" s="463"/>
      <c r="P105" s="463"/>
      <c r="Q105" s="463"/>
      <c r="R105" s="503"/>
      <c r="S105" s="504"/>
      <c r="T105" s="504"/>
      <c r="U105" s="504"/>
      <c r="V105" s="504"/>
      <c r="W105" s="504"/>
      <c r="X105" s="504"/>
      <c r="Y105" s="504"/>
      <c r="Z105" s="504"/>
      <c r="AA105" s="504"/>
      <c r="AB105" s="504"/>
      <c r="AC105" s="504"/>
      <c r="AD105" s="504"/>
      <c r="AE105" s="504"/>
      <c r="AF105" s="504"/>
      <c r="AG105" s="504"/>
    </row>
    <row r="106" spans="1:33">
      <c r="A106" s="225"/>
      <c r="B106" s="493"/>
      <c r="C106" s="455"/>
      <c r="D106" s="109"/>
      <c r="E106" s="109"/>
      <c r="F106" s="109"/>
      <c r="G106" s="109"/>
      <c r="H106" s="109"/>
      <c r="I106" s="109"/>
      <c r="J106" s="109"/>
      <c r="K106" s="463"/>
      <c r="L106" s="463"/>
      <c r="M106" s="463"/>
      <c r="N106" s="463"/>
      <c r="O106" s="463"/>
      <c r="P106" s="463"/>
      <c r="Q106" s="463"/>
      <c r="R106" s="503"/>
      <c r="S106" s="504"/>
      <c r="T106" s="504"/>
      <c r="U106" s="504"/>
      <c r="V106" s="504"/>
      <c r="W106" s="504"/>
      <c r="X106" s="504"/>
      <c r="Y106" s="504"/>
      <c r="Z106" s="504"/>
      <c r="AA106" s="504"/>
      <c r="AB106" s="504"/>
      <c r="AC106" s="504"/>
      <c r="AD106" s="504"/>
      <c r="AE106" s="504"/>
      <c r="AF106" s="504"/>
      <c r="AG106" s="504"/>
    </row>
    <row r="107" spans="1:33">
      <c r="A107" s="225"/>
      <c r="B107" s="494"/>
      <c r="C107" s="455"/>
      <c r="D107" s="109"/>
      <c r="E107" s="109"/>
      <c r="F107" s="109"/>
      <c r="G107" s="109"/>
      <c r="H107" s="109"/>
      <c r="I107" s="109"/>
      <c r="J107" s="109"/>
      <c r="K107" s="463"/>
      <c r="L107" s="463"/>
      <c r="M107" s="463"/>
      <c r="N107" s="463"/>
      <c r="O107" s="463"/>
      <c r="P107" s="463"/>
      <c r="Q107" s="463"/>
      <c r="R107" s="503"/>
      <c r="S107" s="504"/>
      <c r="T107" s="504"/>
      <c r="U107" s="504"/>
      <c r="V107" s="504"/>
      <c r="W107" s="504"/>
      <c r="X107" s="504"/>
      <c r="Y107" s="504"/>
      <c r="Z107" s="504"/>
      <c r="AA107" s="504"/>
      <c r="AB107" s="504"/>
      <c r="AC107" s="504"/>
      <c r="AD107" s="504"/>
      <c r="AE107" s="504"/>
      <c r="AF107" s="504"/>
      <c r="AG107" s="504"/>
    </row>
    <row r="108" spans="1:33">
      <c r="A108" s="225"/>
      <c r="B108" s="495"/>
      <c r="C108" s="455"/>
      <c r="D108" s="109"/>
      <c r="E108" s="109"/>
      <c r="F108" s="109"/>
      <c r="G108" s="109"/>
      <c r="H108" s="109"/>
      <c r="I108" s="109"/>
      <c r="J108" s="109"/>
      <c r="K108" s="463"/>
      <c r="L108" s="463"/>
      <c r="M108" s="463"/>
      <c r="N108" s="463"/>
      <c r="O108" s="463"/>
      <c r="P108" s="463"/>
      <c r="Q108" s="463"/>
      <c r="R108" s="503"/>
      <c r="S108" s="504"/>
      <c r="T108" s="504"/>
      <c r="U108" s="504"/>
      <c r="V108" s="504"/>
      <c r="W108" s="504"/>
      <c r="X108" s="504"/>
      <c r="Y108" s="504"/>
      <c r="Z108" s="504"/>
      <c r="AA108" s="504"/>
      <c r="AB108" s="504"/>
      <c r="AC108" s="504"/>
      <c r="AD108" s="504"/>
      <c r="AE108" s="504"/>
      <c r="AF108" s="504"/>
      <c r="AG108" s="504"/>
    </row>
    <row r="109" spans="1:33">
      <c r="A109" s="496"/>
      <c r="B109" s="495"/>
      <c r="C109" s="455"/>
      <c r="D109" s="109"/>
      <c r="E109" s="109"/>
      <c r="F109" s="109"/>
      <c r="G109" s="109"/>
      <c r="H109" s="109"/>
      <c r="I109" s="109"/>
      <c r="J109" s="109"/>
      <c r="K109" s="463"/>
      <c r="L109" s="463"/>
      <c r="M109" s="463"/>
      <c r="N109" s="463"/>
      <c r="O109" s="463"/>
      <c r="P109" s="463"/>
      <c r="Q109" s="463"/>
      <c r="R109" s="503"/>
      <c r="S109" s="504"/>
      <c r="T109" s="504"/>
      <c r="U109" s="504"/>
      <c r="V109" s="504"/>
      <c r="W109" s="504"/>
      <c r="X109" s="504"/>
      <c r="Y109" s="504"/>
      <c r="Z109" s="504"/>
      <c r="AA109" s="504"/>
      <c r="AB109" s="504"/>
      <c r="AC109" s="504"/>
      <c r="AD109" s="504"/>
      <c r="AE109" s="504"/>
      <c r="AF109" s="504"/>
      <c r="AG109" s="504"/>
    </row>
    <row r="110" spans="1:33">
      <c r="A110" s="497"/>
      <c r="B110" s="498"/>
      <c r="C110" s="455"/>
      <c r="D110" s="109"/>
      <c r="E110" s="109"/>
      <c r="F110" s="109"/>
      <c r="G110" s="109"/>
      <c r="H110" s="109"/>
      <c r="I110" s="109"/>
      <c r="J110" s="109"/>
      <c r="K110" s="463"/>
      <c r="L110" s="463"/>
      <c r="M110" s="463"/>
      <c r="N110" s="463"/>
      <c r="O110" s="463"/>
      <c r="P110" s="463"/>
      <c r="Q110" s="463"/>
      <c r="R110" s="503"/>
      <c r="S110" s="504"/>
      <c r="T110" s="504"/>
      <c r="U110" s="504"/>
      <c r="V110" s="504"/>
      <c r="W110" s="504"/>
      <c r="X110" s="504"/>
      <c r="Y110" s="504"/>
      <c r="Z110" s="504"/>
      <c r="AA110" s="504"/>
      <c r="AB110" s="504"/>
      <c r="AC110" s="504"/>
      <c r="AD110" s="504"/>
      <c r="AE110" s="504"/>
      <c r="AF110" s="504"/>
      <c r="AG110" s="504"/>
    </row>
    <row r="111" spans="1:33">
      <c r="A111" s="427"/>
      <c r="B111" s="498"/>
      <c r="C111" s="455"/>
      <c r="D111" s="109"/>
      <c r="E111" s="109"/>
      <c r="F111" s="109"/>
      <c r="G111" s="109"/>
      <c r="H111" s="109"/>
      <c r="I111" s="109"/>
      <c r="J111" s="109"/>
      <c r="K111" s="463"/>
      <c r="L111" s="463"/>
      <c r="M111" s="463"/>
      <c r="N111" s="463"/>
      <c r="O111" s="463"/>
      <c r="P111" s="463"/>
      <c r="Q111" s="463"/>
      <c r="R111" s="503"/>
      <c r="S111" s="504"/>
      <c r="T111" s="504"/>
      <c r="U111" s="504"/>
      <c r="V111" s="504"/>
      <c r="W111" s="504"/>
      <c r="X111" s="504"/>
      <c r="Y111" s="504"/>
      <c r="Z111" s="504"/>
      <c r="AA111" s="504"/>
      <c r="AB111" s="504"/>
      <c r="AC111" s="504"/>
      <c r="AD111" s="504"/>
      <c r="AE111" s="504"/>
      <c r="AF111" s="504"/>
      <c r="AG111" s="504"/>
    </row>
    <row r="112" spans="1:33">
      <c r="A112" s="428"/>
      <c r="B112" s="495"/>
      <c r="C112" s="455"/>
      <c r="D112" s="109"/>
      <c r="E112" s="109"/>
      <c r="F112" s="109"/>
      <c r="G112" s="109"/>
      <c r="H112" s="109"/>
      <c r="I112" s="109"/>
      <c r="J112" s="109"/>
      <c r="K112" s="463"/>
      <c r="L112" s="463"/>
      <c r="M112" s="463"/>
      <c r="N112" s="463"/>
      <c r="O112" s="463"/>
      <c r="P112" s="463"/>
      <c r="Q112" s="463"/>
      <c r="R112" s="503"/>
      <c r="S112" s="504"/>
      <c r="T112" s="504"/>
      <c r="U112" s="504"/>
      <c r="V112" s="504"/>
      <c r="W112" s="504"/>
      <c r="X112" s="504"/>
      <c r="Y112" s="504"/>
      <c r="Z112" s="504"/>
      <c r="AA112" s="504"/>
      <c r="AB112" s="504"/>
      <c r="AC112" s="504"/>
      <c r="AD112" s="504"/>
      <c r="AE112" s="504"/>
      <c r="AF112" s="504"/>
      <c r="AG112" s="504"/>
    </row>
    <row r="113" spans="1:33">
      <c r="A113" s="225"/>
      <c r="B113" s="492"/>
      <c r="C113" s="455"/>
      <c r="D113" s="109"/>
      <c r="E113" s="109"/>
      <c r="F113" s="109"/>
      <c r="G113" s="109"/>
      <c r="H113" s="109"/>
      <c r="I113" s="109"/>
      <c r="J113" s="109"/>
      <c r="K113" s="463"/>
      <c r="L113" s="463"/>
      <c r="M113" s="463"/>
      <c r="N113" s="463"/>
      <c r="O113" s="463"/>
      <c r="P113" s="463"/>
      <c r="Q113" s="463"/>
      <c r="R113" s="503"/>
      <c r="S113" s="504"/>
      <c r="T113" s="504"/>
      <c r="U113" s="504"/>
      <c r="V113" s="504"/>
      <c r="W113" s="504"/>
      <c r="X113" s="504"/>
      <c r="Y113" s="504"/>
      <c r="Z113" s="504"/>
      <c r="AA113" s="504"/>
      <c r="AB113" s="504"/>
      <c r="AC113" s="504"/>
      <c r="AD113" s="504"/>
      <c r="AE113" s="504"/>
      <c r="AF113" s="504"/>
      <c r="AG113" s="504"/>
    </row>
    <row r="114" spans="1:33">
      <c r="A114" s="496"/>
      <c r="B114" s="492"/>
      <c r="C114" s="455"/>
      <c r="D114" s="109"/>
      <c r="E114" s="109"/>
      <c r="F114" s="109"/>
      <c r="G114" s="109"/>
      <c r="H114" s="109"/>
      <c r="I114" s="109"/>
      <c r="J114" s="109"/>
      <c r="K114" s="463"/>
      <c r="L114" s="463"/>
      <c r="M114" s="463"/>
      <c r="N114" s="463"/>
      <c r="O114" s="463"/>
      <c r="P114" s="463"/>
      <c r="Q114" s="463"/>
      <c r="R114" s="503"/>
      <c r="S114" s="504"/>
      <c r="T114" s="504"/>
      <c r="U114" s="504"/>
      <c r="V114" s="504"/>
      <c r="W114" s="504"/>
      <c r="X114" s="504"/>
      <c r="Y114" s="504"/>
      <c r="Z114" s="504"/>
      <c r="AA114" s="504"/>
      <c r="AB114" s="504"/>
      <c r="AC114" s="504"/>
      <c r="AD114" s="504"/>
      <c r="AE114" s="504"/>
      <c r="AF114" s="504"/>
      <c r="AG114" s="504"/>
    </row>
    <row r="115" spans="1:33">
      <c r="A115" s="225"/>
      <c r="B115" s="494"/>
      <c r="C115" s="455"/>
      <c r="D115" s="109"/>
      <c r="E115" s="109"/>
      <c r="F115" s="109"/>
      <c r="G115" s="109"/>
      <c r="H115" s="109"/>
      <c r="I115" s="109"/>
      <c r="J115" s="109"/>
      <c r="K115" s="463"/>
      <c r="L115" s="463"/>
      <c r="M115" s="463"/>
      <c r="N115" s="463"/>
      <c r="O115" s="463"/>
      <c r="P115" s="463"/>
      <c r="Q115" s="463"/>
      <c r="R115" s="503"/>
      <c r="S115" s="504"/>
      <c r="T115" s="504"/>
      <c r="U115" s="504"/>
      <c r="V115" s="504"/>
      <c r="W115" s="504"/>
      <c r="X115" s="504"/>
      <c r="Y115" s="504"/>
      <c r="Z115" s="504"/>
      <c r="AA115" s="504"/>
      <c r="AB115" s="504"/>
      <c r="AC115" s="504"/>
      <c r="AD115" s="504"/>
      <c r="AE115" s="504"/>
      <c r="AF115" s="504"/>
      <c r="AG115" s="504"/>
    </row>
    <row r="116" spans="1:33">
      <c r="A116" s="427"/>
      <c r="B116" s="494"/>
      <c r="C116" s="455"/>
      <c r="D116" s="109"/>
      <c r="E116" s="109"/>
      <c r="F116" s="109"/>
      <c r="G116" s="109"/>
      <c r="H116" s="109"/>
      <c r="I116" s="109"/>
      <c r="J116" s="109"/>
      <c r="K116" s="463"/>
      <c r="L116" s="463"/>
      <c r="M116" s="463"/>
      <c r="N116" s="463"/>
      <c r="O116" s="463"/>
      <c r="P116" s="463"/>
      <c r="Q116" s="463"/>
      <c r="R116" s="503"/>
      <c r="S116" s="504"/>
      <c r="T116" s="504"/>
      <c r="U116" s="504"/>
      <c r="V116" s="504"/>
      <c r="W116" s="504"/>
      <c r="X116" s="504"/>
      <c r="Y116" s="504"/>
      <c r="Z116" s="504"/>
      <c r="AA116" s="504"/>
      <c r="AB116" s="504"/>
      <c r="AC116" s="504"/>
      <c r="AD116" s="504"/>
      <c r="AE116" s="504"/>
      <c r="AF116" s="504"/>
      <c r="AG116" s="504"/>
    </row>
    <row r="117" spans="1:33">
      <c r="A117" s="428"/>
      <c r="B117" s="495"/>
      <c r="C117" s="455"/>
      <c r="D117" s="109"/>
      <c r="E117" s="109"/>
      <c r="F117" s="109"/>
      <c r="G117" s="109"/>
      <c r="H117" s="109"/>
      <c r="I117" s="109"/>
      <c r="J117" s="109"/>
      <c r="K117" s="463"/>
      <c r="L117" s="463"/>
      <c r="M117" s="463"/>
      <c r="N117" s="463"/>
      <c r="O117" s="463"/>
      <c r="P117" s="463"/>
      <c r="Q117" s="463"/>
      <c r="R117" s="503"/>
      <c r="S117" s="504"/>
      <c r="T117" s="504"/>
      <c r="U117" s="504"/>
      <c r="V117" s="504"/>
      <c r="W117" s="504"/>
      <c r="X117" s="504"/>
      <c r="Y117" s="504"/>
      <c r="Z117" s="504"/>
      <c r="AA117" s="504"/>
      <c r="AB117" s="504"/>
      <c r="AC117" s="504"/>
      <c r="AD117" s="504"/>
      <c r="AE117" s="504"/>
      <c r="AF117" s="504"/>
      <c r="AG117" s="504"/>
    </row>
    <row r="118" spans="1:33">
      <c r="A118" s="225"/>
      <c r="B118" s="495"/>
      <c r="C118" s="455"/>
      <c r="D118" s="109"/>
      <c r="E118" s="109"/>
      <c r="F118" s="109"/>
      <c r="G118" s="109"/>
      <c r="H118" s="109"/>
      <c r="I118" s="109"/>
      <c r="J118" s="109"/>
      <c r="K118" s="463"/>
      <c r="L118" s="463"/>
      <c r="M118" s="463"/>
      <c r="N118" s="463"/>
      <c r="O118" s="463"/>
      <c r="P118" s="463"/>
      <c r="Q118" s="463"/>
      <c r="R118" s="503"/>
      <c r="S118" s="504"/>
      <c r="T118" s="504"/>
      <c r="U118" s="504"/>
      <c r="V118" s="504"/>
      <c r="W118" s="504"/>
      <c r="X118" s="504"/>
      <c r="Y118" s="504"/>
      <c r="Z118" s="504"/>
      <c r="AA118" s="504"/>
      <c r="AB118" s="504"/>
      <c r="AC118" s="504"/>
      <c r="AD118" s="504"/>
      <c r="AE118" s="504"/>
      <c r="AF118" s="504"/>
      <c r="AG118" s="504"/>
    </row>
    <row r="119" spans="1:33">
      <c r="A119" s="225"/>
      <c r="B119" s="495"/>
      <c r="C119" s="455"/>
      <c r="D119" s="109"/>
      <c r="E119" s="109"/>
      <c r="F119" s="109"/>
      <c r="G119" s="109"/>
      <c r="H119" s="109"/>
      <c r="I119" s="109"/>
      <c r="J119" s="109"/>
      <c r="K119" s="463"/>
      <c r="L119" s="463"/>
      <c r="M119" s="463"/>
      <c r="N119" s="463"/>
      <c r="O119" s="463"/>
      <c r="P119" s="463"/>
      <c r="Q119" s="463"/>
      <c r="R119" s="503"/>
      <c r="S119" s="504"/>
      <c r="T119" s="504"/>
      <c r="U119" s="504"/>
      <c r="V119" s="504"/>
      <c r="W119" s="504"/>
      <c r="X119" s="504"/>
      <c r="Y119" s="504"/>
      <c r="Z119" s="504"/>
      <c r="AA119" s="504"/>
      <c r="AB119" s="504"/>
      <c r="AC119" s="504"/>
      <c r="AD119" s="504"/>
      <c r="AE119" s="504"/>
      <c r="AF119" s="504"/>
      <c r="AG119" s="504"/>
    </row>
    <row r="120" spans="1:33">
      <c r="A120" s="497"/>
      <c r="B120" s="495"/>
      <c r="C120" s="455"/>
      <c r="D120" s="109"/>
      <c r="E120" s="109"/>
      <c r="F120" s="109"/>
      <c r="G120" s="109"/>
      <c r="H120" s="109"/>
      <c r="I120" s="109"/>
      <c r="J120" s="109"/>
      <c r="K120" s="463"/>
      <c r="L120" s="463"/>
      <c r="M120" s="463"/>
      <c r="N120" s="463"/>
      <c r="O120" s="463"/>
      <c r="P120" s="463"/>
      <c r="Q120" s="463"/>
      <c r="R120" s="503"/>
      <c r="S120" s="504"/>
      <c r="T120" s="504"/>
      <c r="U120" s="504"/>
      <c r="V120" s="504"/>
      <c r="W120" s="504"/>
      <c r="X120" s="504"/>
      <c r="Y120" s="504"/>
      <c r="Z120" s="504"/>
      <c r="AA120" s="504"/>
      <c r="AB120" s="504"/>
      <c r="AC120" s="504"/>
      <c r="AD120" s="504"/>
      <c r="AE120" s="504"/>
      <c r="AF120" s="504"/>
      <c r="AG120" s="504"/>
    </row>
    <row r="121" spans="1:33">
      <c r="A121" s="225"/>
      <c r="B121" s="495"/>
      <c r="C121" s="455"/>
      <c r="D121" s="109"/>
      <c r="E121" s="109"/>
      <c r="F121" s="109"/>
      <c r="G121" s="109"/>
      <c r="H121" s="109"/>
      <c r="I121" s="109"/>
      <c r="J121" s="109"/>
      <c r="K121" s="463"/>
      <c r="L121" s="463"/>
      <c r="M121" s="463"/>
      <c r="N121" s="463"/>
      <c r="O121" s="463"/>
      <c r="P121" s="463"/>
      <c r="Q121" s="463"/>
      <c r="R121" s="503"/>
      <c r="S121" s="504"/>
      <c r="T121" s="504"/>
      <c r="U121" s="504"/>
      <c r="V121" s="504"/>
      <c r="W121" s="504"/>
      <c r="X121" s="504"/>
      <c r="Y121" s="504"/>
      <c r="Z121" s="504"/>
      <c r="AA121" s="504"/>
      <c r="AB121" s="504"/>
      <c r="AC121" s="504"/>
      <c r="AD121" s="504"/>
      <c r="AE121" s="504"/>
      <c r="AF121" s="504"/>
      <c r="AG121" s="504"/>
    </row>
    <row r="122" spans="1:33">
      <c r="A122" s="496"/>
      <c r="B122" s="495"/>
      <c r="C122" s="455"/>
      <c r="D122" s="109"/>
      <c r="E122" s="109"/>
      <c r="F122" s="109"/>
      <c r="G122" s="109"/>
      <c r="H122" s="109"/>
      <c r="I122" s="109"/>
      <c r="J122" s="109"/>
      <c r="K122" s="463"/>
      <c r="L122" s="463"/>
      <c r="M122" s="463"/>
      <c r="N122" s="463"/>
      <c r="O122" s="463"/>
      <c r="P122" s="463"/>
      <c r="Q122" s="463"/>
      <c r="R122" s="503"/>
      <c r="S122" s="504"/>
      <c r="T122" s="504"/>
      <c r="U122" s="504"/>
      <c r="V122" s="504"/>
      <c r="W122" s="504"/>
      <c r="X122" s="504"/>
      <c r="Y122" s="504"/>
      <c r="Z122" s="504"/>
      <c r="AA122" s="504"/>
      <c r="AB122" s="504"/>
      <c r="AC122" s="504"/>
      <c r="AD122" s="504"/>
      <c r="AE122" s="504"/>
      <c r="AF122" s="504"/>
      <c r="AG122" s="504"/>
    </row>
    <row r="123" spans="1:33">
      <c r="A123" s="428"/>
      <c r="B123" s="499"/>
      <c r="C123" s="455"/>
      <c r="D123" s="109"/>
      <c r="E123" s="109"/>
      <c r="F123" s="109"/>
      <c r="G123" s="109"/>
      <c r="H123" s="109"/>
      <c r="I123" s="109"/>
      <c r="J123" s="109"/>
      <c r="K123" s="463"/>
      <c r="L123" s="463"/>
      <c r="M123" s="463"/>
      <c r="N123" s="463"/>
      <c r="O123" s="463"/>
      <c r="P123" s="463"/>
      <c r="Q123" s="463"/>
      <c r="R123" s="503"/>
      <c r="S123" s="504"/>
      <c r="T123" s="504"/>
      <c r="U123" s="504"/>
      <c r="V123" s="504"/>
      <c r="W123" s="504"/>
      <c r="X123" s="504"/>
      <c r="Y123" s="504"/>
      <c r="Z123" s="504"/>
      <c r="AA123" s="504"/>
      <c r="AB123" s="504"/>
      <c r="AC123" s="504"/>
      <c r="AD123" s="504"/>
      <c r="AE123" s="504"/>
      <c r="AF123" s="504"/>
      <c r="AG123" s="504"/>
    </row>
    <row r="124" spans="1:33">
      <c r="A124" s="427"/>
      <c r="B124" s="499"/>
      <c r="C124" s="455"/>
      <c r="D124" s="109"/>
      <c r="E124" s="109"/>
      <c r="F124" s="109"/>
      <c r="G124" s="109"/>
      <c r="H124" s="109"/>
      <c r="I124" s="109"/>
      <c r="J124" s="109"/>
      <c r="K124" s="463"/>
      <c r="L124" s="463"/>
      <c r="M124" s="463"/>
      <c r="N124" s="463"/>
      <c r="O124" s="463"/>
      <c r="P124" s="463"/>
      <c r="Q124" s="463"/>
      <c r="R124" s="503"/>
      <c r="S124" s="504"/>
      <c r="T124" s="504"/>
      <c r="U124" s="504"/>
      <c r="V124" s="504"/>
      <c r="W124" s="504"/>
      <c r="X124" s="504"/>
      <c r="Y124" s="504"/>
      <c r="Z124" s="504"/>
      <c r="AA124" s="504"/>
      <c r="AB124" s="504"/>
      <c r="AC124" s="504"/>
      <c r="AD124" s="504"/>
      <c r="AE124" s="504"/>
      <c r="AF124" s="504"/>
      <c r="AG124" s="504"/>
    </row>
    <row r="125" spans="1:33">
      <c r="A125" s="428"/>
      <c r="B125" s="499"/>
      <c r="C125" s="455"/>
      <c r="D125" s="109"/>
      <c r="E125" s="109"/>
      <c r="F125" s="109"/>
      <c r="G125" s="109"/>
      <c r="H125" s="109"/>
      <c r="I125" s="109"/>
      <c r="J125" s="109"/>
      <c r="K125" s="463"/>
      <c r="L125" s="463"/>
      <c r="M125" s="463"/>
      <c r="N125" s="463"/>
      <c r="O125" s="463"/>
      <c r="P125" s="463"/>
      <c r="Q125" s="463"/>
      <c r="R125" s="503"/>
      <c r="S125" s="504"/>
      <c r="T125" s="504"/>
      <c r="U125" s="504"/>
      <c r="V125" s="504"/>
      <c r="W125" s="504"/>
      <c r="X125" s="504"/>
      <c r="Y125" s="504"/>
      <c r="Z125" s="504"/>
      <c r="AA125" s="504"/>
      <c r="AB125" s="504"/>
      <c r="AC125" s="504"/>
      <c r="AD125" s="504"/>
      <c r="AE125" s="504"/>
      <c r="AF125" s="504"/>
      <c r="AG125" s="504"/>
    </row>
    <row r="126" spans="1:33">
      <c r="A126" s="428"/>
      <c r="B126" s="499"/>
      <c r="C126" s="455"/>
      <c r="D126" s="109"/>
      <c r="E126" s="109"/>
      <c r="F126" s="109"/>
      <c r="G126" s="109"/>
      <c r="H126" s="109"/>
      <c r="I126" s="109"/>
      <c r="J126" s="109"/>
      <c r="K126" s="463"/>
      <c r="L126" s="463"/>
      <c r="M126" s="463"/>
      <c r="N126" s="463"/>
      <c r="O126" s="463"/>
      <c r="P126" s="463"/>
      <c r="Q126" s="463"/>
      <c r="R126" s="503"/>
      <c r="S126" s="504"/>
      <c r="T126" s="504"/>
      <c r="U126" s="504"/>
      <c r="V126" s="504"/>
      <c r="W126" s="504"/>
      <c r="X126" s="504"/>
      <c r="Y126" s="504"/>
      <c r="Z126" s="504"/>
      <c r="AA126" s="504"/>
      <c r="AB126" s="504"/>
      <c r="AC126" s="504"/>
      <c r="AD126" s="504"/>
      <c r="AE126" s="504"/>
      <c r="AF126" s="504"/>
      <c r="AG126" s="504"/>
    </row>
    <row r="127" spans="1:33">
      <c r="A127" s="428"/>
      <c r="B127" s="499"/>
      <c r="C127" s="455"/>
      <c r="D127" s="109"/>
      <c r="E127" s="109"/>
      <c r="F127" s="109"/>
      <c r="G127" s="109"/>
      <c r="H127" s="109"/>
      <c r="I127" s="109"/>
      <c r="J127" s="109"/>
      <c r="K127" s="463"/>
      <c r="L127" s="463"/>
      <c r="M127" s="463"/>
      <c r="N127" s="463"/>
      <c r="O127" s="463"/>
      <c r="P127" s="463"/>
      <c r="Q127" s="463"/>
      <c r="R127" s="503"/>
      <c r="S127" s="504"/>
      <c r="T127" s="504"/>
      <c r="U127" s="504"/>
      <c r="V127" s="504"/>
      <c r="W127" s="504"/>
      <c r="X127" s="504"/>
      <c r="Y127" s="504"/>
      <c r="Z127" s="504"/>
      <c r="AA127" s="504"/>
      <c r="AB127" s="504"/>
      <c r="AC127" s="504"/>
      <c r="AD127" s="504"/>
      <c r="AE127" s="504"/>
      <c r="AF127" s="504"/>
      <c r="AG127" s="504"/>
    </row>
    <row r="128" spans="1:33">
      <c r="A128" s="427"/>
      <c r="B128" s="499"/>
      <c r="C128" s="455"/>
      <c r="D128" s="109"/>
      <c r="E128" s="109"/>
      <c r="F128" s="109"/>
      <c r="G128" s="109"/>
      <c r="H128" s="109"/>
      <c r="I128" s="109"/>
      <c r="J128" s="109"/>
      <c r="K128" s="463"/>
      <c r="L128" s="463"/>
      <c r="M128" s="463"/>
      <c r="N128" s="463"/>
      <c r="O128" s="463"/>
      <c r="P128" s="463"/>
      <c r="Q128" s="463"/>
      <c r="R128" s="503"/>
      <c r="S128" s="504"/>
      <c r="T128" s="504"/>
      <c r="U128" s="504"/>
      <c r="V128" s="504"/>
      <c r="W128" s="504"/>
      <c r="X128" s="504"/>
      <c r="Y128" s="504"/>
      <c r="Z128" s="504"/>
      <c r="AA128" s="504"/>
      <c r="AB128" s="504"/>
      <c r="AC128" s="504"/>
      <c r="AD128" s="504"/>
      <c r="AE128" s="504"/>
      <c r="AF128" s="504"/>
      <c r="AG128" s="504"/>
    </row>
    <row r="129" spans="1:33">
      <c r="A129" s="428"/>
      <c r="B129" s="505"/>
      <c r="C129" s="455"/>
      <c r="D129" s="109"/>
      <c r="E129" s="109"/>
      <c r="F129" s="109"/>
      <c r="G129" s="109"/>
      <c r="H129" s="109"/>
      <c r="I129" s="109"/>
      <c r="J129" s="109"/>
      <c r="K129" s="463"/>
      <c r="L129" s="463"/>
      <c r="M129" s="463"/>
      <c r="N129" s="463"/>
      <c r="O129" s="463"/>
      <c r="P129" s="463"/>
      <c r="Q129" s="463"/>
      <c r="R129" s="503"/>
      <c r="S129" s="504"/>
      <c r="T129" s="504"/>
      <c r="U129" s="504"/>
      <c r="V129" s="504"/>
      <c r="W129" s="504"/>
      <c r="X129" s="504"/>
      <c r="Y129" s="504"/>
      <c r="Z129" s="504"/>
      <c r="AA129" s="504"/>
      <c r="AB129" s="504"/>
      <c r="AC129" s="504"/>
      <c r="AD129" s="504"/>
      <c r="AE129" s="504"/>
      <c r="AF129" s="504"/>
      <c r="AG129" s="504"/>
    </row>
    <row r="130" spans="1:33">
      <c r="A130" s="225"/>
      <c r="B130" s="506"/>
      <c r="C130" s="455"/>
      <c r="D130" s="109"/>
      <c r="E130" s="109"/>
      <c r="F130" s="109"/>
      <c r="G130" s="109"/>
      <c r="H130" s="109"/>
      <c r="I130" s="109"/>
      <c r="J130" s="109"/>
      <c r="K130" s="463"/>
      <c r="L130" s="463"/>
      <c r="M130" s="463"/>
      <c r="N130" s="463"/>
      <c r="O130" s="463"/>
      <c r="P130" s="463"/>
      <c r="Q130" s="463"/>
      <c r="R130" s="503"/>
      <c r="S130" s="504"/>
      <c r="T130" s="504"/>
      <c r="U130" s="504"/>
      <c r="V130" s="504"/>
      <c r="W130" s="504"/>
      <c r="X130" s="504"/>
      <c r="Y130" s="504"/>
      <c r="Z130" s="504"/>
      <c r="AA130" s="504"/>
      <c r="AB130" s="504"/>
      <c r="AC130" s="504"/>
      <c r="AD130" s="504"/>
      <c r="AE130" s="504"/>
      <c r="AF130" s="504"/>
      <c r="AG130" s="504"/>
    </row>
    <row r="131" spans="1:33">
      <c r="A131" s="427"/>
      <c r="B131" s="499"/>
      <c r="C131" s="455"/>
      <c r="D131" s="109"/>
      <c r="E131" s="109"/>
      <c r="F131" s="109"/>
      <c r="G131" s="109"/>
      <c r="H131" s="109"/>
      <c r="I131" s="109"/>
      <c r="J131" s="109"/>
      <c r="K131" s="463"/>
      <c r="L131" s="463"/>
      <c r="M131" s="463"/>
      <c r="N131" s="463"/>
      <c r="O131" s="463"/>
      <c r="P131" s="463"/>
      <c r="Q131" s="463"/>
      <c r="R131" s="503"/>
      <c r="S131" s="504"/>
      <c r="T131" s="504"/>
      <c r="U131" s="504"/>
      <c r="V131" s="504"/>
      <c r="W131" s="504"/>
      <c r="X131" s="504"/>
      <c r="Y131" s="504"/>
      <c r="Z131" s="504"/>
      <c r="AA131" s="504"/>
      <c r="AB131" s="504"/>
      <c r="AC131" s="504"/>
      <c r="AD131" s="504"/>
      <c r="AE131" s="504"/>
      <c r="AF131" s="504"/>
      <c r="AG131" s="504"/>
    </row>
    <row r="132" spans="1:33">
      <c r="A132" s="427"/>
      <c r="B132" s="499"/>
      <c r="C132" s="455"/>
      <c r="D132" s="109"/>
      <c r="E132" s="109"/>
      <c r="F132" s="109"/>
      <c r="G132" s="109"/>
      <c r="H132" s="109"/>
      <c r="I132" s="109"/>
      <c r="J132" s="109"/>
      <c r="K132" s="463"/>
      <c r="L132" s="463"/>
      <c r="M132" s="463"/>
      <c r="N132" s="463"/>
      <c r="O132" s="463"/>
      <c r="P132" s="463"/>
      <c r="Q132" s="463"/>
      <c r="R132" s="503"/>
      <c r="S132" s="504"/>
      <c r="T132" s="504"/>
      <c r="U132" s="504"/>
      <c r="V132" s="504"/>
      <c r="W132" s="504"/>
      <c r="X132" s="504"/>
      <c r="Y132" s="504"/>
      <c r="Z132" s="504"/>
      <c r="AA132" s="504"/>
      <c r="AB132" s="504"/>
      <c r="AC132" s="504"/>
      <c r="AD132" s="504"/>
      <c r="AE132" s="504"/>
      <c r="AF132" s="504"/>
      <c r="AG132" s="504"/>
    </row>
    <row r="133" spans="1:33">
      <c r="A133" s="428"/>
      <c r="B133" s="505"/>
      <c r="C133" s="455"/>
      <c r="D133" s="109"/>
      <c r="E133" s="109"/>
      <c r="F133" s="109"/>
      <c r="G133" s="109"/>
      <c r="H133" s="109"/>
      <c r="I133" s="109"/>
      <c r="J133" s="109"/>
      <c r="K133" s="463"/>
      <c r="L133" s="463"/>
      <c r="M133" s="463"/>
      <c r="N133" s="463"/>
      <c r="O133" s="463"/>
      <c r="P133" s="463"/>
      <c r="Q133" s="463"/>
      <c r="R133" s="503"/>
      <c r="S133" s="504"/>
      <c r="T133" s="504"/>
      <c r="U133" s="504"/>
      <c r="V133" s="504"/>
      <c r="W133" s="504"/>
      <c r="X133" s="504"/>
      <c r="Y133" s="504"/>
      <c r="Z133" s="504"/>
      <c r="AA133" s="504"/>
      <c r="AB133" s="504"/>
      <c r="AC133" s="504"/>
      <c r="AD133" s="504"/>
      <c r="AE133" s="504"/>
      <c r="AF133" s="504"/>
      <c r="AG133" s="504"/>
    </row>
    <row r="134" spans="1:33">
      <c r="A134" s="427"/>
      <c r="B134" s="499"/>
      <c r="C134" s="220"/>
      <c r="D134" s="210"/>
      <c r="E134" s="507"/>
      <c r="F134" s="507"/>
      <c r="G134" s="507"/>
      <c r="H134" s="507"/>
      <c r="I134" s="507"/>
      <c r="J134" s="507"/>
      <c r="K134" s="507"/>
      <c r="L134" s="507"/>
      <c r="M134" s="507"/>
      <c r="N134" s="210"/>
      <c r="O134" s="210"/>
      <c r="P134" s="210"/>
      <c r="Q134" s="210"/>
      <c r="R134" s="225"/>
      <c r="S134" s="225"/>
      <c r="T134" s="225"/>
      <c r="U134" s="225"/>
      <c r="V134" s="225"/>
      <c r="W134" s="225"/>
      <c r="X134" s="225"/>
      <c r="Y134" s="225"/>
      <c r="Z134" s="225"/>
      <c r="AA134" s="225"/>
      <c r="AB134" s="225"/>
      <c r="AC134" s="225"/>
      <c r="AD134" s="225"/>
      <c r="AE134" s="225"/>
      <c r="AF134" s="225"/>
      <c r="AG134" s="225"/>
    </row>
    <row r="135" spans="1:33">
      <c r="A135" s="428"/>
      <c r="B135" s="505"/>
      <c r="C135" s="508"/>
      <c r="D135" s="406"/>
      <c r="E135" s="507"/>
      <c r="F135" s="507"/>
      <c r="G135" s="507"/>
      <c r="H135" s="507"/>
      <c r="I135" s="507"/>
      <c r="J135" s="507"/>
      <c r="K135" s="507"/>
      <c r="L135" s="507"/>
      <c r="M135" s="507"/>
      <c r="N135" s="210"/>
      <c r="O135" s="210"/>
      <c r="P135" s="210"/>
      <c r="Q135" s="210"/>
      <c r="R135" s="225"/>
      <c r="S135" s="225"/>
      <c r="T135" s="225"/>
      <c r="U135" s="225"/>
      <c r="V135" s="225"/>
      <c r="W135" s="225"/>
      <c r="X135" s="225"/>
      <c r="Y135" s="225"/>
      <c r="Z135" s="225"/>
      <c r="AA135" s="225"/>
      <c r="AB135" s="225"/>
      <c r="AC135" s="225"/>
      <c r="AD135" s="225"/>
      <c r="AE135" s="225"/>
      <c r="AF135" s="225"/>
      <c r="AG135" s="225"/>
    </row>
    <row r="136" spans="1:33">
      <c r="A136" s="225"/>
      <c r="B136" s="506"/>
      <c r="C136" s="225"/>
      <c r="D136" s="210"/>
      <c r="E136" s="507"/>
      <c r="F136" s="507"/>
      <c r="G136" s="507"/>
      <c r="H136" s="507"/>
      <c r="I136" s="507"/>
      <c r="J136" s="507"/>
      <c r="K136" s="507"/>
      <c r="L136" s="507"/>
      <c r="M136" s="507"/>
      <c r="N136" s="210"/>
      <c r="O136" s="210"/>
      <c r="P136" s="210"/>
      <c r="Q136" s="210"/>
      <c r="R136" s="225"/>
      <c r="S136" s="225"/>
      <c r="T136" s="225"/>
      <c r="U136" s="225"/>
      <c r="V136" s="225"/>
      <c r="W136" s="225"/>
      <c r="X136" s="225"/>
      <c r="Y136" s="225"/>
      <c r="Z136" s="225"/>
      <c r="AA136" s="225"/>
      <c r="AB136" s="225"/>
      <c r="AC136" s="225"/>
      <c r="AD136" s="225"/>
      <c r="AE136" s="225"/>
      <c r="AF136" s="225"/>
      <c r="AG136" s="225"/>
    </row>
    <row r="137" spans="1:33">
      <c r="A137" s="427"/>
      <c r="B137" s="499"/>
      <c r="C137" s="220"/>
      <c r="D137" s="210"/>
      <c r="E137" s="507"/>
      <c r="F137" s="507"/>
      <c r="G137" s="507"/>
      <c r="H137" s="507"/>
      <c r="I137" s="507"/>
      <c r="J137" s="507"/>
      <c r="K137" s="507"/>
      <c r="L137" s="507"/>
      <c r="M137" s="507"/>
      <c r="N137" s="210"/>
      <c r="O137" s="210"/>
      <c r="P137" s="210"/>
      <c r="Q137" s="210"/>
      <c r="R137" s="225"/>
      <c r="S137" s="225"/>
      <c r="T137" s="225"/>
      <c r="U137" s="225"/>
      <c r="V137" s="225"/>
      <c r="W137" s="225"/>
      <c r="X137" s="225"/>
      <c r="Y137" s="225"/>
      <c r="Z137" s="225"/>
      <c r="AA137" s="225"/>
      <c r="AB137" s="225"/>
      <c r="AC137" s="225"/>
      <c r="AD137" s="225"/>
      <c r="AE137" s="225"/>
      <c r="AF137" s="225"/>
      <c r="AG137" s="225"/>
    </row>
    <row r="138" spans="1:33">
      <c r="A138" s="427"/>
      <c r="B138" s="499"/>
      <c r="C138" s="220"/>
      <c r="D138" s="210"/>
      <c r="E138" s="507"/>
      <c r="F138" s="507"/>
      <c r="G138" s="507"/>
      <c r="H138" s="507"/>
      <c r="I138" s="507"/>
      <c r="J138" s="507"/>
      <c r="K138" s="507"/>
      <c r="L138" s="507"/>
      <c r="M138" s="507"/>
      <c r="N138" s="210"/>
      <c r="O138" s="210"/>
      <c r="P138" s="210"/>
      <c r="Q138" s="210"/>
      <c r="R138" s="225"/>
      <c r="S138" s="225"/>
      <c r="T138" s="225"/>
      <c r="U138" s="225"/>
      <c r="V138" s="225"/>
      <c r="W138" s="225"/>
      <c r="X138" s="225"/>
      <c r="Y138" s="225"/>
      <c r="Z138" s="225"/>
      <c r="AA138" s="225"/>
      <c r="AB138" s="225"/>
      <c r="AC138" s="225"/>
      <c r="AD138" s="225"/>
      <c r="AE138" s="225"/>
      <c r="AF138" s="225"/>
      <c r="AG138" s="225"/>
    </row>
    <row r="139" spans="1:33">
      <c r="A139" s="428"/>
      <c r="B139" s="505"/>
      <c r="C139" s="508"/>
      <c r="D139" s="406"/>
      <c r="E139" s="507"/>
      <c r="F139" s="507"/>
      <c r="G139" s="507"/>
      <c r="H139" s="507"/>
      <c r="I139" s="507"/>
      <c r="J139" s="507"/>
      <c r="K139" s="507"/>
      <c r="L139" s="507"/>
      <c r="M139" s="507"/>
      <c r="N139" s="210"/>
      <c r="O139" s="210"/>
      <c r="P139" s="210"/>
      <c r="Q139" s="210"/>
      <c r="R139" s="225"/>
      <c r="S139" s="225"/>
      <c r="T139" s="225"/>
      <c r="U139" s="225"/>
      <c r="V139" s="225"/>
      <c r="W139" s="225"/>
      <c r="X139" s="225"/>
      <c r="Y139" s="225"/>
      <c r="Z139" s="225"/>
      <c r="AA139" s="225"/>
      <c r="AB139" s="225"/>
      <c r="AC139" s="225"/>
      <c r="AD139" s="225"/>
      <c r="AE139" s="225"/>
      <c r="AF139" s="225"/>
      <c r="AG139" s="225"/>
    </row>
    <row r="140" spans="1:33">
      <c r="A140" s="225"/>
      <c r="B140" s="506"/>
      <c r="C140" s="225"/>
      <c r="D140" s="210"/>
      <c r="E140" s="507"/>
      <c r="F140" s="507"/>
      <c r="G140" s="507"/>
      <c r="H140" s="507"/>
      <c r="I140" s="507"/>
      <c r="J140" s="507"/>
      <c r="K140" s="507"/>
      <c r="L140" s="507"/>
      <c r="M140" s="507"/>
      <c r="N140" s="210"/>
      <c r="O140" s="210"/>
      <c r="P140" s="210"/>
      <c r="Q140" s="210"/>
      <c r="R140" s="225"/>
      <c r="S140" s="225"/>
      <c r="T140" s="225"/>
      <c r="U140" s="225"/>
      <c r="V140" s="225"/>
      <c r="W140" s="225"/>
      <c r="X140" s="225"/>
      <c r="Y140" s="225"/>
      <c r="Z140" s="225"/>
      <c r="AA140" s="225"/>
      <c r="AB140" s="225"/>
      <c r="AC140" s="225"/>
      <c r="AD140" s="225"/>
      <c r="AE140" s="225"/>
      <c r="AF140" s="225"/>
      <c r="AG140" s="225"/>
    </row>
    <row r="141" spans="1:33" ht="15.35">
      <c r="A141" s="212"/>
      <c r="B141" s="474"/>
      <c r="C141" s="212"/>
      <c r="D141" s="212"/>
      <c r="E141" s="507"/>
      <c r="F141" s="509"/>
      <c r="G141" s="509"/>
      <c r="H141" s="507"/>
      <c r="I141" s="507"/>
      <c r="J141" s="509"/>
      <c r="K141" s="509"/>
      <c r="L141" s="509"/>
      <c r="M141" s="509"/>
      <c r="N141" s="212"/>
      <c r="O141" s="212"/>
      <c r="P141" s="212"/>
      <c r="Q141" s="212"/>
      <c r="R141" s="212"/>
      <c r="S141" s="212"/>
      <c r="T141" s="212"/>
      <c r="U141" s="212"/>
      <c r="V141" s="212"/>
      <c r="W141" s="212"/>
      <c r="X141" s="212"/>
      <c r="Y141" s="212"/>
      <c r="Z141" s="212"/>
      <c r="AA141" s="212"/>
      <c r="AB141" s="212"/>
      <c r="AC141" s="212"/>
      <c r="AD141" s="212"/>
      <c r="AE141" s="212"/>
      <c r="AF141" s="212"/>
      <c r="AG141" s="212"/>
    </row>
    <row r="142" spans="1:33" ht="15.35">
      <c r="A142" s="212"/>
      <c r="B142" s="474"/>
      <c r="C142" s="212"/>
      <c r="D142" s="212"/>
      <c r="E142" s="507"/>
      <c r="F142" s="509"/>
      <c r="G142" s="509"/>
      <c r="H142" s="507"/>
      <c r="I142" s="507"/>
      <c r="J142" s="509"/>
      <c r="K142" s="509"/>
      <c r="L142" s="509"/>
      <c r="M142" s="509"/>
      <c r="N142" s="212"/>
      <c r="O142" s="212"/>
      <c r="P142" s="212"/>
      <c r="Q142" s="212"/>
      <c r="R142" s="212"/>
      <c r="S142" s="212"/>
      <c r="T142" s="212"/>
      <c r="U142" s="212"/>
      <c r="V142" s="212"/>
      <c r="W142" s="212"/>
      <c r="X142" s="212"/>
      <c r="Y142" s="212"/>
      <c r="Z142" s="212"/>
      <c r="AA142" s="212"/>
      <c r="AB142" s="212"/>
      <c r="AC142" s="212"/>
      <c r="AD142" s="212"/>
      <c r="AE142" s="212"/>
      <c r="AF142" s="212"/>
      <c r="AG142" s="212"/>
    </row>
    <row r="143" spans="1:33" ht="15.35">
      <c r="A143" s="212"/>
      <c r="B143" s="474"/>
      <c r="C143" s="212"/>
      <c r="D143" s="212"/>
      <c r="E143" s="507"/>
      <c r="F143" s="509"/>
      <c r="G143" s="509"/>
      <c r="H143" s="507"/>
      <c r="I143" s="507"/>
      <c r="J143" s="509"/>
      <c r="K143" s="509"/>
      <c r="L143" s="509"/>
      <c r="M143" s="509"/>
      <c r="N143" s="212"/>
      <c r="O143" s="212"/>
      <c r="P143" s="212"/>
      <c r="Q143" s="212"/>
      <c r="R143" s="212"/>
      <c r="S143" s="212"/>
      <c r="T143" s="212"/>
      <c r="U143" s="212"/>
      <c r="V143" s="212"/>
      <c r="W143" s="212"/>
      <c r="X143" s="212"/>
      <c r="Y143" s="212"/>
      <c r="Z143" s="212"/>
      <c r="AA143" s="212"/>
      <c r="AB143" s="212"/>
      <c r="AC143" s="212"/>
      <c r="AD143" s="212"/>
      <c r="AE143" s="212"/>
      <c r="AF143" s="212"/>
      <c r="AG143" s="212"/>
    </row>
    <row r="144" spans="1:33" ht="15.35">
      <c r="A144" s="212"/>
      <c r="B144" s="474"/>
      <c r="C144" s="212"/>
      <c r="D144" s="212"/>
      <c r="E144" s="507"/>
      <c r="F144" s="509"/>
      <c r="G144" s="509"/>
      <c r="H144" s="507"/>
      <c r="I144" s="507"/>
      <c r="J144" s="509"/>
      <c r="K144" s="509"/>
      <c r="L144" s="509"/>
      <c r="M144" s="509"/>
      <c r="N144" s="212"/>
      <c r="O144" s="212"/>
      <c r="P144" s="212"/>
      <c r="Q144" s="212"/>
      <c r="R144" s="212"/>
      <c r="S144" s="212"/>
      <c r="T144" s="212"/>
      <c r="U144" s="212"/>
      <c r="V144" s="212"/>
      <c r="W144" s="212"/>
      <c r="X144" s="212"/>
      <c r="Y144" s="212"/>
      <c r="Z144" s="212"/>
      <c r="AA144" s="212"/>
      <c r="AB144" s="212"/>
      <c r="AC144" s="212"/>
      <c r="AD144" s="212"/>
      <c r="AE144" s="212"/>
      <c r="AF144" s="212"/>
      <c r="AG144" s="212"/>
    </row>
    <row r="145" spans="2:13" ht="15.35">
      <c r="B145" s="510"/>
      <c r="C145" s="211"/>
      <c r="D145" s="212"/>
      <c r="E145" s="509"/>
      <c r="F145" s="509"/>
      <c r="G145" s="509"/>
      <c r="H145" s="507"/>
      <c r="I145" s="507"/>
      <c r="J145" s="509"/>
      <c r="K145" s="509"/>
      <c r="L145" s="509"/>
      <c r="M145" s="509"/>
    </row>
    <row r="146" spans="2:13" ht="15.35">
      <c r="B146" s="474"/>
      <c r="C146" s="212"/>
      <c r="D146" s="212"/>
      <c r="E146" s="509"/>
      <c r="F146" s="509"/>
      <c r="G146" s="509"/>
      <c r="H146" s="507"/>
      <c r="I146" s="507"/>
      <c r="J146" s="509"/>
      <c r="K146" s="509"/>
      <c r="L146" s="509"/>
      <c r="M146" s="509"/>
    </row>
    <row r="147" spans="2:13" ht="15.35">
      <c r="B147" s="474"/>
      <c r="C147" s="212"/>
      <c r="D147" s="212"/>
      <c r="E147" s="509"/>
      <c r="F147" s="509"/>
      <c r="G147" s="509"/>
      <c r="H147" s="507"/>
      <c r="I147" s="507"/>
      <c r="J147" s="509"/>
      <c r="K147" s="509"/>
      <c r="L147" s="509"/>
      <c r="M147" s="509"/>
    </row>
    <row r="148" spans="2:13" ht="15.35">
      <c r="B148" s="474"/>
      <c r="C148" s="212"/>
      <c r="D148" s="212"/>
      <c r="E148" s="509"/>
      <c r="F148" s="509"/>
      <c r="G148" s="509"/>
      <c r="H148" s="507"/>
      <c r="I148" s="507"/>
      <c r="J148" s="509"/>
      <c r="K148" s="509"/>
      <c r="L148" s="509"/>
      <c r="M148" s="509"/>
    </row>
    <row r="149" spans="2:13" ht="15.35">
      <c r="B149" s="474"/>
      <c r="C149" s="212"/>
      <c r="D149" s="212"/>
      <c r="E149" s="509"/>
      <c r="F149" s="509"/>
      <c r="G149" s="509"/>
      <c r="H149" s="507"/>
      <c r="I149" s="507"/>
      <c r="J149" s="509"/>
      <c r="K149" s="509"/>
      <c r="L149" s="509"/>
      <c r="M149" s="509"/>
    </row>
    <row r="150" spans="2:13" ht="15.35">
      <c r="B150" s="474"/>
      <c r="C150" s="212"/>
      <c r="D150" s="212"/>
      <c r="E150" s="509"/>
      <c r="F150" s="509"/>
      <c r="G150" s="509"/>
      <c r="H150" s="507"/>
      <c r="I150" s="507"/>
      <c r="J150" s="509"/>
      <c r="K150" s="509"/>
      <c r="L150" s="509"/>
      <c r="M150" s="509"/>
    </row>
    <row r="151" spans="2:13" ht="15.35">
      <c r="B151" s="474"/>
      <c r="C151" s="212"/>
      <c r="D151" s="212"/>
      <c r="E151" s="509"/>
      <c r="F151" s="509"/>
      <c r="G151" s="509"/>
      <c r="H151" s="507"/>
      <c r="I151" s="507"/>
      <c r="J151" s="509"/>
      <c r="K151" s="509"/>
      <c r="L151" s="509"/>
      <c r="M151" s="509"/>
    </row>
    <row r="152" spans="2:13" ht="15.35">
      <c r="B152" s="474"/>
      <c r="C152" s="212"/>
      <c r="D152" s="212"/>
      <c r="E152" s="509"/>
      <c r="F152" s="509"/>
      <c r="G152" s="509"/>
      <c r="H152" s="507"/>
      <c r="I152" s="507"/>
      <c r="J152" s="509"/>
      <c r="K152" s="509"/>
      <c r="L152" s="509"/>
      <c r="M152" s="509"/>
    </row>
    <row r="153" spans="2:13" ht="15.35">
      <c r="B153" s="474"/>
      <c r="C153" s="212"/>
      <c r="D153" s="212"/>
      <c r="E153" s="509"/>
      <c r="F153" s="509"/>
      <c r="G153" s="509"/>
      <c r="H153" s="507"/>
      <c r="I153" s="507"/>
      <c r="J153" s="509"/>
      <c r="K153" s="509"/>
      <c r="L153" s="509"/>
      <c r="M153" s="509"/>
    </row>
    <row r="154" spans="2:13" ht="15.35">
      <c r="B154" s="474"/>
      <c r="C154" s="212"/>
      <c r="D154" s="212"/>
      <c r="E154" s="509"/>
      <c r="F154" s="509"/>
      <c r="G154" s="509"/>
      <c r="H154" s="507"/>
      <c r="I154" s="507"/>
      <c r="J154" s="509"/>
      <c r="K154" s="509"/>
      <c r="L154" s="509"/>
      <c r="M154" s="509"/>
    </row>
    <row r="155" spans="2:13" ht="15.35">
      <c r="B155" s="474"/>
      <c r="C155" s="212"/>
      <c r="D155" s="212"/>
      <c r="E155" s="509"/>
      <c r="F155" s="509"/>
      <c r="G155" s="509"/>
      <c r="H155" s="507"/>
      <c r="I155" s="507"/>
      <c r="J155" s="509"/>
      <c r="K155" s="509"/>
      <c r="L155" s="509"/>
      <c r="M155" s="509"/>
    </row>
    <row r="156" spans="2:13" ht="15.35">
      <c r="B156" s="474"/>
      <c r="C156" s="212"/>
      <c r="D156" s="212"/>
      <c r="E156" s="509"/>
      <c r="F156" s="509"/>
      <c r="G156" s="509"/>
      <c r="H156" s="507"/>
      <c r="I156" s="507"/>
      <c r="J156" s="509"/>
      <c r="K156" s="509"/>
      <c r="L156" s="509"/>
      <c r="M156" s="509"/>
    </row>
    <row r="157" spans="2:13" ht="15.35">
      <c r="B157" s="474"/>
      <c r="C157" s="212"/>
      <c r="D157" s="212"/>
      <c r="E157" s="509"/>
      <c r="F157" s="509"/>
      <c r="G157" s="509"/>
      <c r="H157" s="507"/>
      <c r="I157" s="507"/>
      <c r="J157" s="509"/>
      <c r="K157" s="509"/>
      <c r="L157" s="509"/>
      <c r="M157" s="509"/>
    </row>
    <row r="158" spans="2:13" ht="15.35">
      <c r="B158" s="474"/>
      <c r="C158" s="212"/>
      <c r="D158" s="212"/>
      <c r="E158" s="509"/>
      <c r="F158" s="509"/>
      <c r="G158" s="509"/>
      <c r="H158" s="507"/>
      <c r="I158" s="507"/>
      <c r="J158" s="509"/>
      <c r="K158" s="509"/>
      <c r="L158" s="509"/>
      <c r="M158" s="509"/>
    </row>
    <row r="159" spans="2:13" ht="15.35">
      <c r="B159" s="474"/>
      <c r="C159" s="212"/>
      <c r="D159" s="212"/>
      <c r="E159" s="509"/>
      <c r="F159" s="509"/>
      <c r="G159" s="509"/>
      <c r="H159" s="507"/>
      <c r="I159" s="507"/>
      <c r="J159" s="509"/>
      <c r="K159" s="509"/>
      <c r="L159" s="509"/>
      <c r="M159" s="509"/>
    </row>
    <row r="160" spans="2:13" ht="15.35">
      <c r="B160" s="474"/>
      <c r="C160" s="212"/>
      <c r="D160" s="212"/>
      <c r="E160" s="509"/>
      <c r="F160" s="509"/>
      <c r="G160" s="509"/>
      <c r="H160" s="507"/>
      <c r="I160" s="507"/>
      <c r="J160" s="509"/>
      <c r="K160" s="509"/>
      <c r="L160" s="509"/>
      <c r="M160" s="509"/>
    </row>
    <row r="161" spans="5:13">
      <c r="E161" s="509"/>
      <c r="F161" s="509"/>
      <c r="G161" s="509"/>
      <c r="H161" s="507"/>
      <c r="I161" s="507"/>
      <c r="J161" s="509"/>
      <c r="K161" s="509"/>
      <c r="L161" s="509"/>
      <c r="M161" s="509"/>
    </row>
    <row r="162" spans="5:13">
      <c r="E162" s="509"/>
      <c r="F162" s="509"/>
      <c r="G162" s="509"/>
      <c r="H162" s="507"/>
      <c r="I162" s="507"/>
      <c r="J162" s="509"/>
      <c r="K162" s="509"/>
      <c r="L162" s="509"/>
      <c r="M162" s="509"/>
    </row>
    <row r="163" spans="5:13">
      <c r="E163" s="509"/>
      <c r="F163" s="509"/>
      <c r="G163" s="509"/>
      <c r="H163" s="507"/>
      <c r="I163" s="507"/>
      <c r="J163" s="509"/>
      <c r="K163" s="509"/>
      <c r="L163" s="509"/>
      <c r="M163" s="509"/>
    </row>
    <row r="164" spans="5:13">
      <c r="E164" s="509"/>
      <c r="F164" s="509"/>
      <c r="G164" s="509"/>
      <c r="H164" s="507"/>
      <c r="I164" s="507"/>
      <c r="J164" s="509"/>
      <c r="K164" s="509"/>
      <c r="L164" s="509"/>
      <c r="M164" s="509"/>
    </row>
    <row r="165" spans="5:13">
      <c r="E165" s="509"/>
      <c r="F165" s="509"/>
      <c r="G165" s="509"/>
      <c r="H165" s="507"/>
      <c r="I165" s="507"/>
      <c r="J165" s="509"/>
      <c r="K165" s="509"/>
      <c r="L165" s="509"/>
      <c r="M165" s="509"/>
    </row>
    <row r="166" spans="5:13">
      <c r="E166" s="509"/>
      <c r="F166" s="509"/>
      <c r="G166" s="509"/>
      <c r="H166" s="507"/>
      <c r="I166" s="507"/>
      <c r="J166" s="509"/>
      <c r="K166" s="509"/>
      <c r="L166" s="509"/>
      <c r="M166" s="509"/>
    </row>
    <row r="167" spans="5:13">
      <c r="E167" s="509"/>
      <c r="F167" s="509"/>
      <c r="G167" s="509"/>
      <c r="H167" s="507"/>
      <c r="I167" s="507"/>
      <c r="J167" s="509"/>
      <c r="K167" s="509"/>
      <c r="L167" s="509"/>
      <c r="M167" s="509"/>
    </row>
    <row r="168" spans="5:13">
      <c r="E168" s="509"/>
      <c r="F168" s="509"/>
      <c r="G168" s="509"/>
      <c r="H168" s="507"/>
      <c r="I168" s="507"/>
      <c r="J168" s="509"/>
      <c r="K168" s="509"/>
      <c r="L168" s="509"/>
      <c r="M168" s="509"/>
    </row>
    <row r="169" spans="5:13">
      <c r="E169" s="509"/>
      <c r="F169" s="509"/>
      <c r="G169" s="509"/>
      <c r="H169" s="507"/>
      <c r="I169" s="507"/>
      <c r="J169" s="509"/>
      <c r="K169" s="509"/>
      <c r="L169" s="509"/>
      <c r="M169" s="509"/>
    </row>
    <row r="170" spans="5:13">
      <c r="E170" s="509"/>
      <c r="F170" s="509"/>
      <c r="G170" s="509"/>
      <c r="H170" s="507"/>
      <c r="I170" s="507"/>
      <c r="J170" s="509"/>
      <c r="K170" s="509"/>
      <c r="L170" s="509"/>
      <c r="M170" s="509"/>
    </row>
    <row r="171" spans="5:13">
      <c r="E171" s="509"/>
      <c r="F171" s="509"/>
      <c r="G171" s="509"/>
      <c r="H171" s="507"/>
      <c r="I171" s="507"/>
      <c r="J171" s="509"/>
      <c r="K171" s="509"/>
      <c r="L171" s="509"/>
      <c r="M171" s="509"/>
    </row>
    <row r="172" spans="5:13">
      <c r="E172" s="509"/>
      <c r="F172" s="509"/>
      <c r="G172" s="509"/>
      <c r="H172" s="507"/>
      <c r="I172" s="507"/>
      <c r="J172" s="509"/>
      <c r="K172" s="509"/>
      <c r="L172" s="509"/>
      <c r="M172" s="509"/>
    </row>
    <row r="173" spans="5:13">
      <c r="E173" s="509"/>
      <c r="F173" s="509"/>
      <c r="G173" s="509"/>
      <c r="H173" s="507"/>
      <c r="I173" s="507"/>
      <c r="J173" s="509"/>
      <c r="K173" s="509"/>
      <c r="L173" s="509"/>
      <c r="M173" s="509"/>
    </row>
    <row r="174" spans="5:13">
      <c r="E174" s="509"/>
      <c r="F174" s="509"/>
      <c r="G174" s="509"/>
      <c r="H174" s="507"/>
      <c r="I174" s="507"/>
      <c r="J174" s="509"/>
      <c r="K174" s="509"/>
      <c r="L174" s="509"/>
      <c r="M174" s="509"/>
    </row>
    <row r="175" spans="5:13">
      <c r="E175" s="509"/>
      <c r="F175" s="509"/>
      <c r="G175" s="509"/>
      <c r="H175" s="507"/>
      <c r="I175" s="507"/>
      <c r="J175" s="509"/>
      <c r="K175" s="509"/>
      <c r="L175" s="509"/>
      <c r="M175" s="509"/>
    </row>
    <row r="176" spans="5:13">
      <c r="E176" s="509"/>
      <c r="F176" s="509"/>
      <c r="G176" s="509"/>
      <c r="H176" s="507"/>
      <c r="I176" s="507"/>
      <c r="J176" s="509"/>
      <c r="K176" s="509"/>
      <c r="L176" s="509"/>
      <c r="M176" s="509"/>
    </row>
    <row r="177" spans="5:13">
      <c r="E177" s="509"/>
      <c r="F177" s="509"/>
      <c r="G177" s="509"/>
      <c r="H177" s="507"/>
      <c r="I177" s="507"/>
      <c r="J177" s="509"/>
      <c r="K177" s="509"/>
      <c r="L177" s="509"/>
      <c r="M177" s="509"/>
    </row>
    <row r="178" spans="5:13">
      <c r="E178" s="509"/>
      <c r="F178" s="509"/>
      <c r="G178" s="509"/>
      <c r="H178" s="507"/>
      <c r="I178" s="507"/>
      <c r="J178" s="509"/>
      <c r="K178" s="509"/>
      <c r="L178" s="509"/>
      <c r="M178" s="509"/>
    </row>
    <row r="179" spans="5:13">
      <c r="E179" s="509"/>
      <c r="F179" s="509"/>
      <c r="G179" s="509"/>
      <c r="H179" s="507"/>
      <c r="I179" s="507"/>
      <c r="J179" s="509"/>
      <c r="K179" s="509"/>
      <c r="L179" s="509"/>
      <c r="M179" s="509"/>
    </row>
    <row r="180" spans="5:13">
      <c r="E180" s="509"/>
      <c r="F180" s="509"/>
      <c r="G180" s="509"/>
      <c r="H180" s="507"/>
      <c r="I180" s="507"/>
      <c r="J180" s="509"/>
      <c r="K180" s="509"/>
      <c r="L180" s="509"/>
      <c r="M180" s="509"/>
    </row>
    <row r="181" spans="5:13">
      <c r="E181" s="509"/>
      <c r="F181" s="509"/>
      <c r="G181" s="509"/>
      <c r="H181" s="507"/>
      <c r="I181" s="507"/>
      <c r="J181" s="509"/>
      <c r="K181" s="509"/>
      <c r="L181" s="509"/>
      <c r="M181" s="509"/>
    </row>
    <row r="182" spans="5:13">
      <c r="E182" s="509"/>
      <c r="F182" s="509"/>
      <c r="G182" s="509"/>
      <c r="H182" s="507"/>
      <c r="I182" s="507"/>
      <c r="J182" s="509"/>
      <c r="K182" s="509"/>
      <c r="L182" s="509"/>
      <c r="M182" s="509"/>
    </row>
    <row r="183" spans="5:13">
      <c r="E183" s="509"/>
      <c r="F183" s="509"/>
      <c r="G183" s="509"/>
      <c r="H183" s="507"/>
      <c r="I183" s="507"/>
      <c r="J183" s="509"/>
      <c r="K183" s="509"/>
      <c r="L183" s="509"/>
      <c r="M183" s="509"/>
    </row>
    <row r="184" spans="5:13">
      <c r="E184" s="509"/>
      <c r="F184" s="509"/>
      <c r="G184" s="509"/>
      <c r="H184" s="507"/>
      <c r="I184" s="507"/>
      <c r="J184" s="509"/>
      <c r="K184" s="509"/>
      <c r="L184" s="509"/>
      <c r="M184" s="509"/>
    </row>
    <row r="185" spans="5:13">
      <c r="E185" s="509"/>
      <c r="F185" s="509"/>
      <c r="G185" s="509"/>
      <c r="H185" s="507"/>
      <c r="I185" s="507"/>
      <c r="J185" s="509"/>
      <c r="K185" s="509"/>
      <c r="L185" s="509"/>
      <c r="M185" s="509"/>
    </row>
    <row r="186" spans="5:13">
      <c r="E186" s="509"/>
      <c r="F186" s="509"/>
      <c r="G186" s="509"/>
      <c r="H186" s="507"/>
      <c r="I186" s="507"/>
      <c r="J186" s="509"/>
      <c r="K186" s="509"/>
      <c r="L186" s="509"/>
      <c r="M186" s="509"/>
    </row>
    <row r="187" spans="5:13">
      <c r="E187" s="509"/>
      <c r="F187" s="509"/>
      <c r="G187" s="509"/>
      <c r="H187" s="507"/>
      <c r="I187" s="507"/>
      <c r="J187" s="509"/>
      <c r="K187" s="509"/>
      <c r="L187" s="509"/>
      <c r="M187" s="509"/>
    </row>
    <row r="188" spans="5:13">
      <c r="E188" s="509"/>
      <c r="F188" s="509"/>
      <c r="G188" s="509"/>
      <c r="H188" s="507"/>
      <c r="I188" s="507"/>
      <c r="J188" s="509"/>
      <c r="K188" s="509"/>
      <c r="L188" s="509"/>
      <c r="M188" s="509"/>
    </row>
    <row r="189" spans="5:13">
      <c r="E189" s="509"/>
      <c r="F189" s="509"/>
      <c r="G189" s="509"/>
      <c r="H189" s="507"/>
      <c r="I189" s="507"/>
      <c r="J189" s="509"/>
      <c r="K189" s="509"/>
      <c r="L189" s="509"/>
      <c r="M189" s="509"/>
    </row>
    <row r="190" spans="5:13">
      <c r="E190" s="509"/>
      <c r="F190" s="509"/>
      <c r="G190" s="509"/>
      <c r="H190" s="507"/>
      <c r="I190" s="507"/>
      <c r="J190" s="509"/>
      <c r="K190" s="509"/>
      <c r="L190" s="509"/>
      <c r="M190" s="509"/>
    </row>
    <row r="191" spans="5:13">
      <c r="E191" s="509"/>
      <c r="F191" s="509"/>
      <c r="G191" s="509"/>
      <c r="H191" s="507"/>
      <c r="I191" s="507"/>
      <c r="J191" s="509"/>
      <c r="K191" s="509"/>
      <c r="L191" s="509"/>
      <c r="M191" s="509"/>
    </row>
    <row r="192" spans="5:13">
      <c r="E192" s="509"/>
      <c r="F192" s="509"/>
      <c r="G192" s="509"/>
      <c r="H192" s="507"/>
      <c r="I192" s="507"/>
      <c r="J192" s="509"/>
      <c r="K192" s="509"/>
      <c r="L192" s="509"/>
      <c r="M192" s="509"/>
    </row>
    <row r="193" spans="5:13">
      <c r="E193" s="509"/>
      <c r="F193" s="509"/>
      <c r="G193" s="509"/>
      <c r="H193" s="507"/>
      <c r="I193" s="507"/>
      <c r="J193" s="509"/>
      <c r="K193" s="509"/>
      <c r="L193" s="509"/>
      <c r="M193" s="509"/>
    </row>
    <row r="194" spans="5:13">
      <c r="E194" s="509"/>
      <c r="F194" s="509"/>
      <c r="G194" s="509"/>
      <c r="H194" s="507"/>
      <c r="I194" s="507"/>
      <c r="J194" s="509"/>
      <c r="K194" s="509"/>
      <c r="L194" s="509"/>
      <c r="M194" s="509"/>
    </row>
    <row r="195" spans="5:13">
      <c r="E195" s="509"/>
      <c r="F195" s="509"/>
      <c r="G195" s="509"/>
      <c r="H195" s="507"/>
      <c r="I195" s="507"/>
      <c r="J195" s="509"/>
      <c r="K195" s="509"/>
      <c r="L195" s="509"/>
      <c r="M195" s="509"/>
    </row>
    <row r="196" spans="5:13">
      <c r="E196" s="509"/>
      <c r="F196" s="509"/>
      <c r="G196" s="509"/>
      <c r="H196" s="507"/>
      <c r="I196" s="507"/>
      <c r="J196" s="509"/>
      <c r="K196" s="509"/>
      <c r="L196" s="509"/>
      <c r="M196" s="509"/>
    </row>
    <row r="197" spans="5:13">
      <c r="E197" s="509"/>
      <c r="F197" s="509"/>
      <c r="G197" s="509"/>
      <c r="H197" s="507"/>
      <c r="I197" s="507"/>
      <c r="J197" s="509"/>
      <c r="K197" s="509"/>
      <c r="L197" s="509"/>
      <c r="M197" s="509"/>
    </row>
    <row r="198" spans="5:13">
      <c r="E198" s="509"/>
      <c r="F198" s="509"/>
      <c r="G198" s="509"/>
      <c r="H198" s="507"/>
      <c r="I198" s="507"/>
      <c r="J198" s="509"/>
      <c r="K198" s="509"/>
      <c r="L198" s="509"/>
      <c r="M198" s="509"/>
    </row>
    <row r="199" spans="5:13">
      <c r="E199" s="509"/>
      <c r="F199" s="509"/>
      <c r="G199" s="509"/>
      <c r="H199" s="507"/>
      <c r="I199" s="507"/>
      <c r="J199" s="509"/>
      <c r="K199" s="509"/>
      <c r="L199" s="509"/>
      <c r="M199" s="509"/>
    </row>
    <row r="200" spans="5:13">
      <c r="E200" s="509"/>
      <c r="F200" s="509"/>
      <c r="G200" s="509"/>
      <c r="H200" s="507"/>
      <c r="I200" s="507"/>
      <c r="J200" s="509"/>
      <c r="K200" s="509"/>
      <c r="L200" s="509"/>
      <c r="M200" s="509"/>
    </row>
    <row r="201" spans="5:13">
      <c r="E201" s="509"/>
      <c r="F201" s="509"/>
      <c r="G201" s="509"/>
      <c r="H201" s="507"/>
      <c r="I201" s="507"/>
      <c r="J201" s="509"/>
      <c r="K201" s="509"/>
      <c r="L201" s="509"/>
      <c r="M201" s="509"/>
    </row>
    <row r="202" spans="5:13">
      <c r="E202" s="509"/>
      <c r="F202" s="509"/>
      <c r="G202" s="509"/>
      <c r="H202" s="507"/>
      <c r="I202" s="507"/>
      <c r="J202" s="509"/>
      <c r="K202" s="509"/>
      <c r="L202" s="509"/>
      <c r="M202" s="509"/>
    </row>
    <row r="203" spans="5:13">
      <c r="E203" s="509"/>
      <c r="F203" s="509"/>
      <c r="G203" s="509"/>
      <c r="H203" s="507"/>
      <c r="I203" s="507"/>
      <c r="J203" s="509"/>
      <c r="K203" s="509"/>
      <c r="L203" s="509"/>
      <c r="M203" s="509"/>
    </row>
    <row r="204" spans="5:13">
      <c r="E204" s="509"/>
      <c r="F204" s="509"/>
      <c r="G204" s="509"/>
      <c r="H204" s="507"/>
      <c r="I204" s="507"/>
      <c r="J204" s="509"/>
      <c r="K204" s="509"/>
      <c r="L204" s="509"/>
      <c r="M204" s="509"/>
    </row>
    <row r="205" spans="5:13">
      <c r="E205" s="509"/>
      <c r="F205" s="509"/>
      <c r="G205" s="509"/>
      <c r="H205" s="507"/>
      <c r="I205" s="507"/>
      <c r="J205" s="509"/>
      <c r="K205" s="509"/>
      <c r="L205" s="509"/>
      <c r="M205" s="509"/>
    </row>
    <row r="206" spans="5:13">
      <c r="E206" s="509"/>
      <c r="F206" s="509"/>
      <c r="G206" s="509"/>
      <c r="H206" s="507"/>
      <c r="I206" s="507"/>
      <c r="J206" s="509"/>
      <c r="K206" s="509"/>
      <c r="L206" s="509"/>
      <c r="M206" s="509"/>
    </row>
    <row r="207" spans="5:13">
      <c r="E207" s="509"/>
      <c r="F207" s="509"/>
      <c r="G207" s="509"/>
      <c r="H207" s="507"/>
      <c r="I207" s="507"/>
      <c r="J207" s="509"/>
      <c r="K207" s="509"/>
      <c r="L207" s="509"/>
      <c r="M207" s="509"/>
    </row>
    <row r="208" spans="5:13">
      <c r="E208" s="509"/>
      <c r="F208" s="509"/>
      <c r="G208" s="509"/>
      <c r="H208" s="507"/>
      <c r="I208" s="507"/>
      <c r="J208" s="509"/>
      <c r="K208" s="509"/>
      <c r="L208" s="509"/>
      <c r="M208" s="509"/>
    </row>
    <row r="209" spans="5:13">
      <c r="E209" s="509"/>
      <c r="F209" s="509"/>
      <c r="G209" s="509"/>
      <c r="H209" s="507"/>
      <c r="I209" s="507"/>
      <c r="J209" s="509"/>
      <c r="K209" s="509"/>
      <c r="L209" s="509"/>
      <c r="M209" s="509"/>
    </row>
    <row r="210" spans="5:13">
      <c r="E210" s="509"/>
      <c r="F210" s="509"/>
      <c r="G210" s="509"/>
      <c r="H210" s="507"/>
      <c r="I210" s="507"/>
      <c r="J210" s="509"/>
      <c r="K210" s="509"/>
      <c r="L210" s="509"/>
      <c r="M210" s="509"/>
    </row>
    <row r="211" spans="5:13">
      <c r="E211" s="509"/>
      <c r="F211" s="509"/>
      <c r="G211" s="509"/>
      <c r="H211" s="507"/>
      <c r="I211" s="507"/>
      <c r="J211" s="509"/>
      <c r="K211" s="509"/>
      <c r="L211" s="509"/>
      <c r="M211" s="509"/>
    </row>
    <row r="212" spans="5:13">
      <c r="E212" s="509"/>
      <c r="F212" s="509"/>
      <c r="G212" s="509"/>
      <c r="H212" s="507"/>
      <c r="I212" s="507"/>
      <c r="J212" s="509"/>
      <c r="K212" s="509"/>
      <c r="L212" s="509"/>
      <c r="M212" s="509"/>
    </row>
    <row r="213" spans="5:13">
      <c r="E213" s="509"/>
      <c r="F213" s="509"/>
      <c r="G213" s="509"/>
      <c r="H213" s="507"/>
      <c r="I213" s="507"/>
      <c r="J213" s="509"/>
      <c r="K213" s="509"/>
      <c r="L213" s="509"/>
      <c r="M213" s="509"/>
    </row>
    <row r="214" spans="5:13">
      <c r="E214" s="509"/>
      <c r="F214" s="509"/>
      <c r="G214" s="509"/>
      <c r="H214" s="507"/>
      <c r="I214" s="507"/>
      <c r="J214" s="509"/>
      <c r="K214" s="509"/>
      <c r="L214" s="509"/>
      <c r="M214" s="509"/>
    </row>
    <row r="215" spans="5:13">
      <c r="E215" s="509"/>
      <c r="F215" s="509"/>
      <c r="G215" s="509"/>
      <c r="H215" s="507"/>
      <c r="I215" s="507"/>
      <c r="J215" s="509"/>
      <c r="K215" s="509"/>
      <c r="L215" s="509"/>
      <c r="M215" s="509"/>
    </row>
    <row r="216" spans="5:13">
      <c r="E216" s="509"/>
      <c r="F216" s="509"/>
      <c r="G216" s="509"/>
      <c r="H216" s="507"/>
      <c r="I216" s="507"/>
      <c r="J216" s="509"/>
      <c r="K216" s="509"/>
      <c r="L216" s="509"/>
      <c r="M216" s="509"/>
    </row>
    <row r="217" spans="5:13" ht="15.35">
      <c r="E217" s="212"/>
      <c r="F217" s="212"/>
      <c r="G217" s="212"/>
      <c r="H217" s="210"/>
      <c r="I217" s="210"/>
      <c r="J217" s="212"/>
      <c r="K217" s="212"/>
      <c r="L217" s="212"/>
      <c r="M217" s="212"/>
    </row>
    <row r="218" spans="5:13" ht="15.35">
      <c r="E218" s="212"/>
      <c r="F218" s="212"/>
      <c r="G218" s="212"/>
      <c r="H218" s="210"/>
      <c r="I218" s="210"/>
      <c r="J218" s="212"/>
      <c r="K218" s="212"/>
      <c r="L218" s="212"/>
      <c r="M218" s="212"/>
    </row>
    <row r="219" spans="5:13" ht="15.35">
      <c r="E219" s="212"/>
      <c r="F219" s="212"/>
      <c r="G219" s="212"/>
      <c r="H219" s="210"/>
      <c r="I219" s="210"/>
      <c r="J219" s="212"/>
      <c r="K219" s="212"/>
      <c r="L219" s="212"/>
      <c r="M219" s="212"/>
    </row>
    <row r="220" spans="5:13" ht="15.35">
      <c r="E220" s="212"/>
      <c r="F220" s="212"/>
      <c r="G220" s="212"/>
      <c r="H220" s="210"/>
      <c r="I220" s="210"/>
      <c r="J220" s="212"/>
      <c r="K220" s="212"/>
      <c r="L220" s="212"/>
      <c r="M220" s="212"/>
    </row>
    <row r="221" spans="5:13" ht="15.35">
      <c r="E221" s="212"/>
      <c r="F221" s="212"/>
      <c r="G221" s="212"/>
      <c r="H221" s="210"/>
      <c r="I221" s="210"/>
      <c r="J221" s="212"/>
      <c r="K221" s="212"/>
      <c r="L221" s="212"/>
      <c r="M221" s="212"/>
    </row>
    <row r="222" spans="5:13" ht="15.35">
      <c r="E222" s="212"/>
      <c r="F222" s="212"/>
      <c r="G222" s="212"/>
      <c r="H222" s="210"/>
      <c r="I222" s="210"/>
      <c r="J222" s="212"/>
      <c r="K222" s="212"/>
      <c r="L222" s="212"/>
      <c r="M222" s="212"/>
    </row>
    <row r="223" spans="5:13" ht="15.35">
      <c r="E223" s="212"/>
      <c r="F223" s="212"/>
      <c r="G223" s="212"/>
      <c r="H223" s="210"/>
      <c r="I223" s="210"/>
      <c r="J223" s="212"/>
      <c r="K223" s="212"/>
      <c r="L223" s="212"/>
      <c r="M223" s="212"/>
    </row>
    <row r="224" spans="5:13" ht="15.35">
      <c r="E224" s="212"/>
      <c r="F224" s="212"/>
      <c r="G224" s="212"/>
      <c r="H224" s="210"/>
      <c r="I224" s="210"/>
      <c r="J224" s="212"/>
      <c r="K224" s="212"/>
      <c r="L224" s="212"/>
      <c r="M224" s="212"/>
    </row>
    <row r="225" spans="8:9">
      <c r="H225" s="210"/>
      <c r="I225" s="210"/>
    </row>
    <row r="226" spans="8:9">
      <c r="H226" s="210"/>
      <c r="I226" s="210"/>
    </row>
    <row r="227" spans="8:9">
      <c r="H227" s="210"/>
      <c r="I227" s="210"/>
    </row>
    <row r="228" spans="8:9">
      <c r="H228" s="210"/>
      <c r="I228" s="210"/>
    </row>
    <row r="229" spans="8:9">
      <c r="H229" s="210"/>
      <c r="I229" s="210"/>
    </row>
    <row r="230" spans="8:9">
      <c r="H230" s="210"/>
      <c r="I230" s="210"/>
    </row>
    <row r="231" spans="8:9">
      <c r="H231" s="210"/>
      <c r="I231" s="210"/>
    </row>
    <row r="232" spans="8:9">
      <c r="H232" s="210"/>
      <c r="I232" s="210"/>
    </row>
    <row r="233" spans="8:9">
      <c r="H233" s="210"/>
      <c r="I233" s="210"/>
    </row>
    <row r="234" spans="8:9">
      <c r="H234" s="210"/>
      <c r="I234" s="210"/>
    </row>
    <row r="235" spans="8:9">
      <c r="H235" s="210"/>
      <c r="I235" s="210"/>
    </row>
    <row r="236" spans="8:9">
      <c r="H236" s="210"/>
      <c r="I236" s="210"/>
    </row>
    <row r="237" spans="8:9">
      <c r="H237" s="210"/>
      <c r="I237" s="210"/>
    </row>
    <row r="238" spans="8:9">
      <c r="H238" s="210"/>
      <c r="I238" s="210"/>
    </row>
    <row r="239" spans="8:9">
      <c r="H239" s="210"/>
      <c r="I239" s="210"/>
    </row>
    <row r="240" spans="8:9">
      <c r="H240" s="210"/>
      <c r="I240" s="210"/>
    </row>
    <row r="241" spans="8:9">
      <c r="H241" s="210"/>
      <c r="I241" s="210"/>
    </row>
    <row r="242" spans="8:9">
      <c r="H242" s="210"/>
      <c r="I242" s="210"/>
    </row>
    <row r="243" spans="8:9">
      <c r="H243" s="210"/>
      <c r="I243" s="210"/>
    </row>
    <row r="244" spans="8:9">
      <c r="H244" s="210"/>
      <c r="I244" s="210"/>
    </row>
    <row r="245" spans="8:9">
      <c r="H245" s="210"/>
      <c r="I245" s="210"/>
    </row>
    <row r="246" spans="8:9">
      <c r="H246" s="210"/>
      <c r="I246" s="210"/>
    </row>
    <row r="247" spans="8:9">
      <c r="H247" s="210"/>
      <c r="I247" s="210"/>
    </row>
    <row r="248" spans="8:9">
      <c r="H248" s="210"/>
      <c r="I248" s="210"/>
    </row>
    <row r="249" spans="8:9">
      <c r="H249" s="210"/>
      <c r="I249" s="210"/>
    </row>
    <row r="250" spans="8:9">
      <c r="H250" s="210"/>
      <c r="I250" s="210"/>
    </row>
    <row r="251" spans="8:9">
      <c r="H251" s="210"/>
      <c r="I251" s="210"/>
    </row>
    <row r="252" spans="8:9">
      <c r="H252" s="210"/>
      <c r="I252" s="210"/>
    </row>
    <row r="253" spans="8:9">
      <c r="H253" s="210"/>
      <c r="I253" s="210"/>
    </row>
    <row r="254" spans="8:9">
      <c r="H254" s="210"/>
      <c r="I254" s="210"/>
    </row>
    <row r="255" spans="8:9">
      <c r="H255" s="210"/>
      <c r="I255" s="210"/>
    </row>
    <row r="256" spans="8:9">
      <c r="H256" s="210"/>
      <c r="I256" s="210"/>
    </row>
    <row r="257" spans="8:9">
      <c r="H257" s="210"/>
      <c r="I257" s="210"/>
    </row>
    <row r="258" spans="8:9">
      <c r="H258" s="210"/>
      <c r="I258" s="210"/>
    </row>
    <row r="259" spans="8:9">
      <c r="H259" s="210"/>
      <c r="I259" s="210"/>
    </row>
    <row r="260" spans="8:9">
      <c r="H260" s="210"/>
      <c r="I260" s="210"/>
    </row>
    <row r="261" spans="8:9">
      <c r="H261" s="210"/>
      <c r="I261" s="210"/>
    </row>
    <row r="262" spans="8:9">
      <c r="H262" s="210"/>
      <c r="I262" s="210"/>
    </row>
    <row r="263" spans="8:9">
      <c r="H263" s="210"/>
      <c r="I263" s="210"/>
    </row>
    <row r="264" spans="8:9">
      <c r="H264" s="210"/>
      <c r="I264" s="210"/>
    </row>
    <row r="265" spans="8:9">
      <c r="H265" s="210"/>
      <c r="I265" s="210"/>
    </row>
    <row r="266" spans="8:9">
      <c r="H266" s="210"/>
      <c r="I266" s="210"/>
    </row>
    <row r="267" spans="8:9">
      <c r="H267" s="210"/>
      <c r="I267" s="210"/>
    </row>
    <row r="268" spans="8:9">
      <c r="H268" s="210"/>
      <c r="I268" s="210"/>
    </row>
    <row r="269" spans="8:9">
      <c r="H269" s="210"/>
      <c r="I269" s="210"/>
    </row>
    <row r="270" spans="8:9">
      <c r="H270" s="210"/>
      <c r="I270" s="210"/>
    </row>
    <row r="271" spans="8:9">
      <c r="H271" s="210"/>
      <c r="I271" s="210"/>
    </row>
    <row r="272" spans="8:9">
      <c r="H272" s="210"/>
      <c r="I272" s="210"/>
    </row>
    <row r="273" spans="8:9">
      <c r="H273" s="210"/>
      <c r="I273" s="210"/>
    </row>
    <row r="274" spans="8:9">
      <c r="H274" s="210"/>
      <c r="I274" s="210"/>
    </row>
    <row r="275" spans="8:9">
      <c r="H275" s="210"/>
      <c r="I275" s="210"/>
    </row>
    <row r="276" spans="8:9">
      <c r="H276" s="210"/>
      <c r="I276" s="210"/>
    </row>
    <row r="277" spans="8:9">
      <c r="H277" s="210"/>
      <c r="I277" s="210"/>
    </row>
    <row r="278" spans="8:9">
      <c r="H278" s="210"/>
      <c r="I278" s="210"/>
    </row>
    <row r="279" spans="8:9">
      <c r="H279" s="210"/>
      <c r="I279" s="210"/>
    </row>
    <row r="280" spans="8:9">
      <c r="H280" s="210"/>
      <c r="I280" s="210"/>
    </row>
    <row r="281" spans="8:9">
      <c r="H281" s="210"/>
      <c r="I281" s="210"/>
    </row>
    <row r="282" spans="8:9">
      <c r="H282" s="210"/>
      <c r="I282" s="210"/>
    </row>
    <row r="283" spans="8:9">
      <c r="H283" s="210"/>
      <c r="I283" s="210"/>
    </row>
    <row r="284" spans="8:9">
      <c r="H284" s="210"/>
      <c r="I284" s="210"/>
    </row>
    <row r="285" spans="8:9">
      <c r="H285" s="210"/>
      <c r="I285" s="210"/>
    </row>
    <row r="286" spans="8:9">
      <c r="H286" s="210"/>
      <c r="I286" s="210"/>
    </row>
    <row r="287" spans="8:9">
      <c r="H287" s="210"/>
      <c r="I287" s="210"/>
    </row>
    <row r="288" spans="8:9">
      <c r="H288" s="210"/>
      <c r="I288" s="210"/>
    </row>
    <row r="289" spans="8:9">
      <c r="H289" s="210"/>
      <c r="I289" s="210"/>
    </row>
    <row r="290" spans="8:9">
      <c r="H290" s="210"/>
      <c r="I290" s="210"/>
    </row>
    <row r="291" spans="8:9">
      <c r="H291" s="210"/>
      <c r="I291" s="210"/>
    </row>
    <row r="292" spans="8:9">
      <c r="H292" s="210"/>
      <c r="I292" s="210"/>
    </row>
    <row r="293" spans="8:9">
      <c r="H293" s="210"/>
      <c r="I293" s="210"/>
    </row>
    <row r="294" spans="8:9">
      <c r="H294" s="210"/>
      <c r="I294" s="210"/>
    </row>
    <row r="295" spans="8:9">
      <c r="H295" s="210"/>
      <c r="I295" s="210"/>
    </row>
    <row r="296" spans="8:9">
      <c r="H296" s="210"/>
      <c r="I296" s="210"/>
    </row>
    <row r="297" spans="8:9">
      <c r="H297" s="210"/>
      <c r="I297" s="210"/>
    </row>
    <row r="298" spans="8:9">
      <c r="H298" s="210"/>
      <c r="I298" s="210"/>
    </row>
    <row r="299" spans="8:9">
      <c r="H299" s="210"/>
      <c r="I299" s="210"/>
    </row>
    <row r="300" spans="8:9">
      <c r="H300" s="210"/>
      <c r="I300" s="210"/>
    </row>
    <row r="301" spans="8:9">
      <c r="H301" s="210"/>
      <c r="I301" s="210"/>
    </row>
    <row r="302" spans="8:9">
      <c r="H302" s="210"/>
      <c r="I302" s="210"/>
    </row>
    <row r="303" spans="8:9">
      <c r="H303" s="210"/>
      <c r="I303" s="210"/>
    </row>
    <row r="304" spans="8:9">
      <c r="H304" s="210"/>
      <c r="I304" s="210"/>
    </row>
    <row r="305" spans="8:9">
      <c r="H305" s="210"/>
      <c r="I305" s="210"/>
    </row>
    <row r="306" spans="8:9">
      <c r="H306" s="210"/>
      <c r="I306" s="210"/>
    </row>
    <row r="307" spans="8:9">
      <c r="H307" s="210"/>
      <c r="I307" s="210"/>
    </row>
    <row r="308" spans="8:9">
      <c r="H308" s="210"/>
      <c r="I308" s="210"/>
    </row>
    <row r="309" spans="8:9">
      <c r="H309" s="210"/>
      <c r="I309" s="210"/>
    </row>
    <row r="310" spans="8:9">
      <c r="H310" s="210"/>
      <c r="I310" s="210"/>
    </row>
    <row r="311" spans="8:9">
      <c r="H311" s="210"/>
      <c r="I311" s="210"/>
    </row>
    <row r="312" spans="8:9">
      <c r="H312" s="210"/>
      <c r="I312" s="210"/>
    </row>
    <row r="313" spans="8:9">
      <c r="H313" s="210"/>
      <c r="I313" s="210"/>
    </row>
    <row r="314" spans="8:9">
      <c r="H314" s="210"/>
      <c r="I314" s="210"/>
    </row>
    <row r="315" spans="8:9">
      <c r="H315" s="210"/>
      <c r="I315" s="210"/>
    </row>
    <row r="316" spans="8:9">
      <c r="H316" s="210"/>
      <c r="I316" s="210"/>
    </row>
    <row r="317" spans="8:9">
      <c r="H317" s="210"/>
      <c r="I317" s="210"/>
    </row>
    <row r="318" spans="8:9">
      <c r="H318" s="210"/>
      <c r="I318" s="210"/>
    </row>
    <row r="319" spans="8:9">
      <c r="H319" s="210"/>
      <c r="I319" s="210"/>
    </row>
    <row r="320" spans="8:9">
      <c r="H320" s="210"/>
      <c r="I320" s="210"/>
    </row>
    <row r="321" spans="8:9">
      <c r="H321" s="210"/>
      <c r="I321" s="210"/>
    </row>
    <row r="322" spans="8:9">
      <c r="H322" s="210"/>
      <c r="I322" s="210"/>
    </row>
    <row r="323" spans="8:9">
      <c r="H323" s="210"/>
      <c r="I323" s="210"/>
    </row>
    <row r="324" spans="8:9">
      <c r="H324" s="210"/>
      <c r="I324" s="210"/>
    </row>
    <row r="325" spans="8:9">
      <c r="H325" s="210"/>
      <c r="I325" s="210"/>
    </row>
    <row r="326" spans="8:9">
      <c r="H326" s="210"/>
      <c r="I326" s="210"/>
    </row>
    <row r="327" spans="8:9">
      <c r="H327" s="210"/>
      <c r="I327" s="210"/>
    </row>
    <row r="328" spans="8:9">
      <c r="H328" s="210"/>
      <c r="I328" s="210"/>
    </row>
    <row r="329" spans="8:9">
      <c r="H329" s="210"/>
      <c r="I329" s="210"/>
    </row>
    <row r="330" spans="8:9">
      <c r="H330" s="210"/>
      <c r="I330" s="210"/>
    </row>
    <row r="331" spans="8:9">
      <c r="H331" s="210"/>
      <c r="I331" s="210"/>
    </row>
    <row r="332" spans="8:9">
      <c r="H332" s="210"/>
      <c r="I332" s="210"/>
    </row>
    <row r="333" spans="8:9">
      <c r="H333" s="210"/>
      <c r="I333" s="210"/>
    </row>
    <row r="334" spans="8:9">
      <c r="H334" s="210"/>
      <c r="I334" s="210"/>
    </row>
    <row r="335" spans="8:9">
      <c r="H335" s="210"/>
      <c r="I335" s="210"/>
    </row>
    <row r="336" spans="8:9">
      <c r="H336" s="210"/>
      <c r="I336" s="210"/>
    </row>
    <row r="337" spans="8:9">
      <c r="H337" s="210"/>
      <c r="I337" s="210"/>
    </row>
    <row r="338" spans="8:9">
      <c r="H338" s="210"/>
      <c r="I338" s="210"/>
    </row>
    <row r="339" spans="8:9">
      <c r="H339" s="210"/>
      <c r="I339" s="210"/>
    </row>
    <row r="340" spans="8:9">
      <c r="H340" s="210"/>
      <c r="I340" s="210"/>
    </row>
    <row r="341" spans="8:9">
      <c r="H341" s="210"/>
      <c r="I341" s="210"/>
    </row>
    <row r="342" spans="8:9">
      <c r="H342" s="210"/>
      <c r="I342" s="210"/>
    </row>
    <row r="343" spans="8:9">
      <c r="H343" s="210"/>
      <c r="I343" s="210"/>
    </row>
    <row r="344" spans="8:9">
      <c r="H344" s="210"/>
      <c r="I344" s="210"/>
    </row>
    <row r="345" spans="8:9">
      <c r="H345" s="210"/>
      <c r="I345" s="210"/>
    </row>
    <row r="346" spans="8:9">
      <c r="H346" s="210"/>
      <c r="I346" s="210"/>
    </row>
    <row r="347" spans="8:9">
      <c r="H347" s="210"/>
      <c r="I347" s="210"/>
    </row>
    <row r="348" spans="8:9">
      <c r="H348" s="210"/>
      <c r="I348" s="210"/>
    </row>
    <row r="349" spans="8:9">
      <c r="H349" s="210"/>
      <c r="I349" s="210"/>
    </row>
    <row r="350" spans="8:9">
      <c r="H350" s="210"/>
      <c r="I350" s="210"/>
    </row>
    <row r="351" spans="8:9">
      <c r="H351" s="210"/>
      <c r="I351" s="210"/>
    </row>
    <row r="352" spans="8:9">
      <c r="H352" s="210"/>
      <c r="I352" s="210"/>
    </row>
    <row r="353" spans="8:9">
      <c r="H353" s="210"/>
      <c r="I353" s="210"/>
    </row>
    <row r="354" spans="8:9">
      <c r="H354" s="210"/>
      <c r="I354" s="210"/>
    </row>
    <row r="355" spans="8:9">
      <c r="H355" s="210"/>
      <c r="I355" s="210"/>
    </row>
    <row r="356" spans="8:9">
      <c r="H356" s="210"/>
      <c r="I356" s="210"/>
    </row>
    <row r="357" spans="8:9">
      <c r="H357" s="210"/>
      <c r="I357" s="210"/>
    </row>
    <row r="358" spans="8:9">
      <c r="H358" s="210"/>
      <c r="I358" s="210"/>
    </row>
    <row r="359" spans="8:9">
      <c r="H359" s="210"/>
      <c r="I359" s="210"/>
    </row>
    <row r="360" spans="8:9">
      <c r="H360" s="210"/>
      <c r="I360" s="210"/>
    </row>
    <row r="361" spans="8:9">
      <c r="H361" s="210"/>
      <c r="I361" s="210"/>
    </row>
    <row r="362" spans="8:9">
      <c r="H362" s="210"/>
      <c r="I362" s="210"/>
    </row>
    <row r="363" spans="8:9">
      <c r="H363" s="210"/>
      <c r="I363" s="210"/>
    </row>
    <row r="364" spans="8:9">
      <c r="H364" s="210"/>
      <c r="I364" s="210"/>
    </row>
    <row r="365" spans="8:9">
      <c r="H365" s="210"/>
      <c r="I365" s="210"/>
    </row>
    <row r="366" spans="8:9">
      <c r="H366" s="210"/>
      <c r="I366" s="210"/>
    </row>
    <row r="367" spans="8:9">
      <c r="H367" s="210"/>
      <c r="I367" s="210"/>
    </row>
    <row r="368" spans="8:9">
      <c r="H368" s="210"/>
      <c r="I368" s="210"/>
    </row>
    <row r="369" spans="8:9">
      <c r="H369" s="210"/>
      <c r="I369" s="210"/>
    </row>
    <row r="370" spans="8:9">
      <c r="H370" s="210"/>
      <c r="I370" s="210"/>
    </row>
    <row r="371" spans="8:9">
      <c r="H371" s="210"/>
      <c r="I371" s="210"/>
    </row>
    <row r="372" spans="8:9">
      <c r="H372" s="210"/>
      <c r="I372" s="210"/>
    </row>
    <row r="373" spans="8:9">
      <c r="H373" s="210"/>
      <c r="I373" s="210"/>
    </row>
    <row r="374" spans="8:9">
      <c r="H374" s="210"/>
      <c r="I374" s="210"/>
    </row>
    <row r="375" spans="8:9">
      <c r="H375" s="210"/>
      <c r="I375" s="210"/>
    </row>
    <row r="376" spans="8:9">
      <c r="H376" s="210"/>
      <c r="I376" s="210"/>
    </row>
    <row r="377" spans="8:9">
      <c r="H377" s="210"/>
      <c r="I377" s="210"/>
    </row>
    <row r="378" spans="8:9">
      <c r="H378" s="210"/>
      <c r="I378" s="210"/>
    </row>
    <row r="379" spans="8:9">
      <c r="H379" s="210"/>
      <c r="I379" s="210"/>
    </row>
    <row r="380" spans="8:9">
      <c r="H380" s="210"/>
      <c r="I380" s="210"/>
    </row>
    <row r="381" spans="8:9">
      <c r="H381" s="210"/>
      <c r="I381" s="210"/>
    </row>
    <row r="382" spans="8:9">
      <c r="H382" s="210"/>
      <c r="I382" s="210"/>
    </row>
    <row r="383" spans="8:9">
      <c r="H383" s="210"/>
      <c r="I383" s="210"/>
    </row>
    <row r="384" spans="8:9">
      <c r="H384" s="210"/>
      <c r="I384" s="210"/>
    </row>
    <row r="385" spans="8:9">
      <c r="H385" s="210"/>
      <c r="I385" s="210"/>
    </row>
    <row r="386" spans="8:9">
      <c r="H386" s="210"/>
      <c r="I386" s="210"/>
    </row>
    <row r="387" spans="8:9">
      <c r="H387" s="210"/>
      <c r="I387" s="210"/>
    </row>
    <row r="388" spans="8:9">
      <c r="H388" s="210"/>
      <c r="I388" s="210"/>
    </row>
    <row r="389" spans="8:9">
      <c r="H389" s="210"/>
      <c r="I389" s="210"/>
    </row>
    <row r="390" spans="8:9">
      <c r="H390" s="210"/>
      <c r="I390" s="210"/>
    </row>
    <row r="391" spans="8:9">
      <c r="H391" s="210"/>
      <c r="I391" s="210"/>
    </row>
    <row r="392" spans="8:9">
      <c r="H392" s="210"/>
      <c r="I392" s="210"/>
    </row>
    <row r="393" spans="8:9">
      <c r="H393" s="210"/>
      <c r="I393" s="210"/>
    </row>
    <row r="394" spans="8:9">
      <c r="H394" s="210"/>
      <c r="I394" s="210"/>
    </row>
    <row r="395" spans="8:9">
      <c r="H395" s="210"/>
      <c r="I395" s="210"/>
    </row>
    <row r="396" spans="8:9">
      <c r="H396" s="210"/>
      <c r="I396" s="210"/>
    </row>
    <row r="397" spans="8:9">
      <c r="H397" s="210"/>
      <c r="I397" s="210"/>
    </row>
    <row r="398" spans="8:9">
      <c r="H398" s="210"/>
      <c r="I398" s="210"/>
    </row>
    <row r="399" spans="8:9">
      <c r="H399" s="210"/>
      <c r="I399" s="210"/>
    </row>
    <row r="400" spans="8:9">
      <c r="H400" s="210"/>
      <c r="I400" s="210"/>
    </row>
    <row r="401" spans="8:9">
      <c r="H401" s="210"/>
      <c r="I401" s="210"/>
    </row>
    <row r="402" spans="8:9">
      <c r="H402" s="210"/>
      <c r="I402" s="210"/>
    </row>
    <row r="403" spans="8:9">
      <c r="H403" s="210"/>
      <c r="I403" s="210"/>
    </row>
    <row r="404" spans="8:9">
      <c r="H404" s="210"/>
      <c r="I404" s="210"/>
    </row>
    <row r="405" spans="8:9">
      <c r="H405" s="210"/>
      <c r="I405" s="210"/>
    </row>
    <row r="406" spans="8:9">
      <c r="H406" s="210"/>
      <c r="I406" s="210"/>
    </row>
    <row r="407" spans="8:9">
      <c r="H407" s="210"/>
      <c r="I407" s="210"/>
    </row>
    <row r="408" spans="8:9">
      <c r="H408" s="210"/>
      <c r="I408" s="210"/>
    </row>
    <row r="409" spans="8:9">
      <c r="H409" s="210"/>
      <c r="I409" s="210"/>
    </row>
    <row r="410" spans="8:9">
      <c r="H410" s="210"/>
      <c r="I410" s="210"/>
    </row>
    <row r="411" spans="8:9">
      <c r="H411" s="210"/>
      <c r="I411" s="210"/>
    </row>
    <row r="412" spans="8:9">
      <c r="H412" s="210"/>
      <c r="I412" s="210"/>
    </row>
    <row r="413" spans="8:9">
      <c r="H413" s="210"/>
      <c r="I413" s="210"/>
    </row>
    <row r="414" spans="8:9">
      <c r="H414" s="210"/>
      <c r="I414" s="210"/>
    </row>
    <row r="415" spans="8:9">
      <c r="H415" s="210"/>
      <c r="I415" s="210"/>
    </row>
    <row r="416" spans="8:9">
      <c r="H416" s="210"/>
      <c r="I416" s="210"/>
    </row>
    <row r="417" spans="8:9">
      <c r="H417" s="210"/>
      <c r="I417" s="210"/>
    </row>
    <row r="418" spans="8:9">
      <c r="H418" s="210"/>
      <c r="I418" s="210"/>
    </row>
    <row r="419" spans="8:9">
      <c r="H419" s="210"/>
      <c r="I419" s="210"/>
    </row>
    <row r="420" spans="8:9">
      <c r="H420" s="210"/>
      <c r="I420" s="210"/>
    </row>
    <row r="421" spans="8:9">
      <c r="H421" s="210"/>
      <c r="I421" s="210"/>
    </row>
    <row r="422" spans="8:9">
      <c r="H422" s="210"/>
      <c r="I422" s="210"/>
    </row>
    <row r="423" spans="8:9">
      <c r="H423" s="210"/>
      <c r="I423" s="210"/>
    </row>
    <row r="424" spans="8:9">
      <c r="H424" s="210"/>
      <c r="I424" s="210"/>
    </row>
    <row r="425" spans="8:9">
      <c r="H425" s="210"/>
      <c r="I425" s="210"/>
    </row>
    <row r="426" spans="8:9">
      <c r="H426" s="210"/>
      <c r="I426" s="210"/>
    </row>
    <row r="427" spans="8:9">
      <c r="H427" s="210"/>
      <c r="I427" s="210"/>
    </row>
    <row r="428" spans="8:9">
      <c r="H428" s="210"/>
      <c r="I428" s="210"/>
    </row>
    <row r="429" spans="8:9">
      <c r="H429" s="210"/>
      <c r="I429" s="210"/>
    </row>
    <row r="430" spans="8:9">
      <c r="H430" s="210"/>
      <c r="I430" s="210"/>
    </row>
    <row r="431" spans="8:9">
      <c r="H431" s="210"/>
      <c r="I431" s="210"/>
    </row>
    <row r="432" spans="8:9">
      <c r="H432" s="210"/>
      <c r="I432" s="210"/>
    </row>
    <row r="433" spans="8:9">
      <c r="H433" s="210"/>
      <c r="I433" s="210"/>
    </row>
    <row r="434" spans="8:9">
      <c r="H434" s="210"/>
      <c r="I434" s="210"/>
    </row>
    <row r="435" spans="8:9">
      <c r="H435" s="210"/>
      <c r="I435" s="210"/>
    </row>
    <row r="436" spans="8:9">
      <c r="H436" s="210"/>
      <c r="I436" s="210"/>
    </row>
    <row r="437" spans="8:9">
      <c r="H437" s="210"/>
      <c r="I437" s="210"/>
    </row>
    <row r="438" spans="8:9">
      <c r="H438" s="210"/>
      <c r="I438" s="210"/>
    </row>
    <row r="439" spans="8:9">
      <c r="H439" s="210"/>
      <c r="I439" s="210"/>
    </row>
    <row r="440" spans="8:9">
      <c r="H440" s="210"/>
      <c r="I440" s="210"/>
    </row>
    <row r="441" spans="8:9">
      <c r="H441" s="210"/>
      <c r="I441" s="210"/>
    </row>
    <row r="442" spans="8:9">
      <c r="H442" s="210"/>
      <c r="I442" s="210"/>
    </row>
    <row r="443" spans="8:9">
      <c r="H443" s="210"/>
      <c r="I443" s="210"/>
    </row>
    <row r="444" spans="8:9">
      <c r="H444" s="210"/>
      <c r="I444" s="210"/>
    </row>
    <row r="445" spans="8:9">
      <c r="H445" s="210"/>
      <c r="I445" s="210"/>
    </row>
    <row r="446" spans="8:9">
      <c r="H446" s="210"/>
      <c r="I446" s="210"/>
    </row>
    <row r="447" spans="8:9">
      <c r="H447" s="210"/>
      <c r="I447" s="210"/>
    </row>
    <row r="448" spans="8:9">
      <c r="H448" s="210"/>
      <c r="I448" s="210"/>
    </row>
    <row r="449" spans="8:9">
      <c r="H449" s="210"/>
      <c r="I449" s="210"/>
    </row>
  </sheetData>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NavigateCombBox">
              <controlPr defaultSize="0" autoPict="0" macro="[0]!NavigateBox">
                <anchor moveWithCells="1">
                  <from>
                    <xdr:col>0</xdr:col>
                    <xdr:colOff>21668</xdr:colOff>
                    <xdr:row>0</xdr:row>
                    <xdr:rowOff>8667</xdr:rowOff>
                  </from>
                  <to>
                    <xdr:col>1</xdr:col>
                    <xdr:colOff>1404102</xdr:colOff>
                    <xdr:row>1</xdr:row>
                    <xdr:rowOff>8667</xdr:rowOff>
                  </to>
                </anchor>
              </controlPr>
            </control>
          </mc:Choice>
        </mc:AlternateContent>
        <mc:AlternateContent xmlns:mc="http://schemas.openxmlformats.org/markup-compatibility/2006">
          <mc:Choice Requires="x14">
            <control shapeId="6441048" r:id="rId4" name="交易性金融资产">
              <controlPr defaultSize="0" autoPict="0" macro="[0]!交易性金融资产_Change">
                <anchor moveWithCells="1">
                  <from>
                    <xdr:col>2</xdr:col>
                    <xdr:colOff>0</xdr:colOff>
                    <xdr:row>7</xdr:row>
                    <xdr:rowOff>0</xdr:rowOff>
                  </from>
                  <to>
                    <xdr:col>3</xdr:col>
                    <xdr:colOff>0</xdr:colOff>
                    <xdr:row>8</xdr:row>
                    <xdr:rowOff>0</xdr:rowOff>
                  </to>
                </anchor>
              </controlPr>
            </control>
          </mc:Choice>
        </mc:AlternateContent>
        <mc:AlternateContent xmlns:mc="http://schemas.openxmlformats.org/markup-compatibility/2006">
          <mc:Choice Requires="x14">
            <control shapeId="6441049" r:id="rId5" name="应收票据及账款">
              <controlPr defaultSize="0" autoPict="0" macro="[0]!应收票据及账款_Change">
                <anchor mov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6441050" r:id="rId6" name="预付账款">
              <controlPr defaultSize="0" autoPict="0" macro="[0]!预付账款_Change">
                <anchor moveWithCells="1">
                  <from>
                    <xdr:col>2</xdr:col>
                    <xdr:colOff>8667</xdr:colOff>
                    <xdr:row>11</xdr:row>
                    <xdr:rowOff>0</xdr:rowOff>
                  </from>
                  <to>
                    <xdr:col>3</xdr:col>
                    <xdr:colOff>8667</xdr:colOff>
                    <xdr:row>12</xdr:row>
                    <xdr:rowOff>0</xdr:rowOff>
                  </to>
                </anchor>
              </controlPr>
            </control>
          </mc:Choice>
        </mc:AlternateContent>
        <mc:AlternateContent xmlns:mc="http://schemas.openxmlformats.org/markup-compatibility/2006">
          <mc:Choice Requires="x14">
            <control shapeId="6441051" r:id="rId7" name="其他应收款">
              <controlPr defaultSize="0" autoPict="0" macro="[0]!其他应收款_Change">
                <anchor mov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6441052" r:id="rId8" name="混业经营金融资产">
              <controlPr defaultSize="0" autoPict="0" macro="[0]!混业经营金融资产_Change">
                <anchor mov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6441053" r:id="rId9" name="其他流动资产">
              <controlPr defaultSize="0" autoPict="0" macro="[0]!其他流动资产_Change">
                <anchor mov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6441054" r:id="rId10" name="长期应收款">
              <controlPr defaultSize="0" autoPict="0" macro="[0]!长期应收款_Change">
                <anchor mov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6441055" r:id="rId11" name="金融资产投资">
              <controlPr defaultSize="0" autoPict="0" macro="[0]!金融资产投资_Change">
                <anchor mov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6441056" r:id="rId12" name="其他非流动资产">
              <controlPr defaultSize="0" autoPict="0" macro="[0]!其他非流动资产_Change">
                <anchor mov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441057" r:id="rId13" name="交易性金融负债">
              <controlPr defaultSize="0" autoPict="0" macro="[0]!交易性金融负债_Change">
                <anchor moveWithCells="1">
                  <from>
                    <xdr:col>2</xdr:col>
                    <xdr:colOff>0</xdr:colOff>
                    <xdr:row>34</xdr:row>
                    <xdr:rowOff>0</xdr:rowOff>
                  </from>
                  <to>
                    <xdr:col>3</xdr:col>
                    <xdr:colOff>0</xdr:colOff>
                    <xdr:row>35</xdr:row>
                    <xdr:rowOff>0</xdr:rowOff>
                  </to>
                </anchor>
              </controlPr>
            </control>
          </mc:Choice>
        </mc:AlternateContent>
        <mc:AlternateContent xmlns:mc="http://schemas.openxmlformats.org/markup-compatibility/2006">
          <mc:Choice Requires="x14">
            <control shapeId="6441058" r:id="rId14" name="应付票据及账款">
              <controlPr defaultSize="0" autoPict="0" macro="[0]!应付票据及账款_Change">
                <anchor moveWithCells="1">
                  <from>
                    <xdr:col>2</xdr:col>
                    <xdr:colOff>0</xdr:colOff>
                    <xdr:row>35</xdr:row>
                    <xdr:rowOff>182013</xdr:rowOff>
                  </from>
                  <to>
                    <xdr:col>3</xdr:col>
                    <xdr:colOff>0</xdr:colOff>
                    <xdr:row>36</xdr:row>
                    <xdr:rowOff>182013</xdr:rowOff>
                  </to>
                </anchor>
              </controlPr>
            </control>
          </mc:Choice>
        </mc:AlternateContent>
        <mc:AlternateContent xmlns:mc="http://schemas.openxmlformats.org/markup-compatibility/2006">
          <mc:Choice Requires="x14">
            <control shapeId="6441059" r:id="rId15" name="预收账款">
              <controlPr defaultSize="0" autoPict="0" macro="[0]!预收账款_Change">
                <anchor moveWithCells="1">
                  <from>
                    <xdr:col>2</xdr:col>
                    <xdr:colOff>0</xdr:colOff>
                    <xdr:row>38</xdr:row>
                    <xdr:rowOff>0</xdr:rowOff>
                  </from>
                  <to>
                    <xdr:col>3</xdr:col>
                    <xdr:colOff>0</xdr:colOff>
                    <xdr:row>39</xdr:row>
                    <xdr:rowOff>0</xdr:rowOff>
                  </to>
                </anchor>
              </controlPr>
            </control>
          </mc:Choice>
        </mc:AlternateContent>
        <mc:AlternateContent xmlns:mc="http://schemas.openxmlformats.org/markup-compatibility/2006">
          <mc:Choice Requires="x14">
            <control shapeId="6441060" r:id="rId16" name="其他应付款">
              <controlPr defaultSize="0" autoPict="0" macro="[0]!其他应付款_Change">
                <anchor moveWithCells="1">
                  <from>
                    <xdr:col>2</xdr:col>
                    <xdr:colOff>0</xdr:colOff>
                    <xdr:row>39</xdr:row>
                    <xdr:rowOff>0</xdr:rowOff>
                  </from>
                  <to>
                    <xdr:col>3</xdr:col>
                    <xdr:colOff>0</xdr:colOff>
                    <xdr:row>40</xdr:row>
                    <xdr:rowOff>0</xdr:rowOff>
                  </to>
                </anchor>
              </controlPr>
            </control>
          </mc:Choice>
        </mc:AlternateContent>
        <mc:AlternateContent xmlns:mc="http://schemas.openxmlformats.org/markup-compatibility/2006">
          <mc:Choice Requires="x14">
            <control shapeId="6441061" r:id="rId17" name="混业经营金融类负债">
              <controlPr defaultSize="0" autoPict="0" macro="[0]!混业经营金融类负债_Change">
                <anchor moveWithCells="1">
                  <from>
                    <xdr:col>2</xdr:col>
                    <xdr:colOff>0</xdr:colOff>
                    <xdr:row>40</xdr:row>
                    <xdr:rowOff>0</xdr:rowOff>
                  </from>
                  <to>
                    <xdr:col>3</xdr:col>
                    <xdr:colOff>0</xdr:colOff>
                    <xdr:row>41</xdr:row>
                    <xdr:rowOff>0</xdr:rowOff>
                  </to>
                </anchor>
              </controlPr>
            </control>
          </mc:Choice>
        </mc:AlternateContent>
        <mc:AlternateContent xmlns:mc="http://schemas.openxmlformats.org/markup-compatibility/2006">
          <mc:Choice Requires="x14">
            <control shapeId="6441062" r:id="rId18" name="其他流动负债">
              <controlPr defaultSize="0" autoPict="0" macro="[0]!其他流动负债_Change">
                <anchor moveWithCells="1">
                  <from>
                    <xdr:col>2</xdr:col>
                    <xdr:colOff>0</xdr:colOff>
                    <xdr:row>41</xdr:row>
                    <xdr:rowOff>0</xdr:rowOff>
                  </from>
                  <to>
                    <xdr:col>3</xdr:col>
                    <xdr:colOff>0</xdr:colOff>
                    <xdr:row>42</xdr:row>
                    <xdr:rowOff>0</xdr:rowOff>
                  </to>
                </anchor>
              </controlPr>
            </control>
          </mc:Choice>
        </mc:AlternateContent>
        <mc:AlternateContent xmlns:mc="http://schemas.openxmlformats.org/markup-compatibility/2006">
          <mc:Choice Requires="x14">
            <control shapeId="6441063" r:id="rId19" name="长期应付款">
              <controlPr defaultSize="0" autoPict="0" macro="[0]!长期应付款_Change">
                <anchor moveWithCells="1">
                  <from>
                    <xdr:col>2</xdr:col>
                    <xdr:colOff>0</xdr:colOff>
                    <xdr:row>44</xdr:row>
                    <xdr:rowOff>0</xdr:rowOff>
                  </from>
                  <to>
                    <xdr:col>3</xdr:col>
                    <xdr:colOff>0</xdr:colOff>
                    <xdr:row>45</xdr:row>
                    <xdr:rowOff>0</xdr:rowOff>
                  </to>
                </anchor>
              </controlPr>
            </control>
          </mc:Choice>
        </mc:AlternateContent>
        <mc:AlternateContent xmlns:mc="http://schemas.openxmlformats.org/markup-compatibility/2006">
          <mc:Choice Requires="x14">
            <control shapeId="6441064" r:id="rId20" name="专项应付款">
              <controlPr defaultSize="0" autoPict="0" macro="[0]!专项应付款_Change">
                <anchor moveWithCells="1">
                  <from>
                    <xdr:col>2</xdr:col>
                    <xdr:colOff>0</xdr:colOff>
                    <xdr:row>45</xdr:row>
                    <xdr:rowOff>0</xdr:rowOff>
                  </from>
                  <to>
                    <xdr:col>3</xdr:col>
                    <xdr:colOff>0</xdr:colOff>
                    <xdr:row>46</xdr:row>
                    <xdr:rowOff>0</xdr:rowOff>
                  </to>
                </anchor>
              </controlPr>
            </control>
          </mc:Choice>
        </mc:AlternateContent>
        <mc:AlternateContent xmlns:mc="http://schemas.openxmlformats.org/markup-compatibility/2006">
          <mc:Choice Requires="x14">
            <control shapeId="6441065" r:id="rId21" name="预计负债">
              <controlPr defaultSize="0" autoPict="0" macro="[0]!预计负债_Change">
                <anchor moveWithCells="1">
                  <from>
                    <xdr:col>2</xdr:col>
                    <xdr:colOff>0</xdr:colOff>
                    <xdr:row>46</xdr:row>
                    <xdr:rowOff>0</xdr:rowOff>
                  </from>
                  <to>
                    <xdr:col>3</xdr:col>
                    <xdr:colOff>0</xdr:colOff>
                    <xdr:row>47</xdr:row>
                    <xdr:rowOff>0</xdr:rowOff>
                  </to>
                </anchor>
              </controlPr>
            </control>
          </mc:Choice>
        </mc:AlternateContent>
        <mc:AlternateContent xmlns:mc="http://schemas.openxmlformats.org/markup-compatibility/2006">
          <mc:Choice Requires="x14">
            <control shapeId="6441066" r:id="rId22" name="其他非流动负债">
              <controlPr defaultSize="0" autoPict="0" macro="[0]!其他非流动负债_Change">
                <anchor moveWithCells="1">
                  <from>
                    <xdr:col>2</xdr:col>
                    <xdr:colOff>0</xdr:colOff>
                    <xdr:row>47</xdr:row>
                    <xdr:rowOff>0</xdr:rowOff>
                  </from>
                  <to>
                    <xdr:col>3</xdr:col>
                    <xdr:colOff>0</xdr:colOff>
                    <xdr:row>48</xdr:row>
                    <xdr:rowOff>0</xdr:rowOff>
                  </to>
                </anchor>
              </controlPr>
            </control>
          </mc:Choice>
        </mc:AlternateContent>
        <mc:AlternateContent xmlns:mc="http://schemas.openxmlformats.org/markup-compatibility/2006">
          <mc:Choice Requires="x14">
            <control shapeId="6441067" r:id="rId23" name="新增其他资本公积">
              <controlPr defaultSize="0" autoPict="0" macro="[0]!新增其他资本公积_Change">
                <anchor moveWithCells="1">
                  <from>
                    <xdr:col>2</xdr:col>
                    <xdr:colOff>0</xdr:colOff>
                    <xdr:row>55</xdr:row>
                    <xdr:rowOff>0</xdr:rowOff>
                  </from>
                  <to>
                    <xdr:col>3</xdr:col>
                    <xdr:colOff>0</xdr:colOff>
                    <xdr:row>56</xdr:row>
                    <xdr:rowOff>0</xdr:rowOff>
                  </to>
                </anchor>
              </controlPr>
            </control>
          </mc:Choice>
        </mc:AlternateContent>
        <mc:AlternateContent xmlns:mc="http://schemas.openxmlformats.org/markup-compatibility/2006">
          <mc:Choice Requires="x14">
            <control shapeId="6441068" r:id="rId24" name="存货">
              <controlPr defaultSize="0" autoPict="0" macro="[0]!存货_Change">
                <anchor moveWithCells="1">
                  <from>
                    <xdr:col>2</xdr:col>
                    <xdr:colOff>0</xdr:colOff>
                    <xdr:row>14</xdr:row>
                    <xdr:rowOff>182013</xdr:rowOff>
                  </from>
                  <to>
                    <xdr:col>3</xdr:col>
                    <xdr:colOff>0</xdr:colOff>
                    <xdr:row>15</xdr:row>
                    <xdr:rowOff>182013</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0" tint="-0.14996795556505021"/>
  </sheetPr>
  <dimension ref="A1:IB2876"/>
  <sheetViews>
    <sheetView workbookViewId="0">
      <pane xSplit="3" ySplit="4" topLeftCell="D5" activePane="bottomRight" state="frozen"/>
      <selection pane="topRight"/>
      <selection pane="bottomLeft"/>
      <selection pane="bottomRight" activeCell="J48" sqref="J48"/>
    </sheetView>
  </sheetViews>
  <sheetFormatPr defaultColWidth="9" defaultRowHeight="14.35"/>
  <cols>
    <col min="1" max="1" width="15.75" customWidth="1"/>
    <col min="2" max="2" width="32.125" customWidth="1"/>
    <col min="3" max="3" width="2" customWidth="1"/>
    <col min="4" max="10" width="8.1875" bestFit="1" customWidth="1"/>
    <col min="11" max="11" width="11.25" style="109" customWidth="1"/>
    <col min="12" max="236" width="9.125" style="109"/>
  </cols>
  <sheetData>
    <row r="1" spans="1:10">
      <c r="A1" s="404"/>
      <c r="B1" s="109"/>
      <c r="C1" s="109"/>
      <c r="D1" s="109"/>
      <c r="E1" s="109"/>
      <c r="F1" s="109"/>
      <c r="G1" s="109"/>
      <c r="H1" s="109"/>
      <c r="I1" s="109"/>
      <c r="J1" s="109"/>
    </row>
    <row r="2" spans="1:10" ht="21" customHeight="1">
      <c r="A2" s="211" t="str">
        <f>'[2]历史年度（原始）'!A2</f>
        <v>单位：元</v>
      </c>
      <c r="B2" s="109"/>
      <c r="C2" s="109"/>
      <c r="D2" s="109"/>
      <c r="E2" s="109"/>
      <c r="F2" s="109"/>
      <c r="G2" s="109"/>
      <c r="H2" s="109"/>
      <c r="I2" s="109"/>
      <c r="J2" s="109"/>
    </row>
    <row r="3" spans="1:10">
      <c r="A3" s="211"/>
      <c r="B3" s="109"/>
      <c r="C3" s="109"/>
      <c r="D3" s="109"/>
      <c r="E3" s="109"/>
      <c r="F3" s="109"/>
      <c r="G3" s="109"/>
      <c r="H3" s="109"/>
      <c r="I3" s="109"/>
      <c r="J3" s="109"/>
    </row>
    <row r="4" spans="1:10">
      <c r="A4" s="405"/>
      <c r="B4" s="406"/>
      <c r="C4" s="109"/>
      <c r="D4" s="76">
        <v>42369</v>
      </c>
      <c r="E4" s="77">
        <v>42735</v>
      </c>
      <c r="F4" s="77">
        <v>43100</v>
      </c>
      <c r="G4" s="77">
        <v>43465</v>
      </c>
      <c r="H4" s="312">
        <v>43830</v>
      </c>
      <c r="I4" s="312">
        <v>44196</v>
      </c>
      <c r="J4" s="312">
        <v>44561</v>
      </c>
    </row>
    <row r="5" spans="1:10">
      <c r="A5" s="407"/>
      <c r="B5" s="408"/>
      <c r="C5" s="109"/>
      <c r="D5" s="210"/>
      <c r="E5" s="210"/>
      <c r="F5" s="213"/>
      <c r="G5" s="213"/>
      <c r="H5" s="210"/>
      <c r="I5" s="213"/>
      <c r="J5" s="213"/>
    </row>
    <row r="6" spans="1:10">
      <c r="A6" s="409" t="s">
        <v>1507</v>
      </c>
      <c r="B6" s="410"/>
      <c r="C6" s="109"/>
      <c r="D6" s="411"/>
      <c r="E6" s="411"/>
      <c r="F6" s="411"/>
      <c r="G6" s="411"/>
      <c r="H6" s="210"/>
      <c r="I6" s="213"/>
      <c r="J6" s="213"/>
    </row>
    <row r="7" spans="1:10">
      <c r="A7" s="412"/>
      <c r="B7" s="259" t="s">
        <v>869</v>
      </c>
      <c r="C7" s="109"/>
      <c r="D7" s="171">
        <f>'历史年度（简化）'!C99</f>
        <v>2.6391772924999999</v>
      </c>
      <c r="E7" s="171">
        <f>'历史年度（简化）'!D99</f>
        <v>3.5303605917000001</v>
      </c>
      <c r="F7" s="171">
        <f>'历史年度（简化）'!E99</f>
        <v>2.7040210830999998</v>
      </c>
      <c r="G7" s="171">
        <f>'历史年度（简化）'!F99</f>
        <v>4.5760471426999993</v>
      </c>
      <c r="H7" s="171">
        <f>预测利润表!H26</f>
        <v>5.2195518406420476</v>
      </c>
      <c r="I7" s="171" t="e">
        <f>预测利润表!I26</f>
        <v>#VALUE!</v>
      </c>
      <c r="J7" s="171" t="e">
        <f>预测利润表!J26</f>
        <v>#VALUE!</v>
      </c>
    </row>
    <row r="8" spans="1:10">
      <c r="A8" s="413" t="s">
        <v>865</v>
      </c>
      <c r="B8" s="259" t="s">
        <v>942</v>
      </c>
      <c r="C8" s="109"/>
      <c r="D8" s="171">
        <f>'历史年度（简化）'!C100</f>
        <v>1.4049729526999999</v>
      </c>
      <c r="E8" s="171">
        <f>'历史年度（简化）'!D100</f>
        <v>1.8035099397999999</v>
      </c>
      <c r="F8" s="171">
        <f>'历史年度（简化）'!E100</f>
        <v>2.2835377573</v>
      </c>
      <c r="G8" s="171">
        <f>'历史年度（简化）'!F100</f>
        <v>2.5847545046000002</v>
      </c>
      <c r="H8" s="171" t="e">
        <f>投资!E19+投资!E20+投资!E21+投资!E22</f>
        <v>#VALUE!</v>
      </c>
      <c r="I8" s="171" t="e">
        <f>投资!F19+投资!F20+投资!F21+投资!F22</f>
        <v>#VALUE!</v>
      </c>
      <c r="J8" s="171" t="e">
        <f>投资!G19+投资!G20+投资!G21+投资!G22</f>
        <v>#VALUE!</v>
      </c>
    </row>
    <row r="9" spans="1:10">
      <c r="A9" s="412"/>
      <c r="B9" s="259" t="s">
        <v>864</v>
      </c>
      <c r="C9" s="109"/>
      <c r="D9" s="171">
        <f>'历史年度（简化）'!C101</f>
        <v>8.1315124500000002E-2</v>
      </c>
      <c r="E9" s="171">
        <f>'历史年度（简化）'!D101</f>
        <v>5.8446824100000003E-2</v>
      </c>
      <c r="F9" s="171">
        <f>'历史年度（简化）'!E101</f>
        <v>5.5743501100000002E-2</v>
      </c>
      <c r="G9" s="171">
        <f>'历史年度（简化）'!F101</f>
        <v>0.260987091</v>
      </c>
      <c r="H9" s="171">
        <f>预测利润表!H20</f>
        <v>0.12505913873333332</v>
      </c>
      <c r="I9" s="171">
        <f>预测利润表!I20</f>
        <v>0.14726324361111109</v>
      </c>
      <c r="J9" s="171">
        <f>预测利润表!J20</f>
        <v>0.17776982444814815</v>
      </c>
    </row>
    <row r="10" spans="1:10">
      <c r="A10" s="412"/>
      <c r="B10" s="259" t="s">
        <v>863</v>
      </c>
      <c r="C10" s="109"/>
      <c r="D10" s="171" t="e">
        <f>'历史年度（简化）'!C102</f>
        <v>#VALUE!</v>
      </c>
      <c r="E10" s="171" t="e">
        <f>'历史年度（简化）'!D102</f>
        <v>#VALUE!</v>
      </c>
      <c r="F10" s="171" t="e">
        <f>'历史年度（简化）'!E102</f>
        <v>#VALUE!</v>
      </c>
      <c r="G10" s="171" t="e">
        <f>'历史年度（简化）'!F102</f>
        <v>#VALUE!</v>
      </c>
      <c r="H10" s="171">
        <f>预测利润表!H17</f>
        <v>-4.0283720851454992E-2</v>
      </c>
      <c r="I10" s="171" t="e">
        <f>预测利润表!I17</f>
        <v>#VALUE!</v>
      </c>
      <c r="J10" s="171" t="e">
        <f>预测利润表!J17</f>
        <v>#VALUE!</v>
      </c>
    </row>
    <row r="11" spans="1:10" ht="15.1" hidden="1" customHeight="1">
      <c r="A11" s="412"/>
      <c r="B11" s="259"/>
      <c r="C11" s="109"/>
      <c r="D11" s="171"/>
      <c r="E11" s="171"/>
      <c r="F11" s="171"/>
      <c r="G11" s="171"/>
      <c r="H11" s="171"/>
      <c r="I11" s="171"/>
      <c r="J11" s="171"/>
    </row>
    <row r="12" spans="1:10">
      <c r="A12" s="412"/>
      <c r="B12" s="259" t="s">
        <v>946</v>
      </c>
      <c r="C12" s="109"/>
      <c r="D12" s="171">
        <f>'历史年度（简化）'!C104</f>
        <v>-9.746466949999999E-2</v>
      </c>
      <c r="E12" s="171">
        <f>'历史年度（简化）'!D104</f>
        <v>-0.58466690460000004</v>
      </c>
      <c r="F12" s="171">
        <f>'历史年度（简化）'!E104</f>
        <v>-0.73316385799999995</v>
      </c>
      <c r="G12" s="171">
        <f>'历史年度（简化）'!F104</f>
        <v>-0.95158185870000001</v>
      </c>
      <c r="H12" s="171">
        <f>预测资产负债表!G15-预测资产负债表!H15</f>
        <v>-0.83625407751270053</v>
      </c>
      <c r="I12" s="171">
        <f>预测资产负债表!H15-预测资产负债表!I15</f>
        <v>-1.0421183057361159</v>
      </c>
      <c r="J12" s="171">
        <f>预测资产负债表!I15-预测资产负债表!J15</f>
        <v>-1.1901668554595837</v>
      </c>
    </row>
    <row r="13" spans="1:10">
      <c r="A13" s="412"/>
      <c r="B13" s="259" t="s">
        <v>947</v>
      </c>
      <c r="C13" s="109"/>
      <c r="D13" s="171">
        <f>'历史年度（简化）'!C105</f>
        <v>3.4418724022000005</v>
      </c>
      <c r="E13" s="171">
        <f>'历史年度（简化）'!D105</f>
        <v>-2.4338847158000001</v>
      </c>
      <c r="F13" s="171">
        <f>'历史年度（简化）'!E105</f>
        <v>-0.64508637820000003</v>
      </c>
      <c r="G13" s="171">
        <f>'历史年度（简化）'!F105</f>
        <v>-2.0287177600000001</v>
      </c>
      <c r="H13" s="171">
        <f>(预测资产负债表!G9-预测资产负债表!H9)+(预测资产负债表!G11-预测资产负债表!H11)+(预测资产负债表!G13-预测资产负债表!H13)+(预测资产负债表!G18-预测资产负债表!H18)</f>
        <v>-2.957172660177501</v>
      </c>
      <c r="I13" s="171">
        <f>(预测资产负债表!H9-预测资产负债表!I9)+(预测资产负债表!H11-预测资产负债表!I11)+(预测资产负债表!H13-预测资产负债表!I13)+(预测资产负债表!H18-预测资产负债表!I18)</f>
        <v>-1.3885233833454729</v>
      </c>
      <c r="J13" s="171">
        <f>(预测资产负债表!I9-预测资产负债表!J9)+(预测资产负债表!I11-预测资产负债表!J11)+(预测资产负债表!I13-预测资产负债表!J13)+(预测资产负债表!I18-预测资产负债表!J18)</f>
        <v>-3.7759652343186758</v>
      </c>
    </row>
    <row r="14" spans="1:10">
      <c r="A14" s="412"/>
      <c r="B14" s="259" t="s">
        <v>948</v>
      </c>
      <c r="C14" s="109"/>
      <c r="D14" s="171">
        <f>'历史年度（简化）'!C106</f>
        <v>-4.1469658520000001</v>
      </c>
      <c r="E14" s="171">
        <f>'历史年度（简化）'!D106</f>
        <v>1.5406979406000001</v>
      </c>
      <c r="F14" s="171">
        <f>'历史年度（简化）'!E106</f>
        <v>0.57673724829999995</v>
      </c>
      <c r="G14" s="171">
        <f>'历史年度（简化）'!F106</f>
        <v>1.3373698620000001</v>
      </c>
      <c r="H14" s="171">
        <f>(预测资产负债表!H36-预测资产负债表!G36)+(预测资产负债表!H38-预测资产负债表!G38)+(预测资产负债表!H40-预测资产负债表!G40)</f>
        <v>0.82894061378994</v>
      </c>
      <c r="I14" s="171">
        <f>(预测资产负债表!I36-预测资产负债表!H36)+(预测资产负债表!I38-预测资产负债表!H38)+(预测资产负债表!I40-预测资产负债表!H40)</f>
        <v>0.6509555414077135</v>
      </c>
      <c r="J14" s="171">
        <f>(预测资产负债表!J36-预测资产负债表!I36)+(预测资产负债表!J38-预测资产负债表!I38)+(预测资产负债表!J40-预测资产负债表!I40)</f>
        <v>1.1077746533178392</v>
      </c>
    </row>
    <row r="15" spans="1:10">
      <c r="A15" s="412"/>
      <c r="B15" s="259" t="s">
        <v>1508</v>
      </c>
      <c r="C15" s="109"/>
      <c r="D15" s="195">
        <f>'历史年度（简化）'!C107</f>
        <v>4.5768618399999995E-2</v>
      </c>
      <c r="E15" s="195">
        <f>'历史年度（简化）'!D107</f>
        <v>0.15042659010000003</v>
      </c>
      <c r="F15" s="195">
        <f>'历史年度（简化）'!E107</f>
        <v>0.15985110150000001</v>
      </c>
      <c r="G15" s="195">
        <f>'历史年度（简化）'!F107</f>
        <v>0.17311789599999999</v>
      </c>
      <c r="H15" s="195">
        <f>(预测资产负债表!G20-预测资产负债表!H20)+(预测资产负债表!H47-预测资产负债表!G47)+(预测资产负债表!H42-预测资产负债表!G42)</f>
        <v>0</v>
      </c>
      <c r="I15" s="195">
        <f>(预测资产负债表!H20-预测资产负债表!I20)+(预测资产负债表!I47-预测资产负债表!H47)+(预测资产负债表!I42-预测资产负债表!H42)</f>
        <v>0</v>
      </c>
      <c r="J15" s="195">
        <f>(预测资产负债表!I20-预测资产负债表!J20)+(预测资产负债表!J47-预测资产负债表!I47)+(预测资产负债表!J42-预测资产负债表!I42)</f>
        <v>0</v>
      </c>
    </row>
    <row r="16" spans="1:10">
      <c r="A16" s="412"/>
      <c r="B16" s="259" t="s">
        <v>950</v>
      </c>
      <c r="C16" s="109"/>
      <c r="D16" s="171" t="e">
        <f>'历史年度（简化）'!C108</f>
        <v>#VALUE!</v>
      </c>
      <c r="E16" s="171" t="e">
        <f>'历史年度（简化）'!D108</f>
        <v>#VALUE!</v>
      </c>
      <c r="F16" s="171" t="e">
        <f>'历史年度（简化）'!E108</f>
        <v>#VALUE!</v>
      </c>
      <c r="G16" s="171" t="e">
        <f>'历史年度（简化）'!F108</f>
        <v>#VALUE!</v>
      </c>
      <c r="H16" s="171" t="e">
        <f>SUM(H7:H15)</f>
        <v>#VALUE!</v>
      </c>
      <c r="I16" s="171" t="e">
        <f t="shared" ref="I16:J16" si="0">SUM(I7:I15)</f>
        <v>#VALUE!</v>
      </c>
      <c r="J16" s="171" t="e">
        <f t="shared" si="0"/>
        <v>#VALUE!</v>
      </c>
    </row>
    <row r="17" spans="1:10">
      <c r="A17" s="266"/>
      <c r="B17" s="225"/>
      <c r="C17" s="109"/>
      <c r="D17" s="296"/>
      <c r="E17" s="296"/>
      <c r="F17" s="296"/>
      <c r="G17" s="296"/>
      <c r="H17" s="296"/>
      <c r="I17" s="296"/>
      <c r="J17" s="296"/>
    </row>
    <row r="18" spans="1:10">
      <c r="A18" s="409" t="s">
        <v>1509</v>
      </c>
      <c r="B18" s="410"/>
      <c r="C18" s="109"/>
      <c r="D18" s="269"/>
      <c r="E18" s="269"/>
      <c r="F18" s="269"/>
      <c r="G18" s="269"/>
      <c r="H18" s="269"/>
      <c r="I18" s="269"/>
      <c r="J18" s="269"/>
    </row>
    <row r="19" spans="1:10">
      <c r="A19" s="414"/>
      <c r="B19" s="259" t="s">
        <v>1510</v>
      </c>
      <c r="C19" s="109"/>
      <c r="D19" s="171" t="e">
        <f>-'历史年度（简化）'!C118</f>
        <v>#VALUE!</v>
      </c>
      <c r="E19" s="171" t="e">
        <f>-'历史年度（简化）'!D118</f>
        <v>#VALUE!</v>
      </c>
      <c r="F19" s="171" t="e">
        <f>-'历史年度（简化）'!E118</f>
        <v>#VALUE!</v>
      </c>
      <c r="G19" s="171" t="e">
        <f>-'历史年度（简化）'!F118</f>
        <v>#VALUE!</v>
      </c>
      <c r="H19" s="171">
        <f>预测资产负债表!G8-预测资产负债表!H8+预测资产负债表!H35-预测资产负债表!G35+预测利润表!H61</f>
        <v>0</v>
      </c>
      <c r="I19" s="171">
        <f>预测资产负债表!H8-预测资产负债表!I8+预测资产负债表!I35-预测资产负债表!H35+预测利润表!I61</f>
        <v>1</v>
      </c>
      <c r="J19" s="171">
        <f>预测资产负债表!I8-预测资产负债表!J8+预测资产负债表!J35-预测资产负债表!I35+预测利润表!J61</f>
        <v>2</v>
      </c>
    </row>
    <row r="20" spans="1:10">
      <c r="A20" s="413" t="s">
        <v>865</v>
      </c>
      <c r="B20" s="259" t="s">
        <v>1511</v>
      </c>
      <c r="C20" s="109"/>
      <c r="D20" s="171" t="e">
        <f>-'历史年度（简化）'!C119</f>
        <v>#VALUE!</v>
      </c>
      <c r="E20" s="171" t="e">
        <f>-'历史年度（简化）'!D119</f>
        <v>#VALUE!</v>
      </c>
      <c r="F20" s="171" t="e">
        <f>-'历史年度（简化）'!E119</f>
        <v>#VALUE!</v>
      </c>
      <c r="G20" s="171" t="e">
        <f>-'历史年度（简化）'!F119</f>
        <v>#VALUE!</v>
      </c>
      <c r="H20" s="171">
        <f>预测资产负债表!G28-预测资产负债表!H28+预测资产负债表!H56</f>
        <v>0</v>
      </c>
      <c r="I20" s="171">
        <f>预测资产负债表!H28-预测资产负债表!I28+预测资产负债表!I56</f>
        <v>1</v>
      </c>
      <c r="J20" s="171">
        <f>预测资产负债表!I28-预测资产负债表!J28+预测资产负债表!J56</f>
        <v>2</v>
      </c>
    </row>
    <row r="21" spans="1:10">
      <c r="A21" s="414"/>
      <c r="B21" s="259" t="s">
        <v>954</v>
      </c>
      <c r="C21" s="109"/>
      <c r="D21" s="171">
        <f>'历史年度（简化）'!C113</f>
        <v>8.6289337000000008E-3</v>
      </c>
      <c r="E21" s="171">
        <f>'历史年度（简化）'!D113</f>
        <v>0</v>
      </c>
      <c r="F21" s="171">
        <f>'历史年度（简化）'!E113</f>
        <v>0</v>
      </c>
      <c r="G21" s="171">
        <f>'历史年度（简化）'!F113</f>
        <v>1.7539314699999999E-2</v>
      </c>
      <c r="H21" s="171">
        <f>投资!E25</f>
        <v>5</v>
      </c>
      <c r="I21" s="171">
        <f>投资!F25</f>
        <v>0</v>
      </c>
      <c r="J21" s="171">
        <f>投资!G25</f>
        <v>0</v>
      </c>
    </row>
    <row r="22" spans="1:10">
      <c r="A22" s="414"/>
      <c r="B22" s="259" t="s">
        <v>1512</v>
      </c>
      <c r="C22" s="109"/>
      <c r="D22" s="171">
        <f>'历史年度（简化）'!C114</f>
        <v>1.56E-3</v>
      </c>
      <c r="E22" s="171">
        <f>'历史年度（简化）'!D114</f>
        <v>2.0207856100000001E-2</v>
      </c>
      <c r="F22" s="171">
        <f>'历史年度（简化）'!E114</f>
        <v>1.2963708400000001E-2</v>
      </c>
      <c r="G22" s="171">
        <f>'历史年度（简化）'!F114</f>
        <v>5.8935001399999999E-2</v>
      </c>
      <c r="H22" s="171">
        <f>预测利润表!H34</f>
        <v>-4.8026621666666667E-3</v>
      </c>
      <c r="I22" s="171">
        <f>预测利润表!I34</f>
        <v>-3.2991466555555558E-3</v>
      </c>
      <c r="J22" s="171">
        <f>预测利润表!J34</f>
        <v>-4.398862207407408E-3</v>
      </c>
    </row>
    <row r="23" spans="1:10">
      <c r="A23" s="415" t="s">
        <v>858</v>
      </c>
      <c r="B23" s="259" t="s">
        <v>1513</v>
      </c>
      <c r="C23" s="109"/>
      <c r="D23" s="171">
        <f>'历史年度（简化）'!C116</f>
        <v>3.8893775612999999</v>
      </c>
      <c r="E23" s="171">
        <f>'历史年度（简化）'!D116</f>
        <v>6.7222075112999997</v>
      </c>
      <c r="F23" s="171">
        <f>'历史年度（简化）'!E116</f>
        <v>3.5880515348000004</v>
      </c>
      <c r="G23" s="171">
        <f>'历史年度（简化）'!F116</f>
        <v>4.2876282118000004</v>
      </c>
      <c r="H23" s="171">
        <f>投资!E7</f>
        <v>0</v>
      </c>
      <c r="I23" s="171">
        <f>投资!F7</f>
        <v>0</v>
      </c>
      <c r="J23" s="171">
        <f>投资!G7</f>
        <v>0</v>
      </c>
    </row>
    <row r="24" spans="1:10">
      <c r="A24" s="265"/>
      <c r="B24" s="259" t="s">
        <v>1514</v>
      </c>
      <c r="C24" s="109"/>
      <c r="D24" s="171"/>
      <c r="E24" s="171"/>
      <c r="F24" s="171"/>
      <c r="G24" s="171"/>
      <c r="H24" s="171">
        <f>投资!E9</f>
        <v>0</v>
      </c>
      <c r="I24" s="171">
        <f>投资!F9</f>
        <v>0</v>
      </c>
      <c r="J24" s="171">
        <f>投资!G9</f>
        <v>0</v>
      </c>
    </row>
    <row r="25" spans="1:10">
      <c r="A25" s="416"/>
      <c r="B25" s="417" t="s">
        <v>1515</v>
      </c>
      <c r="C25" s="109"/>
      <c r="D25" s="171"/>
      <c r="E25" s="171"/>
      <c r="F25" s="171"/>
      <c r="G25" s="171"/>
      <c r="H25" s="171">
        <f>投资!E8</f>
        <v>0</v>
      </c>
      <c r="I25" s="171">
        <f>投资!F8</f>
        <v>0</v>
      </c>
      <c r="J25" s="171">
        <f>投资!G8</f>
        <v>0</v>
      </c>
    </row>
    <row r="26" spans="1:10">
      <c r="A26" s="412"/>
      <c r="B26" s="259" t="s">
        <v>1516</v>
      </c>
      <c r="C26" s="109"/>
      <c r="D26" s="171" t="e">
        <f>'历史年度（简化）'!C117</f>
        <v>#VALUE!</v>
      </c>
      <c r="E26" s="171" t="e">
        <f>'历史年度（简化）'!D117</f>
        <v>#VALUE!</v>
      </c>
      <c r="F26" s="171" t="e">
        <f>'历史年度（简化）'!E117</f>
        <v>#VALUE!</v>
      </c>
      <c r="G26" s="171" t="e">
        <f>'历史年度（简化）'!F117</f>
        <v>#VALUE!</v>
      </c>
      <c r="H26" s="171">
        <f>投资!E10</f>
        <v>10</v>
      </c>
      <c r="I26" s="171">
        <f>投资!F10</f>
        <v>0</v>
      </c>
      <c r="J26" s="171">
        <f>投资!G10</f>
        <v>0</v>
      </c>
    </row>
    <row r="27" spans="1:10">
      <c r="A27" s="414"/>
      <c r="B27" s="259" t="s">
        <v>1517</v>
      </c>
      <c r="C27" s="109"/>
      <c r="D27" s="171"/>
      <c r="E27" s="171"/>
      <c r="F27" s="171"/>
      <c r="G27" s="171"/>
      <c r="H27" s="171">
        <f>投资!E11</f>
        <v>100</v>
      </c>
      <c r="I27" s="171">
        <f>投资!F11</f>
        <v>0</v>
      </c>
      <c r="J27" s="171">
        <f>投资!G11</f>
        <v>0</v>
      </c>
    </row>
    <row r="28" spans="1:10">
      <c r="A28" s="413" t="s">
        <v>865</v>
      </c>
      <c r="B28" s="259" t="s">
        <v>1518</v>
      </c>
      <c r="C28" s="109"/>
      <c r="D28" s="195">
        <f>'历史年度（简化）'!C120</f>
        <v>1.37</v>
      </c>
      <c r="E28" s="195">
        <f>'历史年度（简化）'!D120</f>
        <v>0</v>
      </c>
      <c r="F28" s="195">
        <f>'历史年度（简化）'!E120</f>
        <v>0</v>
      </c>
      <c r="G28" s="195">
        <f>'历史年度（简化）'!F120</f>
        <v>0.05</v>
      </c>
      <c r="H28" s="195">
        <f>(预测资产负债表!G17-预测资产负债表!H17)+(预测资产负债表!H41-预测资产负债表!G41)+(预测资产负债表!G30-预测资产负债表!H30)+(预测资产负债表!H42-预测资产负债表!G42)+(预测资产负债表!H48-预测资产负债表!G48)+(预测资产负债表!G27-预测资产负债表!H27)+预测利润表!H35-预测利润表!H37+预测利润表!H38</f>
        <v>-0.67512916757390751</v>
      </c>
      <c r="I28" s="195">
        <f>(预测资产负债表!H17-预测资产负债表!I17)+(预测资产负债表!I41-预测资产负债表!H41)+(预测资产负债表!H30-预测资产负债表!I30)+(预测资产负债表!I42-预测资产负债表!H42)+(预测资产负债表!I48-预测资产负债表!H48)+(预测资产负债表!H27-预测资产负债表!I27)+预测利润表!I35-预测利润表!I37+预测利润表!I38</f>
        <v>6.0984520789372034</v>
      </c>
      <c r="J28" s="195">
        <f>(预测资产负债表!I17-预测资产负债表!J17)+(预测资产负债表!J41-预测资产负债表!I41)+(预测资产负债表!I30-预测资产负债表!J30)+(预测资产负债表!J42-预测资产负债表!I42)+(预测资产负债表!J48-预测资产负债表!I48)+(预测资产负债表!I27-预测资产负债表!J27)+预测利润表!J35-预测利润表!J37+预测利润表!J38</f>
        <v>1.1991286058853516</v>
      </c>
    </row>
    <row r="29" spans="1:10">
      <c r="A29" s="412"/>
      <c r="B29" s="259" t="s">
        <v>961</v>
      </c>
      <c r="C29" s="109"/>
      <c r="D29" s="195" t="e">
        <f>'历史年度（简化）'!C121</f>
        <v>#VALUE!</v>
      </c>
      <c r="E29" s="195" t="e">
        <f>'历史年度（简化）'!D121</f>
        <v>#VALUE!</v>
      </c>
      <c r="F29" s="195" t="e">
        <f>'历史年度（简化）'!E121</f>
        <v>#VALUE!</v>
      </c>
      <c r="G29" s="195" t="e">
        <f>'历史年度（简化）'!F121</f>
        <v>#VALUE!</v>
      </c>
      <c r="H29" s="171">
        <f>H19+H20+H21+H22-H23-H24-H25-H26-H27+H28</f>
        <v>-105.67993182974058</v>
      </c>
      <c r="I29" s="171">
        <f t="shared" ref="I29:J29" si="1">I19+I20+I21+I22-I23-I24-I25-I26-I27+I28</f>
        <v>8.095152932281648</v>
      </c>
      <c r="J29" s="171">
        <f t="shared" si="1"/>
        <v>5.1947297436779447</v>
      </c>
    </row>
    <row r="30" spans="1:10">
      <c r="A30" s="266"/>
      <c r="B30" s="225"/>
      <c r="C30" s="109"/>
      <c r="D30" s="296"/>
      <c r="E30" s="296"/>
      <c r="F30" s="296"/>
      <c r="G30" s="296"/>
      <c r="H30" s="296"/>
      <c r="I30" s="296"/>
      <c r="J30" s="296"/>
    </row>
    <row r="31" spans="1:10">
      <c r="A31" s="409" t="s">
        <v>1519</v>
      </c>
      <c r="B31" s="410"/>
      <c r="C31" s="109"/>
      <c r="D31" s="269"/>
      <c r="E31" s="269"/>
      <c r="F31" s="269"/>
      <c r="G31" s="269"/>
      <c r="H31" s="269"/>
      <c r="I31" s="269"/>
      <c r="J31" s="269"/>
    </row>
    <row r="32" spans="1:10">
      <c r="A32" s="412"/>
      <c r="B32" s="259" t="s">
        <v>1330</v>
      </c>
      <c r="C32" s="109"/>
      <c r="D32" s="171">
        <f>'历史年度（简化）'!C124</f>
        <v>0</v>
      </c>
      <c r="E32" s="171">
        <f>'历史年度（简化）'!D124</f>
        <v>1.3293280000000001</v>
      </c>
      <c r="F32" s="171">
        <f>'历史年度（简化）'!E124</f>
        <v>11.2349099</v>
      </c>
      <c r="G32" s="171">
        <f>'历史年度（简化）'!F124</f>
        <v>3.6749999999999998E-2</v>
      </c>
      <c r="H32" s="171" t="e">
        <f>筹资!E11</f>
        <v>#VALUE!</v>
      </c>
      <c r="I32" s="171" t="e">
        <f>筹资!F11</f>
        <v>#VALUE!</v>
      </c>
      <c r="J32" s="171" t="e">
        <f>筹资!G11</f>
        <v>#VALUE!</v>
      </c>
    </row>
    <row r="33" spans="1:10">
      <c r="A33" s="413" t="s">
        <v>865</v>
      </c>
      <c r="B33" s="259" t="s">
        <v>1403</v>
      </c>
      <c r="C33" s="109"/>
      <c r="D33" s="171">
        <f>'历史年度（简化）'!C125-'历史年度（简化）'!C127</f>
        <v>0.6987727615999999</v>
      </c>
      <c r="E33" s="171">
        <f>'历史年度（简化）'!D125-'历史年度（简化）'!D127</f>
        <v>3.7665732172999986</v>
      </c>
      <c r="F33" s="171">
        <f>'历史年度（简化）'!E125-'历史年度（简化）'!E127</f>
        <v>-6.9972836991999987</v>
      </c>
      <c r="G33" s="171">
        <f>'历史年度（简化）'!F125-'历史年度（简化）'!F127</f>
        <v>0.56094173889999999</v>
      </c>
      <c r="H33" s="171" t="e">
        <f>筹资!E7</f>
        <v>#VALUE!</v>
      </c>
      <c r="I33" s="171" t="e">
        <f>筹资!F7</f>
        <v>#VALUE!</v>
      </c>
      <c r="J33" s="171" t="e">
        <f>筹资!G7</f>
        <v>#VALUE!</v>
      </c>
    </row>
    <row r="34" spans="1:10">
      <c r="A34" s="265" t="s">
        <v>858</v>
      </c>
      <c r="B34" s="259" t="s">
        <v>1520</v>
      </c>
      <c r="C34" s="109"/>
      <c r="D34" s="171">
        <f>'历史年度（简化）'!C128</f>
        <v>0.12130179740000001</v>
      </c>
      <c r="E34" s="171">
        <f>'历史年度（简化）'!D128</f>
        <v>1.7513594561000001</v>
      </c>
      <c r="F34" s="171">
        <f>'历史年度（简化）'!E128</f>
        <v>1.8807475712000001</v>
      </c>
      <c r="G34" s="171">
        <f>'历史年度（简化）'!F128</f>
        <v>1.6547808683</v>
      </c>
      <c r="H34" s="171">
        <f>预测利润表!H46</f>
        <v>0</v>
      </c>
      <c r="I34" s="171">
        <f>预测利润表!I46</f>
        <v>0</v>
      </c>
      <c r="J34" s="171">
        <f>预测利润表!J46</f>
        <v>0</v>
      </c>
    </row>
    <row r="35" spans="1:10">
      <c r="A35" s="412"/>
      <c r="B35" s="259" t="s">
        <v>1521</v>
      </c>
      <c r="C35" s="109"/>
      <c r="D35" s="171"/>
      <c r="E35" s="171"/>
      <c r="F35" s="171"/>
      <c r="G35" s="171"/>
      <c r="H35" s="171">
        <f>筹资!E9-筹资!E10</f>
        <v>-4.0283720851454992E-2</v>
      </c>
      <c r="I35" s="171" t="e">
        <f>筹资!F9-筹资!F10</f>
        <v>#VALUE!</v>
      </c>
      <c r="J35" s="171" t="e">
        <f>筹资!G9-筹资!G10</f>
        <v>#VALUE!</v>
      </c>
    </row>
    <row r="36" spans="1:10">
      <c r="A36" s="413" t="s">
        <v>865</v>
      </c>
      <c r="B36" s="259" t="s">
        <v>1522</v>
      </c>
      <c r="C36" s="109"/>
      <c r="D36" s="195">
        <f>'历史年度（简化）'!C126-'历史年度（简化）'!C129</f>
        <v>-0.30000000000000004</v>
      </c>
      <c r="E36" s="195">
        <f>'历史年度（简化）'!D126-'历史年度（简化）'!D129</f>
        <v>0.14532105480000002</v>
      </c>
      <c r="F36" s="195">
        <f>'历史年度（简化）'!E126-'历史年度（简化）'!E129</f>
        <v>0.10008714449999999</v>
      </c>
      <c r="G36" s="195">
        <f>'历史年度（简化）'!F126-'历史年度（简化）'!F129</f>
        <v>-0.70721733750000004</v>
      </c>
      <c r="H36" s="195">
        <f>预测资产负债表!H45-预测资产负债表!G45+预测资产负债表!H46-预测资产负债表!G46</f>
        <v>0</v>
      </c>
      <c r="I36" s="195">
        <f>预测资产负债表!I45-预测资产负债表!H45+预测资产负债表!I46-预测资产负债表!H46</f>
        <v>0</v>
      </c>
      <c r="J36" s="195">
        <f>预测资产负债表!J45-预测资产负债表!I45+预测资产负债表!J46-预测资产负债表!I46</f>
        <v>0</v>
      </c>
    </row>
    <row r="37" spans="1:10">
      <c r="A37" s="412"/>
      <c r="B37" s="418" t="s">
        <v>1420</v>
      </c>
      <c r="C37" s="109"/>
      <c r="D37" s="171">
        <f t="shared" ref="D37:H37" si="2">D32+D33-D34-D35+D36</f>
        <v>0.27747096419999984</v>
      </c>
      <c r="E37" s="171">
        <f t="shared" si="2"/>
        <v>3.4898628159999987</v>
      </c>
      <c r="F37" s="171">
        <f t="shared" ref="F37:G37" si="3">F32+F33-F34-F35+F36</f>
        <v>2.4569657741000008</v>
      </c>
      <c r="G37" s="171">
        <f t="shared" si="3"/>
        <v>-1.7643064668999999</v>
      </c>
      <c r="H37" s="171" t="e">
        <f t="shared" si="2"/>
        <v>#VALUE!</v>
      </c>
      <c r="I37" s="171" t="e">
        <f t="shared" ref="I37:J37" si="4">I32+I33-I34-I35+I36</f>
        <v>#VALUE!</v>
      </c>
      <c r="J37" s="171" t="e">
        <f t="shared" si="4"/>
        <v>#VALUE!</v>
      </c>
    </row>
    <row r="38" spans="1:10">
      <c r="A38" s="413" t="s">
        <v>865</v>
      </c>
      <c r="B38" s="259" t="s">
        <v>1404</v>
      </c>
      <c r="C38" s="109"/>
      <c r="D38" s="171"/>
      <c r="E38" s="171"/>
      <c r="F38" s="171"/>
      <c r="G38" s="171"/>
      <c r="H38" s="171" t="e">
        <f>预测资产负债表!H34-预测资产负债表!G34</f>
        <v>#VALUE!</v>
      </c>
      <c r="I38" s="171" t="e">
        <f>预测资产负债表!I34-预测资产负债表!H34</f>
        <v>#VALUE!</v>
      </c>
      <c r="J38" s="171" t="e">
        <f>预测资产负债表!J34-预测资产负债表!I34</f>
        <v>#VALUE!</v>
      </c>
    </row>
    <row r="39" spans="1:10">
      <c r="A39" s="412"/>
      <c r="B39" s="419" t="s">
        <v>969</v>
      </c>
      <c r="C39" s="109"/>
      <c r="D39" s="171">
        <f>'历史年度（简化）'!C130</f>
        <v>0.27747096419999961</v>
      </c>
      <c r="E39" s="171">
        <f>'历史年度（简化）'!D130</f>
        <v>3.4898628159999991</v>
      </c>
      <c r="F39" s="171">
        <f>'历史年度（简化）'!E130</f>
        <v>2.4569657741000013</v>
      </c>
      <c r="G39" s="171">
        <f>'历史年度（简化）'!F130</f>
        <v>-1.7643064668999999</v>
      </c>
      <c r="H39" s="171" t="e">
        <f>H37+H38</f>
        <v>#VALUE!</v>
      </c>
      <c r="I39" s="171" t="e">
        <f t="shared" ref="I39:J39" si="5">I37+I38</f>
        <v>#VALUE!</v>
      </c>
      <c r="J39" s="171" t="e">
        <f t="shared" si="5"/>
        <v>#VALUE!</v>
      </c>
    </row>
    <row r="40" spans="1:10">
      <c r="A40" s="266"/>
      <c r="B40" s="225"/>
      <c r="C40" s="109"/>
      <c r="D40" s="296"/>
      <c r="E40" s="296"/>
      <c r="F40" s="296"/>
      <c r="G40" s="296"/>
      <c r="H40" s="296"/>
      <c r="I40" s="296"/>
      <c r="J40" s="296"/>
    </row>
    <row r="41" spans="1:10">
      <c r="A41" s="409" t="s">
        <v>1523</v>
      </c>
      <c r="B41" s="409"/>
      <c r="C41" s="109"/>
      <c r="D41" s="269"/>
      <c r="E41" s="269"/>
      <c r="F41" s="269"/>
      <c r="G41" s="269"/>
      <c r="H41" s="269"/>
      <c r="I41" s="269"/>
      <c r="J41" s="269"/>
    </row>
    <row r="42" spans="1:10">
      <c r="A42" s="412"/>
      <c r="B42" s="419" t="s">
        <v>971</v>
      </c>
      <c r="C42" s="109"/>
      <c r="D42" s="171" t="e">
        <f>'历史年度（简化）'!C133</f>
        <v>#VALUE!</v>
      </c>
      <c r="E42" s="171" t="e">
        <f>'历史年度（简化）'!D133</f>
        <v>#VALUE!</v>
      </c>
      <c r="F42" s="171" t="e">
        <f>'历史年度（简化）'!E133</f>
        <v>#VALUE!</v>
      </c>
      <c r="G42" s="171" t="e">
        <f>'历史年度（简化）'!F133</f>
        <v>#VALUE!</v>
      </c>
      <c r="H42" s="171" t="e">
        <f>H16+H29+H39</f>
        <v>#VALUE!</v>
      </c>
      <c r="I42" s="171" t="e">
        <f t="shared" ref="I42:J42" si="6">I16+I29+I39</f>
        <v>#VALUE!</v>
      </c>
      <c r="J42" s="171" t="e">
        <f t="shared" si="6"/>
        <v>#VALUE!</v>
      </c>
    </row>
    <row r="43" spans="1:10">
      <c r="A43" s="413" t="s">
        <v>865</v>
      </c>
      <c r="B43" s="259" t="s">
        <v>972</v>
      </c>
      <c r="C43" s="109"/>
      <c r="D43" s="171">
        <f>'历史年度（简化）'!C134</f>
        <v>1.1582609659999998</v>
      </c>
      <c r="E43" s="171">
        <f>'历史年度（简化）'!D134</f>
        <v>1.6990145169999999</v>
      </c>
      <c r="F43" s="171">
        <f>'历史年度（简化）'!E134</f>
        <v>2.8544451126999997</v>
      </c>
      <c r="G43" s="171">
        <f>'历史年度（简化）'!F134</f>
        <v>4.0796088198999998</v>
      </c>
      <c r="H43" s="171">
        <f>G44</f>
        <v>2.5321442329999995</v>
      </c>
      <c r="I43" s="171" t="e">
        <f t="shared" ref="I43:J43" si="7">H44</f>
        <v>#VALUE!</v>
      </c>
      <c r="J43" s="171" t="e">
        <f t="shared" si="7"/>
        <v>#VALUE!</v>
      </c>
    </row>
    <row r="44" spans="1:10">
      <c r="A44" s="412"/>
      <c r="B44" s="259" t="s">
        <v>973</v>
      </c>
      <c r="C44" s="109"/>
      <c r="D44" s="171">
        <f>'历史年度（简化）'!C40</f>
        <v>0.96667874829999989</v>
      </c>
      <c r="E44" s="171">
        <f>'历史年度（简化）'!D40</f>
        <v>1.5793793950000001</v>
      </c>
      <c r="F44" s="171">
        <f>'历史年度（简化）'!E40</f>
        <v>2.5659734576000002</v>
      </c>
      <c r="G44" s="171">
        <f>'历史年度（简化）'!F40</f>
        <v>2.5321442329999995</v>
      </c>
      <c r="H44" s="171" t="e">
        <f>H42+H43</f>
        <v>#VALUE!</v>
      </c>
      <c r="I44" s="171" t="e">
        <f t="shared" ref="I44:J44" si="8">I42+I43</f>
        <v>#VALUE!</v>
      </c>
      <c r="J44" s="171" t="e">
        <f t="shared" si="8"/>
        <v>#VALUE!</v>
      </c>
    </row>
    <row r="45" spans="1:10">
      <c r="A45" s="225"/>
      <c r="B45" s="225"/>
      <c r="C45" s="109"/>
      <c r="D45" s="296"/>
      <c r="E45" s="296"/>
      <c r="F45" s="296"/>
      <c r="G45" s="296"/>
      <c r="H45" s="296"/>
      <c r="I45" s="296"/>
      <c r="J45" s="296"/>
    </row>
    <row r="46" spans="1:10" ht="15.35">
      <c r="A46" s="420" t="s">
        <v>1524</v>
      </c>
      <c r="B46" s="212"/>
      <c r="C46" s="109"/>
      <c r="D46" s="269"/>
      <c r="E46" s="269"/>
      <c r="F46" s="269"/>
      <c r="G46" s="269"/>
      <c r="H46" s="269"/>
      <c r="I46" s="269"/>
      <c r="J46" s="269"/>
    </row>
    <row r="47" spans="1:10">
      <c r="A47" s="421"/>
      <c r="B47" s="256" t="s">
        <v>1457</v>
      </c>
      <c r="C47" s="109"/>
      <c r="D47" s="171" t="e">
        <f>预测利润表!D77</f>
        <v>#VALUE!</v>
      </c>
      <c r="E47" s="171" t="e">
        <f>预测利润表!E77</f>
        <v>#VALUE!</v>
      </c>
      <c r="F47" s="171" t="e">
        <f>预测利润表!F77</f>
        <v>#VALUE!</v>
      </c>
      <c r="G47" s="171" t="e">
        <f>预测利润表!G77</f>
        <v>#VALUE!</v>
      </c>
      <c r="H47" s="171" t="e">
        <f>预测利润表!G77</f>
        <v>#VALUE!</v>
      </c>
      <c r="I47" s="171">
        <f>预测利润表!H77</f>
        <v>5.7437436376833508</v>
      </c>
      <c r="J47" s="171" t="e">
        <f>预测利润表!I77</f>
        <v>#VALUE!</v>
      </c>
    </row>
    <row r="48" spans="1:10">
      <c r="A48" s="265" t="s">
        <v>865</v>
      </c>
      <c r="B48" s="259" t="s">
        <v>942</v>
      </c>
      <c r="C48" s="109"/>
      <c r="D48" s="171">
        <f>'历史年度（简化）'!C100</f>
        <v>1.4049729526999999</v>
      </c>
      <c r="E48" s="171">
        <f>'历史年度（简化）'!D100</f>
        <v>1.8035099397999999</v>
      </c>
      <c r="F48" s="171">
        <f>'历史年度（简化）'!E100</f>
        <v>2.2835377573</v>
      </c>
      <c r="G48" s="171">
        <f>'历史年度（简化）'!F100</f>
        <v>2.5847545046000002</v>
      </c>
      <c r="H48" s="171" t="e">
        <f>H8</f>
        <v>#VALUE!</v>
      </c>
      <c r="I48" s="171" t="e">
        <f t="shared" ref="I48:J48" si="9">I8</f>
        <v>#VALUE!</v>
      </c>
      <c r="J48" s="171" t="e">
        <f t="shared" si="9"/>
        <v>#VALUE!</v>
      </c>
    </row>
    <row r="49" spans="1:10">
      <c r="A49" s="265" t="s">
        <v>1496</v>
      </c>
      <c r="B49" s="259" t="s">
        <v>1525</v>
      </c>
      <c r="C49" s="109"/>
      <c r="D49" s="171" t="e">
        <f t="shared" ref="D49:H49" si="10">D47+D48</f>
        <v>#VALUE!</v>
      </c>
      <c r="E49" s="171" t="e">
        <f t="shared" si="10"/>
        <v>#VALUE!</v>
      </c>
      <c r="F49" s="171" t="e">
        <f t="shared" ref="F49:G49" si="11">F47+F48</f>
        <v>#VALUE!</v>
      </c>
      <c r="G49" s="171" t="e">
        <f t="shared" si="11"/>
        <v>#VALUE!</v>
      </c>
      <c r="H49" s="171" t="e">
        <f t="shared" si="10"/>
        <v>#VALUE!</v>
      </c>
      <c r="I49" s="171" t="e">
        <f t="shared" ref="I49:J49" si="12">I47+I48</f>
        <v>#VALUE!</v>
      </c>
      <c r="J49" s="171" t="e">
        <f t="shared" si="12"/>
        <v>#VALUE!</v>
      </c>
    </row>
    <row r="50" spans="1:10">
      <c r="A50" s="422"/>
      <c r="B50" s="211"/>
      <c r="C50" s="109"/>
      <c r="D50" s="423"/>
      <c r="E50" s="423"/>
      <c r="F50" s="423"/>
      <c r="G50" s="423"/>
      <c r="H50" s="423"/>
      <c r="I50" s="423"/>
      <c r="J50" s="423"/>
    </row>
    <row r="51" spans="1:10">
      <c r="A51" s="265" t="s">
        <v>858</v>
      </c>
      <c r="B51" s="259" t="s">
        <v>1526</v>
      </c>
      <c r="C51" s="109"/>
      <c r="D51" s="171">
        <f>预测资产负债表!D86</f>
        <v>0</v>
      </c>
      <c r="E51" s="171">
        <f>预测资产负债表!E86</f>
        <v>1.732325291301005</v>
      </c>
      <c r="F51" s="171">
        <f>预测资产负债表!F86</f>
        <v>1.9697932503299977</v>
      </c>
      <c r="G51" s="171">
        <f>预测资产负债表!G86</f>
        <v>1.3103404649819961</v>
      </c>
      <c r="H51" s="171" t="e">
        <f>预测资产负债表!H86</f>
        <v>#VALUE!</v>
      </c>
      <c r="I51" s="171" t="e">
        <f>预测资产负债表!I86</f>
        <v>#VALUE!</v>
      </c>
      <c r="J51" s="171" t="e">
        <f>预测资产负债表!J86</f>
        <v>#VALUE!</v>
      </c>
    </row>
    <row r="52" spans="1:10">
      <c r="A52" s="421" t="s">
        <v>1496</v>
      </c>
      <c r="B52" s="259" t="s">
        <v>1411</v>
      </c>
      <c r="C52" s="109"/>
      <c r="D52" s="171" t="e">
        <f t="shared" ref="D52:H52" si="13">D49-D51</f>
        <v>#VALUE!</v>
      </c>
      <c r="E52" s="171" t="e">
        <f t="shared" si="13"/>
        <v>#VALUE!</v>
      </c>
      <c r="F52" s="171" t="e">
        <f t="shared" ref="F52:G52" si="14">F49-F51</f>
        <v>#VALUE!</v>
      </c>
      <c r="G52" s="171" t="e">
        <f t="shared" si="14"/>
        <v>#VALUE!</v>
      </c>
      <c r="H52" s="171" t="e">
        <f t="shared" si="13"/>
        <v>#VALUE!</v>
      </c>
      <c r="I52" s="171" t="e">
        <f t="shared" ref="I52:J52" si="15">I49-I51</f>
        <v>#VALUE!</v>
      </c>
      <c r="J52" s="171" t="e">
        <f t="shared" si="15"/>
        <v>#VALUE!</v>
      </c>
    </row>
    <row r="53" spans="1:10">
      <c r="A53" s="424"/>
      <c r="B53" s="211"/>
      <c r="C53" s="109"/>
      <c r="D53" s="423"/>
      <c r="E53" s="423"/>
      <c r="F53" s="423"/>
      <c r="G53" s="423"/>
      <c r="H53" s="423"/>
      <c r="I53" s="423"/>
      <c r="J53" s="423"/>
    </row>
    <row r="54" spans="1:10">
      <c r="A54" s="265" t="s">
        <v>858</v>
      </c>
      <c r="B54" s="259" t="s">
        <v>1527</v>
      </c>
      <c r="C54" s="109"/>
      <c r="D54" s="171"/>
      <c r="E54" s="171">
        <f>(预测资产负债表!E31-预测资产负债表!D31)-(预测资产负债表!E49-预测资产负债表!D49)+(预测资产负债表!E44-预测资产负债表!D44)</f>
        <v>4.9174156877000055</v>
      </c>
      <c r="F54" s="171">
        <f>(预测资产负债表!F31-预测资产负债表!E31)-(预测资产负债表!F49-预测资产负债表!E49)+(预测资产负债表!F44-预测资产负债表!E44)</f>
        <v>4.1241692821999933</v>
      </c>
      <c r="G54" s="171">
        <f>(预测资产负债表!G31-预测资产负债表!F31)-(预测资产负债表!G49-预测资产负债表!F49)+(预测资产负债表!G44-预测资产负债表!F44)</f>
        <v>2.3913601297000042</v>
      </c>
      <c r="H54" s="171" t="e">
        <f>投资!E7+投资!E8+投资!E9+投资!E10+投资!E11-(预测资产负债表!H49-预测资产负债表!G49)+(预测资产负债表!H44-预测资产负债表!G44)</f>
        <v>#VALUE!</v>
      </c>
      <c r="I54" s="171" t="e">
        <f>投资!F7+投资!F8+投资!F9+投资!F10+投资!F11-(预测资产负债表!I49-预测资产负债表!H49)+(预测资产负债表!I44-预测资产负债表!H44)</f>
        <v>#VALUE!</v>
      </c>
      <c r="J54" s="171" t="e">
        <f>投资!G7+投资!G8+投资!G9+投资!G10+投资!G11-(预测资产负债表!J49-预测资产负债表!I49)+(预测资产负债表!J44-预测资产负债表!I44)</f>
        <v>#VALUE!</v>
      </c>
    </row>
    <row r="55" spans="1:10">
      <c r="A55" s="415"/>
      <c r="B55" s="259"/>
      <c r="C55" s="109"/>
      <c r="D55" s="171"/>
      <c r="E55" s="171"/>
      <c r="F55" s="171"/>
      <c r="G55" s="171"/>
      <c r="H55" s="171"/>
      <c r="I55" s="171"/>
      <c r="J55" s="171"/>
    </row>
    <row r="56" spans="1:10">
      <c r="A56" s="415" t="s">
        <v>1496</v>
      </c>
      <c r="B56" s="419" t="s">
        <v>1528</v>
      </c>
      <c r="C56" s="109"/>
      <c r="D56" s="171" t="e">
        <f t="shared" ref="D56:H56" si="16">D52-D54</f>
        <v>#VALUE!</v>
      </c>
      <c r="E56" s="171" t="e">
        <f t="shared" si="16"/>
        <v>#VALUE!</v>
      </c>
      <c r="F56" s="171" t="e">
        <f t="shared" ref="F56:G56" si="17">F52-F54</f>
        <v>#VALUE!</v>
      </c>
      <c r="G56" s="171" t="e">
        <f t="shared" si="17"/>
        <v>#VALUE!</v>
      </c>
      <c r="H56" s="171" t="e">
        <f t="shared" si="16"/>
        <v>#VALUE!</v>
      </c>
      <c r="I56" s="171" t="e">
        <f t="shared" ref="I56:J56" si="18">I52-I54</f>
        <v>#VALUE!</v>
      </c>
      <c r="J56" s="171" t="e">
        <f t="shared" si="18"/>
        <v>#VALUE!</v>
      </c>
    </row>
    <row r="57" spans="1:10" ht="15.35">
      <c r="A57" s="425"/>
      <c r="B57" s="212"/>
      <c r="C57" s="109"/>
      <c r="D57" s="296"/>
      <c r="E57" s="296"/>
      <c r="F57" s="296"/>
      <c r="G57" s="296"/>
      <c r="H57" s="296"/>
      <c r="I57" s="296"/>
      <c r="J57" s="296"/>
    </row>
    <row r="58" spans="1:10">
      <c r="A58" s="420" t="s">
        <v>1529</v>
      </c>
      <c r="B58" s="211"/>
      <c r="C58" s="109"/>
      <c r="D58" s="269"/>
      <c r="E58" s="269"/>
      <c r="F58" s="269"/>
      <c r="G58" s="269"/>
      <c r="H58" s="269"/>
      <c r="I58" s="269"/>
      <c r="J58" s="269"/>
    </row>
    <row r="59" spans="1:10">
      <c r="A59" s="376"/>
      <c r="B59" s="259" t="s">
        <v>1528</v>
      </c>
      <c r="C59" s="109"/>
      <c r="D59" s="171" t="e">
        <f t="shared" ref="D59:H59" si="19">D56</f>
        <v>#VALUE!</v>
      </c>
      <c r="E59" s="171" t="e">
        <f t="shared" si="19"/>
        <v>#VALUE!</v>
      </c>
      <c r="F59" s="171" t="e">
        <f t="shared" ref="F59:G59" si="20">F56</f>
        <v>#VALUE!</v>
      </c>
      <c r="G59" s="171" t="e">
        <f t="shared" si="20"/>
        <v>#VALUE!</v>
      </c>
      <c r="H59" s="171" t="e">
        <f t="shared" si="19"/>
        <v>#VALUE!</v>
      </c>
      <c r="I59" s="171" t="e">
        <f t="shared" ref="I59:J59" si="21">I56</f>
        <v>#VALUE!</v>
      </c>
      <c r="J59" s="171" t="e">
        <f t="shared" si="21"/>
        <v>#VALUE!</v>
      </c>
    </row>
    <row r="60" spans="1:10">
      <c r="A60" s="265" t="s">
        <v>858</v>
      </c>
      <c r="B60" s="259" t="s">
        <v>1530</v>
      </c>
      <c r="C60" s="109"/>
      <c r="D60" s="171" t="e">
        <f>预测利润表!D53*(1-预测利润表!D25)</f>
        <v>#VALUE!</v>
      </c>
      <c r="E60" s="171" t="e">
        <f>预测利润表!E53*(1-预测利润表!E25)</f>
        <v>#VALUE!</v>
      </c>
      <c r="F60" s="171" t="e">
        <f>预测利润表!F53*(1-预测利润表!F25)</f>
        <v>#VALUE!</v>
      </c>
      <c r="G60" s="171" t="e">
        <f>预测利润表!G53*(1-预测利润表!G25)</f>
        <v>#VALUE!</v>
      </c>
      <c r="H60" s="171" t="e">
        <f>预测利润表!G53*(1-预测利润表!G25)</f>
        <v>#VALUE!</v>
      </c>
      <c r="I60" s="171">
        <f>预测利润表!H53*(1-预测利润表!H25)</f>
        <v>-4.0283720851454992E-2</v>
      </c>
      <c r="J60" s="171" t="e">
        <f>预测利润表!I53*(1-预测利润表!I25)</f>
        <v>#VALUE!</v>
      </c>
    </row>
    <row r="61" spans="1:10">
      <c r="A61" s="265"/>
      <c r="B61" s="259" t="s">
        <v>1531</v>
      </c>
      <c r="C61" s="109"/>
      <c r="D61" s="171">
        <f t="shared" ref="D61:H61" si="22">-D33</f>
        <v>-0.6987727615999999</v>
      </c>
      <c r="E61" s="171">
        <f t="shared" si="22"/>
        <v>-3.7665732172999986</v>
      </c>
      <c r="F61" s="171">
        <f t="shared" ref="F61:G61" si="23">-F33</f>
        <v>6.9972836991999987</v>
      </c>
      <c r="G61" s="171">
        <f t="shared" si="23"/>
        <v>-0.56094173889999999</v>
      </c>
      <c r="H61" s="171" t="e">
        <f t="shared" si="22"/>
        <v>#VALUE!</v>
      </c>
      <c r="I61" s="171" t="e">
        <f t="shared" ref="I61:J61" si="24">-I33</f>
        <v>#VALUE!</v>
      </c>
      <c r="J61" s="171" t="e">
        <f t="shared" si="24"/>
        <v>#VALUE!</v>
      </c>
    </row>
    <row r="62" spans="1:10">
      <c r="A62" s="255"/>
      <c r="B62" s="259" t="s">
        <v>1532</v>
      </c>
      <c r="C62" s="109"/>
      <c r="D62" s="171">
        <f t="shared" ref="D62:H62" si="25">-D38</f>
        <v>0</v>
      </c>
      <c r="E62" s="171">
        <f t="shared" si="25"/>
        <v>0</v>
      </c>
      <c r="F62" s="171">
        <f t="shared" ref="F62:G62" si="26">-F38</f>
        <v>0</v>
      </c>
      <c r="G62" s="171">
        <f t="shared" si="26"/>
        <v>0</v>
      </c>
      <c r="H62" s="171" t="e">
        <f t="shared" si="25"/>
        <v>#VALUE!</v>
      </c>
      <c r="I62" s="171" t="e">
        <f t="shared" ref="I62:J62" si="27">-I38</f>
        <v>#VALUE!</v>
      </c>
      <c r="J62" s="171" t="e">
        <f t="shared" si="27"/>
        <v>#VALUE!</v>
      </c>
    </row>
    <row r="63" spans="1:10">
      <c r="A63" s="415" t="s">
        <v>1496</v>
      </c>
      <c r="B63" s="419" t="s">
        <v>1533</v>
      </c>
      <c r="C63" s="109"/>
      <c r="D63" s="171" t="e">
        <f t="shared" ref="D63:H63" si="28">D59-D60-D61-D62</f>
        <v>#VALUE!</v>
      </c>
      <c r="E63" s="171" t="e">
        <f t="shared" si="28"/>
        <v>#VALUE!</v>
      </c>
      <c r="F63" s="171" t="e">
        <f t="shared" ref="F63:G63" si="29">F59-F60-F61-F62</f>
        <v>#VALUE!</v>
      </c>
      <c r="G63" s="171" t="e">
        <f t="shared" si="29"/>
        <v>#VALUE!</v>
      </c>
      <c r="H63" s="171" t="e">
        <f t="shared" si="28"/>
        <v>#VALUE!</v>
      </c>
      <c r="I63" s="171" t="e">
        <f t="shared" ref="I63:J63" si="30">I59-I60-I61-I62</f>
        <v>#VALUE!</v>
      </c>
      <c r="J63" s="171" t="e">
        <f t="shared" si="30"/>
        <v>#VALUE!</v>
      </c>
    </row>
    <row r="64" spans="1:10">
      <c r="A64" s="425"/>
      <c r="B64" s="211"/>
      <c r="C64" s="109"/>
      <c r="D64" s="296"/>
      <c r="E64" s="296"/>
      <c r="F64" s="296"/>
      <c r="G64" s="296"/>
      <c r="H64" s="296"/>
      <c r="I64" s="296"/>
      <c r="J64" s="109"/>
    </row>
    <row r="65" spans="1:10">
      <c r="A65" s="109"/>
      <c r="B65" s="109"/>
      <c r="C65" s="109"/>
      <c r="D65" s="109"/>
      <c r="E65" s="109"/>
      <c r="F65" s="109"/>
      <c r="G65" s="109"/>
      <c r="H65" s="109"/>
      <c r="I65" s="109"/>
      <c r="J65" s="109"/>
    </row>
    <row r="66" spans="1:10">
      <c r="A66" s="109"/>
      <c r="B66" s="109"/>
      <c r="C66" s="109"/>
      <c r="D66" s="109"/>
      <c r="E66" s="109"/>
      <c r="F66" s="109"/>
      <c r="G66" s="109"/>
      <c r="H66" s="109"/>
      <c r="I66" s="109"/>
      <c r="J66" s="109"/>
    </row>
    <row r="67" spans="1:10">
      <c r="A67" s="225"/>
      <c r="B67" s="225"/>
      <c r="C67" s="109"/>
      <c r="D67" s="109"/>
      <c r="E67" s="109"/>
      <c r="F67" s="109"/>
      <c r="G67" s="109"/>
      <c r="H67" s="109"/>
      <c r="I67" s="109"/>
      <c r="J67" s="109"/>
    </row>
    <row r="68" spans="1:10">
      <c r="A68" s="427"/>
      <c r="B68" s="220"/>
      <c r="C68" s="109"/>
      <c r="D68" s="109"/>
      <c r="E68" s="109"/>
      <c r="F68" s="109"/>
      <c r="G68" s="109"/>
      <c r="H68" s="109"/>
      <c r="I68" s="109"/>
      <c r="J68" s="109"/>
    </row>
    <row r="69" spans="1:10">
      <c r="A69" s="428"/>
      <c r="B69" s="220"/>
      <c r="C69" s="109"/>
      <c r="D69" s="109"/>
      <c r="E69" s="109"/>
      <c r="F69" s="109"/>
      <c r="G69" s="109"/>
      <c r="H69" s="109"/>
      <c r="I69" s="109"/>
      <c r="J69" s="109"/>
    </row>
    <row r="70" spans="1:10">
      <c r="A70" s="427"/>
      <c r="B70" s="220"/>
      <c r="C70" s="109"/>
      <c r="D70" s="109"/>
      <c r="E70" s="109"/>
      <c r="F70" s="109"/>
      <c r="G70" s="109"/>
      <c r="H70" s="109"/>
      <c r="I70" s="109"/>
      <c r="J70" s="109"/>
    </row>
    <row r="71" spans="1:10">
      <c r="A71" s="266"/>
      <c r="B71" s="220"/>
      <c r="C71" s="109"/>
      <c r="D71" s="109"/>
      <c r="E71" s="109"/>
      <c r="F71" s="109"/>
      <c r="G71" s="109"/>
      <c r="H71" s="109"/>
      <c r="I71" s="109"/>
      <c r="J71" s="109"/>
    </row>
    <row r="72" spans="1:10">
      <c r="A72" s="220"/>
      <c r="B72" s="220"/>
      <c r="C72" s="109"/>
      <c r="D72" s="109"/>
      <c r="E72" s="109"/>
      <c r="F72" s="109"/>
      <c r="G72" s="109"/>
      <c r="H72" s="109"/>
      <c r="I72" s="109"/>
      <c r="J72" s="109"/>
    </row>
    <row r="73" spans="1:10">
      <c r="A73" s="427"/>
      <c r="B73" s="220"/>
      <c r="C73" s="109"/>
      <c r="D73" s="109"/>
      <c r="E73" s="109"/>
      <c r="F73" s="109"/>
      <c r="G73" s="109"/>
      <c r="H73" s="109"/>
      <c r="I73" s="109"/>
      <c r="J73" s="109"/>
    </row>
    <row r="74" spans="1:10">
      <c r="A74" s="427"/>
      <c r="B74" s="220"/>
      <c r="C74" s="109"/>
      <c r="D74" s="109"/>
      <c r="E74" s="109"/>
      <c r="F74" s="109"/>
      <c r="G74" s="109"/>
      <c r="H74" s="109"/>
      <c r="I74" s="109"/>
      <c r="J74" s="109"/>
    </row>
    <row r="75" spans="1:10">
      <c r="A75" s="225"/>
      <c r="B75" s="220"/>
      <c r="C75" s="109"/>
      <c r="D75" s="109"/>
      <c r="E75" s="109"/>
      <c r="F75" s="109"/>
      <c r="G75" s="109"/>
      <c r="H75" s="109"/>
      <c r="I75" s="109"/>
      <c r="J75" s="109"/>
    </row>
    <row r="76" spans="1:10">
      <c r="A76" s="428"/>
      <c r="B76" s="220"/>
      <c r="C76" s="109"/>
      <c r="D76" s="109"/>
      <c r="E76" s="109"/>
      <c r="F76" s="109"/>
      <c r="G76" s="109"/>
      <c r="H76" s="109"/>
      <c r="I76" s="109"/>
      <c r="J76" s="109"/>
    </row>
    <row r="77" spans="1:10" s="403" customFormat="1" ht="9.9"/>
    <row r="78" spans="1:10" s="403" customFormat="1" ht="9.9"/>
    <row r="79" spans="1:10" s="403" customFormat="1" ht="9.9"/>
    <row r="80" spans="1:10" s="403" customFormat="1" ht="9.9"/>
    <row r="81" s="403" customFormat="1" ht="9.9"/>
    <row r="82" s="403" customFormat="1" ht="9.9"/>
    <row r="83" s="403" customFormat="1" ht="9.9"/>
    <row r="84" s="403" customFormat="1" ht="9.9"/>
    <row r="85" s="403" customFormat="1" ht="9.9"/>
    <row r="86" s="403" customFormat="1" ht="9.9"/>
    <row r="87" s="403" customFormat="1" ht="9.9"/>
    <row r="88" s="403" customFormat="1" ht="9.9"/>
    <row r="89" s="403" customFormat="1" ht="9.9"/>
    <row r="90" s="403" customFormat="1" ht="9.9"/>
    <row r="91" s="403" customFormat="1" ht="9.9"/>
    <row r="92" s="403" customFormat="1" ht="9.9"/>
    <row r="93" s="403" customFormat="1" ht="9.9"/>
    <row r="94" s="403" customFormat="1" ht="9.9"/>
    <row r="95" s="403" customFormat="1" ht="9.9"/>
    <row r="96" s="403" customFormat="1" ht="9.9"/>
    <row r="97" s="403" customFormat="1" ht="9.9"/>
    <row r="98" s="403" customFormat="1" ht="9.9"/>
    <row r="99" s="403" customFormat="1" ht="9.9"/>
    <row r="100" s="403" customFormat="1" ht="9.9"/>
    <row r="101" s="403" customFormat="1" ht="9.9"/>
    <row r="102" s="403" customFormat="1" ht="9.9"/>
    <row r="103" s="403" customFormat="1" ht="9.9"/>
    <row r="104" s="403" customFormat="1" ht="9.9"/>
    <row r="105" s="403" customFormat="1" ht="9.9"/>
    <row r="106" s="403" customFormat="1" ht="9.9"/>
    <row r="107" s="403" customFormat="1" ht="9.9"/>
    <row r="108" s="403" customFormat="1" ht="9.9"/>
    <row r="109" s="403" customFormat="1" ht="9.9"/>
    <row r="110" s="403" customFormat="1" ht="9.9"/>
    <row r="111" s="403" customFormat="1" ht="9.9"/>
    <row r="112" s="403" customFormat="1" ht="9.9"/>
    <row r="113" s="403" customFormat="1" ht="9.9"/>
    <row r="114" s="403" customFormat="1" ht="9.9"/>
    <row r="115" s="403" customFormat="1" ht="9.9"/>
    <row r="116" s="403" customFormat="1" ht="9.9"/>
    <row r="117" s="403" customFormat="1" ht="9.9"/>
    <row r="118" s="403" customFormat="1" ht="9.9"/>
    <row r="119" s="403" customFormat="1" ht="9.9"/>
    <row r="120" s="403" customFormat="1" ht="9.9"/>
    <row r="121" s="403" customFormat="1" ht="9.9"/>
    <row r="122" s="403" customFormat="1" ht="9.9"/>
    <row r="123" s="403" customFormat="1" ht="9.9"/>
    <row r="124" s="403" customFormat="1" ht="9.9"/>
    <row r="125" s="403" customFormat="1" ht="9.9"/>
    <row r="126" s="403" customFormat="1" ht="9.9"/>
    <row r="127" s="403" customFormat="1" ht="9.9"/>
    <row r="128" s="403" customFormat="1" ht="9.9"/>
    <row r="129" s="403" customFormat="1" ht="9.9"/>
    <row r="130" s="403" customFormat="1" ht="9.9"/>
    <row r="131" s="403" customFormat="1" ht="9.9"/>
    <row r="132" s="403" customFormat="1" ht="9.9"/>
    <row r="133" s="403" customFormat="1" ht="9.9"/>
    <row r="134" s="403" customFormat="1" ht="9.9"/>
    <row r="135" s="403" customFormat="1" ht="9.9"/>
    <row r="136" s="403" customFormat="1" ht="9.9"/>
    <row r="137" s="403" customFormat="1" ht="9.9"/>
    <row r="138" s="403" customFormat="1" ht="9.9"/>
    <row r="139" s="403" customFormat="1" ht="9.9"/>
    <row r="140" s="403" customFormat="1" ht="9.9"/>
    <row r="141" s="403" customFormat="1" ht="9.9"/>
    <row r="142" s="403" customFormat="1" ht="9.9"/>
    <row r="143" s="403" customFormat="1" ht="9.9"/>
    <row r="144" s="403" customFormat="1" ht="9.9"/>
    <row r="145" s="403" customFormat="1" ht="9.9"/>
    <row r="146" s="403" customFormat="1" ht="9.9"/>
    <row r="147" s="403" customFormat="1" ht="9.9"/>
    <row r="148" s="403" customFormat="1" ht="9.9"/>
    <row r="149" s="403" customFormat="1" ht="9.9"/>
    <row r="150" s="403" customFormat="1" ht="9.9"/>
    <row r="151" s="403" customFormat="1" ht="9.9"/>
    <row r="152" s="403" customFormat="1" ht="9.9"/>
    <row r="153" s="403" customFormat="1" ht="9.9"/>
    <row r="154" s="403" customFormat="1" ht="9.9"/>
    <row r="155" s="403" customFormat="1" ht="9.9"/>
    <row r="156" s="403" customFormat="1" ht="9.9"/>
    <row r="157" s="403" customFormat="1" ht="9.9"/>
    <row r="158" s="403" customFormat="1" ht="9.9"/>
    <row r="159" s="403" customFormat="1" ht="9.9"/>
    <row r="160" s="403" customFormat="1" ht="9.9"/>
    <row r="161" s="403" customFormat="1" ht="9.9"/>
    <row r="162" s="403" customFormat="1" ht="9.9"/>
    <row r="163" s="403" customFormat="1" ht="9.9"/>
    <row r="164" s="403" customFormat="1" ht="9.9"/>
    <row r="165" s="403" customFormat="1" ht="9.9"/>
    <row r="166" s="403" customFormat="1" ht="9.9"/>
    <row r="167" s="403" customFormat="1" ht="9.9"/>
    <row r="168" s="403" customFormat="1" ht="9.9"/>
    <row r="169" s="403" customFormat="1" ht="9.9"/>
    <row r="170" s="403" customFormat="1" ht="9.9"/>
    <row r="171" s="403" customFormat="1" ht="9.9"/>
    <row r="172" s="403" customFormat="1" ht="9.9"/>
    <row r="173" s="403" customFormat="1" ht="9.9"/>
    <row r="174" s="403" customFormat="1" ht="9.9"/>
    <row r="175" s="403" customFormat="1" ht="9.9"/>
    <row r="176" s="403" customFormat="1" ht="9.9"/>
    <row r="177" s="403" customFormat="1" ht="9.9"/>
    <row r="178" s="403" customFormat="1" ht="9.9"/>
    <row r="179" s="403" customFormat="1" ht="9.9"/>
    <row r="180" s="403" customFormat="1" ht="9.9"/>
    <row r="181" s="403" customFormat="1" ht="9.9"/>
    <row r="182" s="403" customFormat="1" ht="9.9"/>
    <row r="183" s="403" customFormat="1" ht="9.9"/>
    <row r="184" s="403" customFormat="1" ht="9.9"/>
    <row r="185" s="403" customFormat="1" ht="9.9"/>
    <row r="186" s="403" customFormat="1" ht="9.9"/>
    <row r="187" s="403" customFormat="1" ht="9.9"/>
    <row r="188" s="403" customFormat="1" ht="9.9"/>
    <row r="189" s="403" customFormat="1" ht="9.9"/>
    <row r="190" s="403" customFormat="1" ht="9.9"/>
    <row r="191" s="403" customFormat="1" ht="9.9"/>
    <row r="192" s="403" customFormat="1" ht="9.9"/>
    <row r="193" s="403" customFormat="1" ht="9.9"/>
    <row r="194" s="403" customFormat="1" ht="9.9"/>
    <row r="195" s="403" customFormat="1" ht="9.9"/>
    <row r="196" s="403" customFormat="1" ht="9.9"/>
    <row r="197" s="403" customFormat="1" ht="9.9"/>
    <row r="198" s="403" customFormat="1" ht="9.9"/>
    <row r="199" s="403" customFormat="1" ht="9.9"/>
    <row r="200" s="403" customFormat="1" ht="9.9"/>
    <row r="201" s="403" customFormat="1" ht="9.9"/>
    <row r="202" s="403" customFormat="1" ht="9.9"/>
    <row r="203" s="403" customFormat="1" ht="9.9"/>
    <row r="204" s="403" customFormat="1" ht="9.9"/>
    <row r="205" s="403" customFormat="1" ht="9.9"/>
    <row r="206" s="403" customFormat="1" ht="9.9"/>
    <row r="207" s="403" customFormat="1" ht="9.9"/>
    <row r="208" s="403" customFormat="1" ht="9.9"/>
    <row r="209" s="403" customFormat="1" ht="9.9"/>
    <row r="210" s="403" customFormat="1" ht="9.9"/>
    <row r="211" s="403" customFormat="1" ht="9.9"/>
    <row r="212" s="403" customFormat="1" ht="9.9"/>
    <row r="213" s="403" customFormat="1" ht="9.9"/>
    <row r="214" s="403" customFormat="1" ht="9.9"/>
    <row r="215" s="403" customFormat="1" ht="9.9"/>
    <row r="216" s="403" customFormat="1" ht="9.9"/>
    <row r="217" s="403" customFormat="1" ht="9.9"/>
    <row r="218" s="403" customFormat="1" ht="9.9"/>
    <row r="219" s="403" customFormat="1" ht="9.9"/>
    <row r="220" s="403" customFormat="1" ht="9.9"/>
    <row r="221" s="403" customFormat="1" ht="9.9"/>
    <row r="222" s="403" customFormat="1" ht="9.9"/>
    <row r="223" s="403" customFormat="1" ht="9.9"/>
    <row r="224" s="403" customFormat="1" ht="9.9"/>
    <row r="225" s="403" customFormat="1" ht="9.9"/>
    <row r="226" s="403" customFormat="1" ht="9.9"/>
    <row r="227" s="403" customFormat="1" ht="9.9"/>
    <row r="228" s="403" customFormat="1" ht="9.9"/>
    <row r="229" s="403" customFormat="1" ht="9.9"/>
    <row r="230" s="403" customFormat="1" ht="9.9"/>
    <row r="231" s="403" customFormat="1" ht="9.9"/>
    <row r="232" s="403" customFormat="1" ht="9.9"/>
    <row r="233" s="403" customFormat="1" ht="9.9"/>
    <row r="234" s="403" customFormat="1" ht="9.9"/>
    <row r="235" s="403" customFormat="1" ht="9.9"/>
    <row r="236" s="403" customFormat="1" ht="9.9"/>
    <row r="237" s="403" customFormat="1" ht="9.9"/>
    <row r="238" s="403" customFormat="1" ht="9.9"/>
    <row r="239" s="403" customFormat="1" ht="9.9"/>
    <row r="240" s="403" customFormat="1" ht="9.9"/>
    <row r="241" s="403" customFormat="1" ht="9.9"/>
    <row r="242" s="403" customFormat="1" ht="9.9"/>
    <row r="243" s="403" customFormat="1" ht="9.9"/>
    <row r="244" s="403" customFormat="1" ht="9.9"/>
    <row r="245" s="403" customFormat="1" ht="9.9"/>
    <row r="246" s="403" customFormat="1" ht="9.9"/>
    <row r="247" s="403" customFormat="1" ht="9.9"/>
    <row r="248" s="403" customFormat="1" ht="9.9"/>
    <row r="249" s="403" customFormat="1" ht="9.9"/>
    <row r="250" s="403" customFormat="1" ht="9.9"/>
    <row r="251" s="403" customFormat="1" ht="9.9"/>
    <row r="252" s="403" customFormat="1" ht="9.9"/>
    <row r="253" s="403" customFormat="1" ht="9.9"/>
    <row r="254" s="403" customFormat="1" ht="9.9"/>
    <row r="255" s="403" customFormat="1" ht="9.9"/>
    <row r="256" s="403" customFormat="1" ht="9.9"/>
    <row r="257" s="403" customFormat="1" ht="9.9"/>
    <row r="258" s="403" customFormat="1" ht="9.9"/>
    <row r="259" s="403" customFormat="1" ht="9.9"/>
    <row r="260" s="403" customFormat="1" ht="9.9"/>
    <row r="261" s="403" customFormat="1" ht="9.9"/>
    <row r="262" s="403" customFormat="1" ht="9.9"/>
    <row r="263" s="403" customFormat="1" ht="9.9"/>
    <row r="264" s="403" customFormat="1" ht="9.9"/>
    <row r="265" s="403" customFormat="1" ht="9.9"/>
    <row r="266" s="403" customFormat="1" ht="9.9"/>
    <row r="267" s="403" customFormat="1" ht="9.9"/>
    <row r="268" s="403" customFormat="1" ht="9.9"/>
    <row r="269" s="403" customFormat="1" ht="9.9"/>
    <row r="270" s="403" customFormat="1" ht="9.9"/>
    <row r="271" s="403" customFormat="1" ht="9.9"/>
    <row r="272" s="403" customFormat="1" ht="9.9"/>
    <row r="273" s="403" customFormat="1" ht="9.9"/>
    <row r="274" s="403" customFormat="1" ht="9.9"/>
    <row r="275" s="403" customFormat="1" ht="9.9"/>
    <row r="276" s="403" customFormat="1" ht="9.9"/>
    <row r="277" s="403" customFormat="1" ht="9.9"/>
    <row r="278" s="403" customFormat="1" ht="9.9"/>
    <row r="279" s="403" customFormat="1" ht="9.9"/>
    <row r="280" s="403" customFormat="1" ht="9.9"/>
    <row r="281" s="403" customFormat="1" ht="9.9"/>
    <row r="282" s="403" customFormat="1" ht="9.9"/>
    <row r="283" s="403" customFormat="1" ht="9.9"/>
    <row r="284" s="403" customFormat="1" ht="9.9"/>
    <row r="285" s="403" customFormat="1" ht="9.9"/>
    <row r="286" s="403" customFormat="1" ht="9.9"/>
    <row r="287" s="403" customFormat="1" ht="9.9"/>
    <row r="288" s="403" customFormat="1" ht="9.9"/>
    <row r="289" s="403" customFormat="1" ht="9.9"/>
    <row r="290" s="403" customFormat="1" ht="9.9"/>
    <row r="291" s="403" customFormat="1" ht="9.9"/>
    <row r="292" s="403" customFormat="1" ht="9.9"/>
    <row r="293" s="403" customFormat="1" ht="9.9"/>
    <row r="294" s="403" customFormat="1" ht="9.9"/>
    <row r="295" s="403" customFormat="1" ht="9.9"/>
    <row r="296" s="403" customFormat="1" ht="9.9"/>
    <row r="297" s="403" customFormat="1" ht="9.9"/>
    <row r="298" s="403" customFormat="1" ht="9.9"/>
    <row r="299" s="403" customFormat="1" ht="9.9"/>
    <row r="300" s="403" customFormat="1" ht="9.9"/>
    <row r="301" s="403" customFormat="1" ht="9.9"/>
    <row r="302" s="403" customFormat="1" ht="9.9"/>
    <row r="303" s="403" customFormat="1" ht="9.9"/>
    <row r="304" s="403" customFormat="1" ht="9.9"/>
    <row r="305" s="403" customFormat="1" ht="9.9"/>
    <row r="306" s="403" customFormat="1" ht="9.9"/>
    <row r="307" s="403" customFormat="1" ht="9.9"/>
    <row r="308" s="403" customFormat="1" ht="9.9"/>
    <row r="309" s="403" customFormat="1" ht="9.9"/>
    <row r="310" s="403" customFormat="1" ht="9.9"/>
    <row r="311" s="403" customFormat="1" ht="9.9"/>
    <row r="312" s="403" customFormat="1" ht="9.9"/>
    <row r="313" s="403" customFormat="1" ht="9.9"/>
    <row r="314" s="403" customFormat="1" ht="9.9"/>
    <row r="315" s="403" customFormat="1" ht="9.9"/>
    <row r="316" s="403" customFormat="1" ht="9.9"/>
    <row r="317" s="403" customFormat="1" ht="9.9"/>
    <row r="318" s="403" customFormat="1" ht="9.9"/>
    <row r="319" s="403" customFormat="1" ht="9.9"/>
    <row r="320" s="403" customFormat="1" ht="9.9"/>
    <row r="321" s="403" customFormat="1" ht="9.9"/>
    <row r="322" s="403" customFormat="1" ht="9.9"/>
    <row r="323" s="403" customFormat="1" ht="9.9"/>
    <row r="324" s="403" customFormat="1" ht="9.9"/>
    <row r="325" s="403" customFormat="1" ht="9.9"/>
    <row r="326" s="403" customFormat="1" ht="9.9"/>
    <row r="327" s="403" customFormat="1" ht="9.9"/>
    <row r="328" s="403" customFormat="1" ht="9.9"/>
    <row r="329" s="403" customFormat="1" ht="9.9"/>
    <row r="330" s="403" customFormat="1" ht="9.9"/>
    <row r="331" s="403" customFormat="1" ht="9.9"/>
    <row r="332" s="403" customFormat="1" ht="9.9"/>
    <row r="333" s="403" customFormat="1" ht="9.9"/>
    <row r="334" s="403" customFormat="1" ht="9.9"/>
    <row r="335" s="403" customFormat="1" ht="9.9"/>
    <row r="336" s="403" customFormat="1" ht="9.9"/>
    <row r="337" s="403" customFormat="1" ht="9.9"/>
    <row r="338" s="403" customFormat="1" ht="9.9"/>
    <row r="339" s="403" customFormat="1" ht="9.9"/>
    <row r="340" s="403" customFormat="1" ht="9.9"/>
    <row r="341" s="403" customFormat="1" ht="9.9"/>
    <row r="342" s="403" customFormat="1" ht="9.9"/>
    <row r="343" s="403" customFormat="1" ht="9.9"/>
    <row r="344" s="403" customFormat="1" ht="9.9"/>
    <row r="345" s="403" customFormat="1" ht="9.9"/>
    <row r="346" s="403" customFormat="1" ht="9.9"/>
    <row r="347" s="403" customFormat="1" ht="9.9"/>
    <row r="348" s="403" customFormat="1" ht="9.9"/>
    <row r="349" s="403" customFormat="1" ht="9.9"/>
    <row r="350" s="403" customFormat="1" ht="9.9"/>
    <row r="351" s="403" customFormat="1" ht="9.9"/>
    <row r="352" s="403" customFormat="1" ht="9.9"/>
    <row r="353" s="403" customFormat="1" ht="9.9"/>
    <row r="354" s="403" customFormat="1" ht="9.9"/>
    <row r="355" s="403" customFormat="1" ht="9.9"/>
    <row r="356" s="403" customFormat="1" ht="9.9"/>
    <row r="357" s="403" customFormat="1" ht="9.9"/>
    <row r="358" s="403" customFormat="1" ht="9.9"/>
    <row r="359" s="403" customFormat="1" ht="9.9"/>
    <row r="360" s="403" customFormat="1" ht="9.9"/>
    <row r="361" s="403" customFormat="1" ht="9.9"/>
    <row r="362" s="403" customFormat="1" ht="9.9"/>
    <row r="363" s="403" customFormat="1" ht="9.9"/>
    <row r="364" s="403" customFormat="1" ht="9.9"/>
    <row r="365" s="403" customFormat="1" ht="9.9"/>
    <row r="366" s="403" customFormat="1" ht="9.9"/>
    <row r="367" s="403" customFormat="1" ht="9.9"/>
    <row r="368" s="403" customFormat="1" ht="9.9"/>
    <row r="369" s="403" customFormat="1" ht="9.9"/>
    <row r="370" s="403" customFormat="1" ht="9.9"/>
    <row r="371" s="403" customFormat="1" ht="9.9"/>
    <row r="372" s="403" customFormat="1" ht="9.9"/>
    <row r="373" s="403" customFormat="1" ht="9.9"/>
    <row r="374" s="403" customFormat="1" ht="9.9"/>
    <row r="375" s="403" customFormat="1" ht="9.9"/>
    <row r="376" s="403" customFormat="1" ht="9.9"/>
    <row r="377" s="403" customFormat="1" ht="9.9"/>
    <row r="378" s="403" customFormat="1" ht="9.9"/>
    <row r="379" s="403" customFormat="1" ht="9.9"/>
    <row r="380" s="403" customFormat="1" ht="9.9"/>
    <row r="381" s="403" customFormat="1" ht="9.9"/>
    <row r="382" s="403" customFormat="1" ht="9.9"/>
    <row r="383" s="403" customFormat="1" ht="9.9"/>
    <row r="384" s="403" customFormat="1" ht="9.9"/>
    <row r="385" s="403" customFormat="1" ht="9.9"/>
    <row r="386" s="403" customFormat="1" ht="9.9"/>
    <row r="387" s="403" customFormat="1" ht="9.9"/>
    <row r="388" s="403" customFormat="1" ht="9.9"/>
    <row r="389" s="403" customFormat="1" ht="9.9"/>
    <row r="390" s="403" customFormat="1" ht="9.9"/>
    <row r="391" s="403" customFormat="1" ht="9.9"/>
    <row r="392" s="403" customFormat="1" ht="9.9"/>
    <row r="393" s="403" customFormat="1" ht="9.9"/>
    <row r="394" s="403" customFormat="1" ht="9.9"/>
    <row r="395" s="403" customFormat="1" ht="9.9"/>
    <row r="396" s="403" customFormat="1" ht="9.9"/>
    <row r="397" s="403" customFormat="1" ht="9.9"/>
    <row r="398" s="403" customFormat="1" ht="9.9"/>
    <row r="399" s="403" customFormat="1" ht="9.9"/>
    <row r="400" s="403" customFormat="1" ht="9.9"/>
    <row r="401" s="403" customFormat="1" ht="9.9"/>
    <row r="402" s="403" customFormat="1" ht="9.9"/>
    <row r="403" s="403" customFormat="1" ht="9.9"/>
    <row r="404" s="403" customFormat="1" ht="9.9"/>
    <row r="405" s="403" customFormat="1" ht="9.9"/>
    <row r="406" s="403" customFormat="1" ht="9.9"/>
    <row r="407" s="403" customFormat="1" ht="9.9"/>
    <row r="408" s="403" customFormat="1" ht="9.9"/>
    <row r="409" s="403" customFormat="1" ht="9.9"/>
    <row r="410" s="403" customFormat="1" ht="9.9"/>
    <row r="411" s="403" customFormat="1" ht="9.9"/>
    <row r="412" s="403" customFormat="1" ht="9.9"/>
    <row r="413" s="403" customFormat="1" ht="9.9"/>
    <row r="414" s="403" customFormat="1" ht="9.9"/>
    <row r="415" s="403" customFormat="1" ht="9.9"/>
    <row r="416" s="403" customFormat="1" ht="9.9"/>
    <row r="417" s="403" customFormat="1" ht="9.9"/>
    <row r="418" s="403" customFormat="1" ht="9.9"/>
    <row r="419" s="403" customFormat="1" ht="9.9"/>
    <row r="420" s="403" customFormat="1" ht="9.9"/>
    <row r="421" s="403" customFormat="1" ht="9.9"/>
    <row r="422" s="403" customFormat="1" ht="9.9"/>
    <row r="423" s="403" customFormat="1" ht="9.9"/>
    <row r="424" s="403" customFormat="1" ht="9.9"/>
    <row r="425" s="403" customFormat="1" ht="9.9"/>
    <row r="426" s="403" customFormat="1" ht="9.9"/>
    <row r="427" s="403" customFormat="1" ht="9.9"/>
    <row r="428" s="403" customFormat="1" ht="9.9"/>
    <row r="429" s="403" customFormat="1" ht="9.9"/>
    <row r="430" s="403" customFormat="1" ht="9.9"/>
    <row r="431" s="403" customFormat="1" ht="9.9"/>
    <row r="432" s="403" customFormat="1" ht="9.9"/>
    <row r="433" s="403" customFormat="1" ht="9.9"/>
    <row r="434" s="403" customFormat="1" ht="9.9"/>
    <row r="435" s="403" customFormat="1" ht="9.9"/>
    <row r="436" s="403" customFormat="1" ht="9.9"/>
    <row r="437" s="403" customFormat="1" ht="9.9"/>
    <row r="438" s="403" customFormat="1" ht="9.9"/>
    <row r="439" s="403" customFormat="1" ht="9.9"/>
    <row r="440" s="403" customFormat="1" ht="9.9"/>
    <row r="441" s="403" customFormat="1" ht="9.9"/>
    <row r="442" s="403" customFormat="1" ht="9.9"/>
    <row r="443" s="403" customFormat="1" ht="9.9"/>
    <row r="444" s="403" customFormat="1" ht="9.9"/>
    <row r="445" s="403" customFormat="1" ht="9.9"/>
    <row r="446" s="403" customFormat="1" ht="9.9"/>
    <row r="447" s="403" customFormat="1" ht="9.9"/>
    <row r="448" s="403" customFormat="1" ht="9.9"/>
    <row r="449" s="403" customFormat="1" ht="9.9"/>
    <row r="450" s="403" customFormat="1" ht="9.9"/>
    <row r="451" s="403" customFormat="1" ht="9.9"/>
    <row r="452" s="403" customFormat="1" ht="9.9"/>
    <row r="453" s="403" customFormat="1" ht="9.9"/>
    <row r="454" s="403" customFormat="1" ht="9.9"/>
    <row r="455" s="403" customFormat="1" ht="9.9"/>
    <row r="456" s="403" customFormat="1" ht="9.9"/>
    <row r="457" s="403" customFormat="1" ht="9.9"/>
    <row r="458" s="403" customFormat="1" ht="9.9"/>
    <row r="459" s="403" customFormat="1" ht="9.9"/>
    <row r="460" s="403" customFormat="1" ht="9.9"/>
    <row r="461" s="403" customFormat="1" ht="9.9"/>
    <row r="462" s="403" customFormat="1" ht="9.9"/>
    <row r="463" s="403" customFormat="1" ht="9.9"/>
    <row r="464" s="403" customFormat="1" ht="9.9"/>
    <row r="465" s="403" customFormat="1" ht="9.9"/>
    <row r="466" s="403" customFormat="1" ht="9.9"/>
    <row r="467" s="403" customFormat="1" ht="9.9"/>
    <row r="468" s="403" customFormat="1" ht="9.9"/>
    <row r="469" s="403" customFormat="1" ht="9.9"/>
    <row r="470" s="403" customFormat="1" ht="9.9"/>
    <row r="471" s="403" customFormat="1" ht="9.9"/>
    <row r="472" s="403" customFormat="1" ht="9.9"/>
    <row r="473" s="403" customFormat="1" ht="9.9"/>
    <row r="474" s="403" customFormat="1" ht="9.9"/>
    <row r="475" s="403" customFormat="1" ht="9.9"/>
    <row r="476" s="403" customFormat="1" ht="9.9"/>
    <row r="477" s="403" customFormat="1" ht="9.9"/>
    <row r="478" s="403" customFormat="1" ht="9.9"/>
    <row r="479" s="403" customFormat="1" ht="9.9"/>
    <row r="480" s="403" customFormat="1" ht="9.9"/>
    <row r="481" s="403" customFormat="1" ht="9.9"/>
    <row r="482" s="403" customFormat="1" ht="9.9"/>
    <row r="483" s="403" customFormat="1" ht="9.9"/>
    <row r="484" s="403" customFormat="1" ht="9.9"/>
    <row r="485" s="403" customFormat="1" ht="9.9"/>
    <row r="486" s="403" customFormat="1" ht="9.9"/>
    <row r="487" s="403" customFormat="1" ht="9.9"/>
    <row r="488" s="403" customFormat="1" ht="9.9"/>
    <row r="489" s="403" customFormat="1" ht="9.9"/>
    <row r="490" s="403" customFormat="1" ht="9.9"/>
    <row r="491" s="403" customFormat="1" ht="9.9"/>
    <row r="492" s="403" customFormat="1" ht="9.9"/>
    <row r="493" s="403" customFormat="1" ht="9.9"/>
    <row r="494" s="403" customFormat="1" ht="9.9"/>
    <row r="495" s="403" customFormat="1" ht="9.9"/>
    <row r="496" s="403" customFormat="1" ht="9.9"/>
    <row r="497" s="403" customFormat="1" ht="9.9"/>
    <row r="498" s="403" customFormat="1" ht="9.9"/>
    <row r="499" s="403" customFormat="1" ht="9.9"/>
    <row r="500" s="403" customFormat="1" ht="9.9"/>
    <row r="501" s="403" customFormat="1" ht="9.9"/>
    <row r="502" s="403" customFormat="1" ht="9.9"/>
    <row r="503" s="403" customFormat="1" ht="9.9"/>
    <row r="504" s="403" customFormat="1" ht="9.9"/>
    <row r="505" s="403" customFormat="1" ht="9.9"/>
    <row r="506" s="403" customFormat="1" ht="9.9"/>
    <row r="507" s="403" customFormat="1" ht="9.9"/>
    <row r="508" s="403" customFormat="1" ht="9.9"/>
    <row r="509" s="403" customFormat="1" ht="9.9"/>
    <row r="510" s="403" customFormat="1" ht="9.9"/>
    <row r="511" s="403" customFormat="1" ht="9.9"/>
    <row r="512" s="403" customFormat="1" ht="9.9"/>
    <row r="513" s="403" customFormat="1" ht="9.9"/>
    <row r="514" s="403" customFormat="1" ht="9.9"/>
    <row r="515" s="403" customFormat="1" ht="9.9"/>
    <row r="516" s="403" customFormat="1" ht="9.9"/>
    <row r="517" s="403" customFormat="1" ht="9.9"/>
    <row r="518" s="403" customFormat="1" ht="9.9"/>
    <row r="519" s="403" customFormat="1" ht="9.9"/>
    <row r="520" s="403" customFormat="1" ht="9.9"/>
    <row r="521" s="403" customFormat="1" ht="9.9"/>
    <row r="522" s="403" customFormat="1" ht="9.9"/>
    <row r="523" s="403" customFormat="1" ht="9.9"/>
    <row r="524" s="403" customFormat="1" ht="9.9"/>
    <row r="525" s="403" customFormat="1" ht="9.9"/>
    <row r="526" s="403" customFormat="1" ht="9.9"/>
    <row r="527" s="403" customFormat="1" ht="9.9"/>
    <row r="528" s="403" customFormat="1" ht="9.9"/>
    <row r="529" s="403" customFormat="1" ht="9.9"/>
    <row r="530" s="403" customFormat="1" ht="9.9"/>
    <row r="531" s="403" customFormat="1" ht="9.9"/>
    <row r="532" s="403" customFormat="1" ht="9.9"/>
    <row r="533" s="403" customFormat="1" ht="9.9"/>
    <row r="534" s="403" customFormat="1" ht="9.9"/>
    <row r="535" s="403" customFormat="1" ht="9.9"/>
    <row r="536" s="403" customFormat="1" ht="9.9"/>
    <row r="537" s="403" customFormat="1" ht="9.9"/>
    <row r="538" s="403" customFormat="1" ht="9.9"/>
    <row r="539" s="403" customFormat="1" ht="9.9"/>
    <row r="540" s="403" customFormat="1" ht="9.9"/>
    <row r="541" s="403" customFormat="1" ht="9.9"/>
    <row r="542" s="403" customFormat="1" ht="9.9"/>
    <row r="543" s="403" customFormat="1" ht="9.9"/>
    <row r="544" s="403" customFormat="1" ht="9.9"/>
    <row r="545" s="403" customFormat="1" ht="9.9"/>
    <row r="546" s="403" customFormat="1" ht="9.9"/>
    <row r="547" s="403" customFormat="1" ht="9.9"/>
    <row r="548" s="403" customFormat="1" ht="9.9"/>
    <row r="549" s="403" customFormat="1" ht="9.9"/>
    <row r="550" s="403" customFormat="1" ht="9.9"/>
    <row r="551" s="403" customFormat="1" ht="9.9"/>
    <row r="552" s="403" customFormat="1" ht="9.9"/>
    <row r="553" s="403" customFormat="1" ht="9.9"/>
    <row r="554" s="403" customFormat="1" ht="9.9"/>
    <row r="555" s="403" customFormat="1" ht="9.9"/>
    <row r="556" s="403" customFormat="1" ht="9.9"/>
    <row r="557" s="403" customFormat="1" ht="9.9"/>
    <row r="558" s="403" customFormat="1" ht="9.9"/>
    <row r="559" s="403" customFormat="1" ht="9.9"/>
    <row r="560" s="403" customFormat="1" ht="9.9"/>
    <row r="561" s="403" customFormat="1" ht="9.9"/>
    <row r="562" s="403" customFormat="1" ht="9.9"/>
    <row r="563" s="403" customFormat="1" ht="9.9"/>
    <row r="564" s="403" customFormat="1" ht="9.9"/>
    <row r="565" s="403" customFormat="1" ht="9.9"/>
    <row r="566" s="403" customFormat="1" ht="9.9"/>
    <row r="567" s="403" customFormat="1" ht="9.9"/>
    <row r="568" s="403" customFormat="1" ht="9.9"/>
    <row r="569" s="403" customFormat="1" ht="9.9"/>
    <row r="570" s="403" customFormat="1" ht="9.9"/>
    <row r="571" s="403" customFormat="1" ht="9.9"/>
    <row r="572" s="403" customFormat="1" ht="9.9"/>
    <row r="573" s="403" customFormat="1" ht="9.9"/>
    <row r="574" s="403" customFormat="1" ht="9.9"/>
    <row r="575" s="403" customFormat="1" ht="9.9"/>
    <row r="576" s="403" customFormat="1" ht="9.9"/>
    <row r="577" s="403" customFormat="1" ht="9.9"/>
    <row r="578" s="403" customFormat="1" ht="9.9"/>
    <row r="579" s="403" customFormat="1" ht="9.9"/>
    <row r="580" s="403" customFormat="1" ht="9.9"/>
    <row r="581" s="403" customFormat="1" ht="9.9"/>
    <row r="582" s="403" customFormat="1" ht="9.9"/>
    <row r="583" s="403" customFormat="1" ht="9.9"/>
    <row r="584" s="403" customFormat="1" ht="9.9"/>
    <row r="585" s="403" customFormat="1" ht="9.9"/>
    <row r="586" s="403" customFormat="1" ht="9.9"/>
    <row r="587" s="403" customFormat="1" ht="9.9"/>
    <row r="588" s="403" customFormat="1" ht="9.9"/>
    <row r="589" s="403" customFormat="1" ht="9.9"/>
    <row r="590" s="403" customFormat="1" ht="9.9"/>
    <row r="591" s="403" customFormat="1" ht="9.9"/>
    <row r="592" s="403" customFormat="1" ht="9.9"/>
    <row r="593" s="403" customFormat="1" ht="9.9"/>
    <row r="594" s="403" customFormat="1" ht="9.9"/>
    <row r="595" s="403" customFormat="1" ht="9.9"/>
    <row r="596" s="403" customFormat="1" ht="9.9"/>
    <row r="597" s="403" customFormat="1" ht="9.9"/>
    <row r="598" s="403" customFormat="1" ht="9.9"/>
    <row r="599" s="403" customFormat="1" ht="9.9"/>
    <row r="600" s="403" customFormat="1" ht="9.9"/>
    <row r="601" s="403" customFormat="1" ht="9.9"/>
    <row r="602" s="403" customFormat="1" ht="9.9"/>
    <row r="603" s="403" customFormat="1" ht="9.9"/>
    <row r="604" s="403" customFormat="1" ht="9.9"/>
    <row r="605" s="403" customFormat="1" ht="9.9"/>
    <row r="606" s="403" customFormat="1" ht="9.9"/>
    <row r="607" s="403" customFormat="1" ht="9.9"/>
    <row r="608" s="403" customFormat="1" ht="9.9"/>
    <row r="609" s="403" customFormat="1" ht="9.9"/>
    <row r="610" s="403" customFormat="1" ht="9.9"/>
    <row r="611" s="403" customFormat="1" ht="9.9"/>
    <row r="612" s="403" customFormat="1" ht="9.9"/>
    <row r="613" s="403" customFormat="1" ht="9.9"/>
    <row r="614" s="403" customFormat="1" ht="9.9"/>
    <row r="615" s="403" customFormat="1" ht="9.9"/>
    <row r="616" s="403" customFormat="1" ht="9.9"/>
    <row r="617" s="403" customFormat="1" ht="9.9"/>
    <row r="618" s="403" customFormat="1" ht="9.9"/>
    <row r="619" s="403" customFormat="1" ht="9.9"/>
    <row r="620" s="403" customFormat="1" ht="9.9"/>
    <row r="621" s="403" customFormat="1" ht="9.9"/>
    <row r="622" s="403" customFormat="1" ht="9.9"/>
    <row r="623" s="403" customFormat="1" ht="9.9"/>
    <row r="624" s="403" customFormat="1" ht="9.9"/>
    <row r="625" s="403" customFormat="1" ht="9.9"/>
    <row r="626" s="403" customFormat="1" ht="9.9"/>
    <row r="627" s="403" customFormat="1" ht="9.9"/>
    <row r="628" s="403" customFormat="1" ht="9.9"/>
    <row r="629" s="403" customFormat="1" ht="9.9"/>
    <row r="630" s="403" customFormat="1" ht="9.9"/>
    <row r="631" s="403" customFormat="1" ht="9.9"/>
    <row r="632" s="403" customFormat="1" ht="9.9"/>
    <row r="633" s="403" customFormat="1" ht="9.9"/>
    <row r="634" s="403" customFormat="1" ht="9.9"/>
    <row r="635" s="403" customFormat="1" ht="9.9"/>
    <row r="636" s="403" customFormat="1" ht="9.9"/>
    <row r="637" s="403" customFormat="1" ht="9.9"/>
    <row r="638" s="403" customFormat="1" ht="9.9"/>
    <row r="639" s="403" customFormat="1" ht="9.9"/>
    <row r="640" s="403" customFormat="1" ht="9.9"/>
    <row r="641" s="403" customFormat="1" ht="9.9"/>
    <row r="642" s="403" customFormat="1" ht="9.9"/>
    <row r="643" s="403" customFormat="1" ht="9.9"/>
    <row r="644" s="403" customFormat="1" ht="9.9"/>
    <row r="645" s="403" customFormat="1" ht="9.9"/>
    <row r="646" s="403" customFormat="1" ht="9.9"/>
    <row r="647" s="403" customFormat="1" ht="9.9"/>
    <row r="648" s="403" customFormat="1" ht="9.9"/>
    <row r="649" s="403" customFormat="1" ht="9.9"/>
    <row r="650" s="403" customFormat="1" ht="9.9"/>
    <row r="651" s="403" customFormat="1" ht="9.9"/>
    <row r="652" s="403" customFormat="1" ht="9.9"/>
    <row r="653" s="403" customFormat="1" ht="9.9"/>
    <row r="654" s="403" customFormat="1" ht="9.9"/>
    <row r="655" s="403" customFormat="1" ht="9.9"/>
    <row r="656" s="403" customFormat="1" ht="9.9"/>
    <row r="657" s="403" customFormat="1" ht="9.9"/>
    <row r="658" s="403" customFormat="1" ht="9.9"/>
    <row r="659" s="403" customFormat="1" ht="9.9"/>
    <row r="660" s="403" customFormat="1" ht="9.9"/>
    <row r="661" s="403" customFormat="1" ht="9.9"/>
    <row r="662" s="403" customFormat="1" ht="9.9"/>
    <row r="663" s="403" customFormat="1" ht="9.9"/>
    <row r="664" s="403" customFormat="1" ht="9.9"/>
    <row r="665" s="403" customFormat="1" ht="9.9"/>
    <row r="666" s="403" customFormat="1" ht="9.9"/>
    <row r="667" s="403" customFormat="1" ht="9.9"/>
    <row r="668" s="403" customFormat="1" ht="9.9"/>
    <row r="669" s="403" customFormat="1" ht="9.9"/>
    <row r="670" s="403" customFormat="1" ht="9.9"/>
    <row r="671" s="403" customFormat="1" ht="9.9"/>
    <row r="672" s="403" customFormat="1" ht="9.9"/>
    <row r="673" s="403" customFormat="1" ht="9.9"/>
    <row r="674" s="403" customFormat="1" ht="9.9"/>
    <row r="675" s="403" customFormat="1" ht="9.9"/>
    <row r="676" s="403" customFormat="1" ht="9.9"/>
    <row r="677" s="403" customFormat="1" ht="9.9"/>
    <row r="678" s="403" customFormat="1" ht="9.9"/>
    <row r="679" s="403" customFormat="1" ht="9.9"/>
    <row r="680" s="403" customFormat="1" ht="9.9"/>
    <row r="681" s="403" customFormat="1" ht="9.9"/>
    <row r="682" s="403" customFormat="1" ht="9.9"/>
    <row r="683" s="403" customFormat="1" ht="9.9"/>
    <row r="684" s="403" customFormat="1" ht="9.9"/>
    <row r="685" s="403" customFormat="1" ht="9.9"/>
    <row r="686" s="403" customFormat="1" ht="9.9"/>
    <row r="687" s="403" customFormat="1" ht="9.9"/>
    <row r="688" s="403" customFormat="1" ht="9.9"/>
    <row r="689" s="403" customFormat="1" ht="9.9"/>
    <row r="690" s="403" customFormat="1" ht="9.9"/>
    <row r="691" s="403" customFormat="1" ht="9.9"/>
    <row r="692" s="403" customFormat="1" ht="9.9"/>
    <row r="693" s="403" customFormat="1" ht="9.9"/>
    <row r="694" s="403" customFormat="1" ht="9.9"/>
    <row r="695" s="403" customFormat="1" ht="9.9"/>
    <row r="696" s="403" customFormat="1" ht="9.9"/>
    <row r="697" s="403" customFormat="1" ht="9.9"/>
    <row r="698" s="403" customFormat="1" ht="9.9"/>
    <row r="699" s="403" customFormat="1" ht="9.9"/>
    <row r="700" s="403" customFormat="1" ht="9.9"/>
    <row r="701" s="403" customFormat="1" ht="9.9"/>
    <row r="702" s="403" customFormat="1" ht="9.9"/>
    <row r="703" s="403" customFormat="1" ht="9.9"/>
    <row r="704" s="403" customFormat="1" ht="9.9"/>
    <row r="705" s="403" customFormat="1" ht="9.9"/>
    <row r="706" s="403" customFormat="1" ht="9.9"/>
    <row r="707" s="403" customFormat="1" ht="9.9"/>
    <row r="708" s="403" customFormat="1" ht="9.9"/>
    <row r="709" s="403" customFormat="1" ht="9.9"/>
    <row r="710" s="403" customFormat="1" ht="9.9"/>
    <row r="711" s="403" customFormat="1" ht="9.9"/>
    <row r="712" s="403" customFormat="1" ht="9.9"/>
    <row r="713" s="403" customFormat="1" ht="9.9"/>
    <row r="714" s="403" customFormat="1" ht="9.9"/>
    <row r="715" s="403" customFormat="1" ht="9.9"/>
    <row r="716" s="403" customFormat="1" ht="9.9"/>
    <row r="717" s="403" customFormat="1" ht="9.9"/>
    <row r="718" s="403" customFormat="1" ht="9.9"/>
    <row r="719" s="403" customFormat="1" ht="9.9"/>
    <row r="720" s="403" customFormat="1" ht="9.9"/>
    <row r="721" s="403" customFormat="1" ht="9.9"/>
    <row r="722" s="403" customFormat="1" ht="9.9"/>
    <row r="723" s="403" customFormat="1" ht="9.9"/>
    <row r="724" s="403" customFormat="1" ht="9.9"/>
    <row r="725" s="403" customFormat="1" ht="9.9"/>
    <row r="726" s="403" customFormat="1" ht="9.9"/>
    <row r="727" s="403" customFormat="1" ht="9.9"/>
    <row r="728" s="403" customFormat="1" ht="9.9"/>
    <row r="729" s="403" customFormat="1" ht="9.9"/>
    <row r="730" s="403" customFormat="1" ht="9.9"/>
    <row r="731" s="403" customFormat="1" ht="9.9"/>
    <row r="732" s="403" customFormat="1" ht="9.9"/>
    <row r="733" s="403" customFormat="1" ht="9.9"/>
    <row r="734" s="403" customFormat="1" ht="9.9"/>
    <row r="735" s="403" customFormat="1" ht="9.9"/>
    <row r="736" s="403" customFormat="1" ht="9.9"/>
    <row r="737" s="403" customFormat="1" ht="9.9"/>
    <row r="738" s="403" customFormat="1" ht="9.9"/>
    <row r="739" s="403" customFormat="1" ht="9.9"/>
    <row r="740" s="403" customFormat="1" ht="9.9"/>
    <row r="741" s="403" customFormat="1" ht="9.9"/>
    <row r="742" s="403" customFormat="1" ht="9.9"/>
    <row r="743" s="403" customFormat="1" ht="9.9"/>
    <row r="744" s="403" customFormat="1" ht="9.9"/>
    <row r="745" s="403" customFormat="1" ht="9.9"/>
    <row r="746" s="403" customFormat="1" ht="9.9"/>
    <row r="747" s="403" customFormat="1" ht="9.9"/>
    <row r="748" s="403" customFormat="1" ht="9.9"/>
    <row r="749" s="403" customFormat="1" ht="9.9"/>
    <row r="750" s="403" customFormat="1" ht="9.9"/>
    <row r="751" s="403" customFormat="1" ht="9.9"/>
    <row r="752" s="403" customFormat="1" ht="9.9"/>
    <row r="753" s="403" customFormat="1" ht="9.9"/>
    <row r="754" s="403" customFormat="1" ht="9.9"/>
    <row r="755" s="403" customFormat="1" ht="9.9"/>
    <row r="756" s="403" customFormat="1" ht="9.9"/>
    <row r="757" s="403" customFormat="1" ht="9.9"/>
    <row r="758" s="403" customFormat="1" ht="9.9"/>
    <row r="759" s="403" customFormat="1" ht="9.9"/>
    <row r="760" s="403" customFormat="1" ht="9.9"/>
    <row r="761" s="403" customFormat="1" ht="9.9"/>
    <row r="762" s="403" customFormat="1" ht="9.9"/>
    <row r="763" s="403" customFormat="1" ht="9.9"/>
    <row r="764" s="403" customFormat="1" ht="9.9"/>
    <row r="765" s="403" customFormat="1" ht="9.9"/>
    <row r="766" s="403" customFormat="1" ht="9.9"/>
    <row r="767" s="403" customFormat="1" ht="9.9"/>
    <row r="768" s="403" customFormat="1" ht="9.9"/>
    <row r="769" s="403" customFormat="1" ht="9.9"/>
    <row r="770" s="403" customFormat="1" ht="9.9"/>
    <row r="771" s="403" customFormat="1" ht="9.9"/>
    <row r="772" s="403" customFormat="1" ht="9.9"/>
    <row r="773" s="403" customFormat="1" ht="9.9"/>
    <row r="774" s="403" customFormat="1" ht="9.9"/>
    <row r="775" s="403" customFormat="1" ht="9.9"/>
    <row r="776" s="403" customFormat="1" ht="9.9"/>
    <row r="777" s="403" customFormat="1" ht="9.9"/>
    <row r="778" s="403" customFormat="1" ht="9.9"/>
    <row r="779" s="403" customFormat="1" ht="9.9"/>
    <row r="780" s="403" customFormat="1" ht="9.9"/>
    <row r="781" s="403" customFormat="1" ht="9.9"/>
    <row r="782" s="403" customFormat="1" ht="9.9"/>
    <row r="783" s="403" customFormat="1" ht="9.9"/>
    <row r="784" s="403" customFormat="1" ht="9.9"/>
    <row r="785" s="403" customFormat="1" ht="9.9"/>
    <row r="786" s="403" customFormat="1" ht="9.9"/>
    <row r="787" s="403" customFormat="1" ht="9.9"/>
    <row r="788" s="403" customFormat="1" ht="9.9"/>
    <row r="789" s="403" customFormat="1" ht="9.9"/>
    <row r="790" s="403" customFormat="1" ht="9.9"/>
    <row r="791" s="403" customFormat="1" ht="9.9"/>
    <row r="792" s="403" customFormat="1" ht="9.9"/>
    <row r="793" s="403" customFormat="1" ht="9.9"/>
    <row r="794" s="403" customFormat="1" ht="9.9"/>
    <row r="795" s="403" customFormat="1" ht="9.9"/>
    <row r="796" s="403" customFormat="1" ht="9.9"/>
    <row r="797" s="403" customFormat="1" ht="9.9"/>
    <row r="798" s="403" customFormat="1" ht="9.9"/>
    <row r="799" s="403" customFormat="1" ht="9.9"/>
    <row r="800" s="403" customFormat="1" ht="9.9"/>
    <row r="801" s="403" customFormat="1" ht="9.9"/>
    <row r="802" s="403" customFormat="1" ht="9.9"/>
    <row r="803" s="403" customFormat="1" ht="9.9"/>
    <row r="804" s="403" customFormat="1" ht="9.9"/>
    <row r="805" s="403" customFormat="1" ht="9.9"/>
    <row r="806" s="403" customFormat="1" ht="9.9"/>
    <row r="807" s="403" customFormat="1" ht="9.9"/>
    <row r="808" s="403" customFormat="1" ht="9.9"/>
    <row r="809" s="403" customFormat="1" ht="9.9"/>
    <row r="810" s="403" customFormat="1" ht="9.9"/>
    <row r="811" s="403" customFormat="1" ht="9.9"/>
    <row r="812" s="403" customFormat="1" ht="9.9"/>
    <row r="813" s="403" customFormat="1" ht="9.9"/>
    <row r="814" s="403" customFormat="1" ht="9.9"/>
    <row r="815" s="403" customFormat="1" ht="9.9"/>
    <row r="816" s="403" customFormat="1" ht="9.9"/>
    <row r="817" s="403" customFormat="1" ht="9.9"/>
    <row r="818" s="403" customFormat="1" ht="9.9"/>
    <row r="819" s="403" customFormat="1" ht="9.9"/>
    <row r="820" s="403" customFormat="1" ht="9.9"/>
    <row r="821" s="403" customFormat="1" ht="9.9"/>
    <row r="822" s="403" customFormat="1" ht="9.9"/>
    <row r="823" s="403" customFormat="1" ht="9.9"/>
    <row r="824" s="403" customFormat="1" ht="9.9"/>
    <row r="825" s="403" customFormat="1" ht="9.9"/>
    <row r="826" s="403" customFormat="1" ht="9.9"/>
    <row r="827" s="403" customFormat="1" ht="9.9"/>
    <row r="828" s="403" customFormat="1" ht="9.9"/>
    <row r="829" s="403" customFormat="1" ht="9.9"/>
    <row r="830" s="403" customFormat="1" ht="9.9"/>
    <row r="831" s="403" customFormat="1" ht="9.9"/>
    <row r="832" s="403" customFormat="1" ht="9.9"/>
    <row r="833" s="403" customFormat="1" ht="9.9"/>
    <row r="834" s="403" customFormat="1" ht="9.9"/>
    <row r="835" s="403" customFormat="1" ht="9.9"/>
    <row r="836" s="403" customFormat="1" ht="9.9"/>
    <row r="837" s="403" customFormat="1" ht="9.9"/>
    <row r="838" s="403" customFormat="1" ht="9.9"/>
    <row r="839" s="403" customFormat="1" ht="9.9"/>
    <row r="840" s="403" customFormat="1" ht="9.9"/>
    <row r="841" s="403" customFormat="1" ht="9.9"/>
    <row r="842" s="403" customFormat="1" ht="9.9"/>
    <row r="843" s="403" customFormat="1" ht="9.9"/>
    <row r="844" s="403" customFormat="1" ht="9.9"/>
    <row r="845" s="403" customFormat="1" ht="9.9"/>
    <row r="846" s="403" customFormat="1" ht="9.9"/>
    <row r="847" s="403" customFormat="1" ht="9.9"/>
    <row r="848" s="403" customFormat="1" ht="9.9"/>
    <row r="849" s="403" customFormat="1" ht="9.9"/>
    <row r="850" s="403" customFormat="1" ht="9.9"/>
    <row r="851" s="403" customFormat="1" ht="9.9"/>
    <row r="852" s="403" customFormat="1" ht="9.9"/>
    <row r="853" s="403" customFormat="1" ht="9.9"/>
    <row r="854" s="403" customFormat="1" ht="9.9"/>
    <row r="855" s="403" customFormat="1" ht="9.9"/>
    <row r="856" s="403" customFormat="1" ht="9.9"/>
    <row r="857" s="403" customFormat="1" ht="9.9"/>
    <row r="858" s="403" customFormat="1" ht="9.9"/>
    <row r="859" s="403" customFormat="1" ht="9.9"/>
    <row r="860" s="403" customFormat="1" ht="9.9"/>
    <row r="861" s="403" customFormat="1" ht="9.9"/>
    <row r="862" s="403" customFormat="1" ht="9.9"/>
    <row r="863" s="403" customFormat="1" ht="9.9"/>
    <row r="864" s="403" customFormat="1" ht="9.9"/>
    <row r="865" s="403" customFormat="1" ht="9.9"/>
    <row r="866" s="403" customFormat="1" ht="9.9"/>
    <row r="867" s="403" customFormat="1" ht="9.9"/>
    <row r="868" s="403" customFormat="1" ht="9.9"/>
    <row r="869" s="403" customFormat="1" ht="9.9"/>
    <row r="870" s="403" customFormat="1" ht="9.9"/>
    <row r="871" s="403" customFormat="1" ht="9.9"/>
    <row r="872" s="403" customFormat="1" ht="9.9"/>
    <row r="873" s="403" customFormat="1" ht="9.9"/>
    <row r="874" s="403" customFormat="1" ht="9.9"/>
    <row r="875" s="403" customFormat="1" ht="9.9"/>
    <row r="876" s="403" customFormat="1" ht="9.9"/>
    <row r="877" s="403" customFormat="1" ht="9.9"/>
    <row r="878" s="403" customFormat="1" ht="9.9"/>
    <row r="879" s="403" customFormat="1" ht="9.9"/>
    <row r="880" s="403" customFormat="1" ht="9.9"/>
    <row r="881" s="403" customFormat="1" ht="9.9"/>
    <row r="882" s="403" customFormat="1" ht="9.9"/>
    <row r="883" s="403" customFormat="1" ht="9.9"/>
    <row r="884" s="403" customFormat="1" ht="9.9"/>
    <row r="885" s="403" customFormat="1" ht="9.9"/>
    <row r="886" s="403" customFormat="1" ht="9.9"/>
    <row r="887" s="403" customFormat="1" ht="9.9"/>
    <row r="888" s="403" customFormat="1" ht="9.9"/>
    <row r="889" s="403" customFormat="1" ht="9.9"/>
    <row r="890" s="403" customFormat="1" ht="9.9"/>
    <row r="891" s="403" customFormat="1" ht="9.9"/>
    <row r="892" s="403" customFormat="1" ht="9.9"/>
    <row r="893" s="403" customFormat="1" ht="9.9"/>
    <row r="894" s="403" customFormat="1" ht="9.9"/>
    <row r="895" s="403" customFormat="1" ht="9.9"/>
    <row r="896" s="403" customFormat="1" ht="9.9"/>
    <row r="897" s="403" customFormat="1" ht="9.9"/>
    <row r="898" s="403" customFormat="1" ht="9.9"/>
    <row r="899" s="403" customFormat="1" ht="9.9"/>
    <row r="900" s="403" customFormat="1" ht="9.9"/>
    <row r="901" s="403" customFormat="1" ht="9.9"/>
    <row r="902" s="403" customFormat="1" ht="9.9"/>
    <row r="903" s="403" customFormat="1" ht="9.9"/>
    <row r="904" s="403" customFormat="1" ht="9.9"/>
    <row r="905" s="403" customFormat="1" ht="9.9"/>
    <row r="906" s="403" customFormat="1" ht="9.9"/>
    <row r="907" s="403" customFormat="1" ht="9.9"/>
    <row r="908" s="403" customFormat="1" ht="9.9"/>
    <row r="909" s="403" customFormat="1" ht="9.9"/>
    <row r="910" s="403" customFormat="1" ht="9.9"/>
    <row r="911" s="403" customFormat="1" ht="9.9"/>
    <row r="912" s="403" customFormat="1" ht="9.9"/>
    <row r="913" s="403" customFormat="1" ht="9.9"/>
    <row r="914" s="403" customFormat="1" ht="9.9"/>
    <row r="915" s="403" customFormat="1" ht="9.9"/>
    <row r="916" s="403" customFormat="1" ht="9.9"/>
    <row r="917" s="403" customFormat="1" ht="9.9"/>
    <row r="918" s="403" customFormat="1" ht="9.9"/>
    <row r="919" s="403" customFormat="1" ht="9.9"/>
    <row r="920" s="403" customFormat="1" ht="9.9"/>
    <row r="921" s="403" customFormat="1" ht="9.9"/>
    <row r="922" s="403" customFormat="1" ht="9.9"/>
    <row r="923" s="403" customFormat="1" ht="9.9"/>
    <row r="924" s="403" customFormat="1" ht="9.9"/>
    <row r="925" s="403" customFormat="1" ht="9.9"/>
    <row r="926" s="403" customFormat="1" ht="9.9"/>
    <row r="927" s="403" customFormat="1" ht="9.9"/>
    <row r="928" s="403" customFormat="1" ht="9.9"/>
    <row r="929" s="403" customFormat="1" ht="9.9"/>
    <row r="930" s="403" customFormat="1" ht="9.9"/>
    <row r="931" s="403" customFormat="1" ht="9.9"/>
    <row r="932" s="403" customFormat="1" ht="9.9"/>
    <row r="933" s="403" customFormat="1" ht="9.9"/>
    <row r="934" s="403" customFormat="1" ht="9.9"/>
    <row r="935" s="403" customFormat="1" ht="9.9"/>
    <row r="936" s="403" customFormat="1" ht="9.9"/>
    <row r="937" s="403" customFormat="1" ht="9.9"/>
    <row r="938" s="403" customFormat="1" ht="9.9"/>
    <row r="939" s="403" customFormat="1" ht="9.9"/>
    <row r="940" s="403" customFormat="1" ht="9.9"/>
    <row r="941" s="403" customFormat="1" ht="9.9"/>
    <row r="942" s="403" customFormat="1" ht="9.9"/>
    <row r="943" s="403" customFormat="1" ht="9.9"/>
    <row r="944" s="403" customFormat="1" ht="9.9"/>
    <row r="945" s="403" customFormat="1" ht="9.9"/>
    <row r="946" s="403" customFormat="1" ht="9.9"/>
    <row r="947" s="403" customFormat="1" ht="9.9"/>
    <row r="948" s="403" customFormat="1" ht="9.9"/>
    <row r="949" s="403" customFormat="1" ht="9.9"/>
    <row r="950" s="403" customFormat="1" ht="9.9"/>
    <row r="951" s="403" customFormat="1" ht="9.9"/>
    <row r="952" s="403" customFormat="1" ht="9.9"/>
    <row r="953" s="403" customFormat="1" ht="9.9"/>
    <row r="954" s="403" customFormat="1" ht="9.9"/>
    <row r="955" s="403" customFormat="1" ht="9.9"/>
    <row r="956" s="403" customFormat="1" ht="9.9"/>
    <row r="957" s="403" customFormat="1" ht="9.9"/>
    <row r="958" s="403" customFormat="1" ht="9.9"/>
    <row r="959" s="403" customFormat="1" ht="9.9"/>
    <row r="960" s="403" customFormat="1" ht="9.9"/>
    <row r="961" s="403" customFormat="1" ht="9.9"/>
    <row r="962" s="403" customFormat="1" ht="9.9"/>
    <row r="963" s="403" customFormat="1" ht="9.9"/>
    <row r="964" s="403" customFormat="1" ht="9.9"/>
    <row r="965" s="403" customFormat="1" ht="9.9"/>
    <row r="966" s="403" customFormat="1" ht="9.9"/>
    <row r="967" s="403" customFormat="1" ht="9.9"/>
    <row r="968" s="403" customFormat="1" ht="9.9"/>
    <row r="969" s="403" customFormat="1" ht="9.9"/>
    <row r="970" s="403" customFormat="1" ht="9.9"/>
    <row r="971" s="403" customFormat="1" ht="9.9"/>
    <row r="972" s="403" customFormat="1" ht="9.9"/>
    <row r="973" s="403" customFormat="1" ht="9.9"/>
    <row r="974" s="403" customFormat="1" ht="9.9"/>
    <row r="975" s="403" customFormat="1" ht="9.9"/>
    <row r="976" s="403" customFormat="1" ht="9.9"/>
    <row r="977" s="403" customFormat="1" ht="9.9"/>
    <row r="978" s="403" customFormat="1" ht="9.9"/>
    <row r="979" s="403" customFormat="1" ht="9.9"/>
    <row r="980" s="403" customFormat="1" ht="9.9"/>
    <row r="981" s="403" customFormat="1" ht="9.9"/>
    <row r="982" s="403" customFormat="1" ht="9.9"/>
    <row r="983" s="403" customFormat="1" ht="9.9"/>
    <row r="984" s="403" customFormat="1" ht="9.9"/>
    <row r="985" s="403" customFormat="1" ht="9.9"/>
    <row r="986" s="403" customFormat="1" ht="9.9"/>
    <row r="987" s="403" customFormat="1" ht="9.9"/>
    <row r="988" s="403" customFormat="1" ht="9.9"/>
    <row r="989" s="403" customFormat="1" ht="9.9"/>
    <row r="990" s="403" customFormat="1" ht="9.9"/>
    <row r="991" s="403" customFormat="1" ht="9.9"/>
    <row r="992" s="403" customFormat="1" ht="9.9"/>
    <row r="993" s="403" customFormat="1" ht="9.9"/>
    <row r="994" s="403" customFormat="1" ht="9.9"/>
    <row r="995" s="403" customFormat="1" ht="9.9"/>
    <row r="996" s="403" customFormat="1" ht="9.9"/>
    <row r="997" s="403" customFormat="1" ht="9.9"/>
    <row r="998" s="403" customFormat="1" ht="9.9"/>
    <row r="999" s="403" customFormat="1" ht="9.9"/>
    <row r="1000" s="403" customFormat="1" ht="9.9"/>
    <row r="1001" s="403" customFormat="1" ht="9.9"/>
    <row r="1002" s="403" customFormat="1" ht="9.9"/>
    <row r="1003" s="403" customFormat="1" ht="9.9"/>
    <row r="1004" s="403" customFormat="1" ht="9.9"/>
    <row r="1005" s="403" customFormat="1" ht="9.9"/>
    <row r="1006" s="403" customFormat="1" ht="9.9"/>
    <row r="1007" s="403" customFormat="1" ht="9.9"/>
    <row r="1008" s="403" customFormat="1" ht="9.9"/>
    <row r="1009" s="403" customFormat="1" ht="9.9"/>
    <row r="1010" s="403" customFormat="1" ht="9.9"/>
    <row r="1011" s="403" customFormat="1" ht="9.9"/>
    <row r="1012" s="403" customFormat="1" ht="9.9"/>
    <row r="1013" s="403" customFormat="1" ht="9.9"/>
    <row r="1014" s="403" customFormat="1" ht="9.9"/>
    <row r="1015" s="403" customFormat="1" ht="9.9"/>
    <row r="1016" s="403" customFormat="1" ht="9.9"/>
    <row r="1017" s="403" customFormat="1" ht="9.9"/>
    <row r="1018" s="403" customFormat="1" ht="9.9"/>
    <row r="1019" s="403" customFormat="1" ht="9.9"/>
    <row r="1020" s="403" customFormat="1" ht="9.9"/>
    <row r="1021" s="403" customFormat="1" ht="9.9"/>
    <row r="1022" s="403" customFormat="1" ht="9.9"/>
    <row r="1023" s="403" customFormat="1" ht="9.9"/>
    <row r="1024" s="403" customFormat="1" ht="9.9"/>
    <row r="1025" s="403" customFormat="1" ht="9.9"/>
    <row r="1026" s="403" customFormat="1" ht="9.9"/>
    <row r="1027" s="403" customFormat="1" ht="9.9"/>
    <row r="1028" s="403" customFormat="1" ht="9.9"/>
    <row r="1029" s="403" customFormat="1" ht="9.9"/>
    <row r="1030" s="403" customFormat="1" ht="9.9"/>
    <row r="1031" s="403" customFormat="1" ht="9.9"/>
    <row r="1032" s="403" customFormat="1" ht="9.9"/>
    <row r="1033" s="403" customFormat="1" ht="9.9"/>
    <row r="1034" s="403" customFormat="1" ht="9.9"/>
    <row r="1035" s="403" customFormat="1" ht="9.9"/>
    <row r="1036" s="403" customFormat="1" ht="9.9"/>
    <row r="1037" s="403" customFormat="1" ht="9.9"/>
    <row r="1038" s="403" customFormat="1" ht="9.9"/>
    <row r="1039" s="403" customFormat="1" ht="9.9"/>
    <row r="1040" s="403" customFormat="1" ht="9.9"/>
    <row r="1041" s="403" customFormat="1" ht="9.9"/>
    <row r="1042" s="403" customFormat="1" ht="9.9"/>
    <row r="1043" s="403" customFormat="1" ht="9.9"/>
    <row r="1044" s="403" customFormat="1" ht="9.9"/>
    <row r="1045" s="403" customFormat="1" ht="9.9"/>
    <row r="1046" s="403" customFormat="1" ht="9.9"/>
    <row r="1047" s="403" customFormat="1" ht="9.9"/>
    <row r="1048" s="403" customFormat="1" ht="9.9"/>
    <row r="1049" s="403" customFormat="1" ht="9.9"/>
    <row r="1050" s="403" customFormat="1" ht="9.9"/>
    <row r="1051" s="403" customFormat="1" ht="9.9"/>
    <row r="1052" s="403" customFormat="1" ht="9.9"/>
    <row r="1053" s="403" customFormat="1" ht="9.9"/>
    <row r="1054" s="403" customFormat="1" ht="9.9"/>
    <row r="1055" s="403" customFormat="1" ht="9.9"/>
    <row r="1056" s="403" customFormat="1" ht="9.9"/>
    <row r="1057" s="403" customFormat="1" ht="9.9"/>
    <row r="1058" s="403" customFormat="1" ht="9.9"/>
    <row r="1059" s="403" customFormat="1" ht="9.9"/>
    <row r="1060" s="403" customFormat="1" ht="9.9"/>
    <row r="1061" s="403" customFormat="1" ht="9.9"/>
    <row r="1062" s="403" customFormat="1" ht="9.9"/>
    <row r="1063" s="403" customFormat="1" ht="9.9"/>
    <row r="1064" s="403" customFormat="1" ht="9.9"/>
    <row r="1065" s="403" customFormat="1" ht="9.9"/>
    <row r="1066" s="403" customFormat="1" ht="9.9"/>
    <row r="1067" s="403" customFormat="1" ht="9.9"/>
    <row r="1068" s="403" customFormat="1" ht="9.9"/>
    <row r="1069" s="403" customFormat="1" ht="9.9"/>
    <row r="1070" s="403" customFormat="1" ht="9.9"/>
    <row r="1071" s="403" customFormat="1" ht="9.9"/>
    <row r="1072" s="403" customFormat="1" ht="9.9"/>
    <row r="1073" s="403" customFormat="1" ht="9.9"/>
    <row r="1074" s="403" customFormat="1" ht="9.9"/>
    <row r="1075" s="403" customFormat="1" ht="9.9"/>
    <row r="1076" s="403" customFormat="1" ht="9.9"/>
    <row r="1077" s="403" customFormat="1" ht="9.9"/>
    <row r="1078" s="403" customFormat="1" ht="9.9"/>
    <row r="1079" s="403" customFormat="1" ht="9.9"/>
    <row r="1080" s="403" customFormat="1" ht="9.9"/>
    <row r="1081" s="403" customFormat="1" ht="9.9"/>
    <row r="1082" s="403" customFormat="1" ht="9.9"/>
    <row r="1083" s="403" customFormat="1" ht="9.9"/>
    <row r="1084" s="403" customFormat="1" ht="9.9"/>
    <row r="1085" s="403" customFormat="1" ht="9.9"/>
    <row r="1086" s="403" customFormat="1" ht="9.9"/>
    <row r="1087" s="403" customFormat="1" ht="9.9"/>
    <row r="1088" s="403" customFormat="1" ht="9.9"/>
    <row r="1089" s="403" customFormat="1" ht="9.9"/>
    <row r="1090" s="403" customFormat="1" ht="9.9"/>
    <row r="1091" s="403" customFormat="1" ht="9.9"/>
    <row r="1092" s="403" customFormat="1" ht="9.9"/>
    <row r="1093" s="403" customFormat="1" ht="9.9"/>
    <row r="1094" s="403" customFormat="1" ht="9.9"/>
    <row r="1095" s="403" customFormat="1" ht="9.9"/>
    <row r="1096" s="403" customFormat="1" ht="9.9"/>
    <row r="1097" s="403" customFormat="1" ht="9.9"/>
    <row r="1098" s="403" customFormat="1" ht="9.9"/>
    <row r="1099" s="403" customFormat="1" ht="9.9"/>
    <row r="1100" s="403" customFormat="1" ht="9.9"/>
    <row r="1101" s="403" customFormat="1" ht="9.9"/>
    <row r="1102" s="403" customFormat="1" ht="9.9"/>
    <row r="1103" s="403" customFormat="1" ht="9.9"/>
    <row r="1104" s="403" customFormat="1" ht="9.9"/>
    <row r="1105" s="403" customFormat="1" ht="9.9"/>
    <row r="1106" s="403" customFormat="1" ht="9.9"/>
    <row r="1107" s="403" customFormat="1" ht="9.9"/>
    <row r="1108" s="403" customFormat="1" ht="9.9"/>
    <row r="1109" s="403" customFormat="1" ht="9.9"/>
    <row r="1110" s="403" customFormat="1" ht="9.9"/>
    <row r="1111" s="403" customFormat="1" ht="9.9"/>
    <row r="1112" s="403" customFormat="1" ht="9.9"/>
    <row r="1113" s="403" customFormat="1" ht="9.9"/>
    <row r="1114" s="403" customFormat="1" ht="9.9"/>
    <row r="1115" s="403" customFormat="1" ht="9.9"/>
    <row r="1116" s="403" customFormat="1" ht="9.9"/>
    <row r="1117" s="403" customFormat="1" ht="9.9"/>
    <row r="1118" s="403" customFormat="1" ht="9.9"/>
    <row r="1119" s="403" customFormat="1" ht="9.9"/>
    <row r="1120" s="403" customFormat="1" ht="9.9"/>
    <row r="1121" s="403" customFormat="1" ht="9.9"/>
    <row r="1122" s="403" customFormat="1" ht="9.9"/>
    <row r="1123" s="403" customFormat="1" ht="9.9"/>
    <row r="1124" s="403" customFormat="1" ht="9.9"/>
    <row r="1125" s="403" customFormat="1" ht="9.9"/>
    <row r="1126" s="403" customFormat="1" ht="9.9"/>
    <row r="1127" s="403" customFormat="1" ht="9.9"/>
    <row r="1128" s="403" customFormat="1" ht="9.9"/>
    <row r="1129" s="403" customFormat="1" ht="9.9"/>
    <row r="1130" s="403" customFormat="1" ht="9.9"/>
    <row r="1131" s="403" customFormat="1" ht="9.9"/>
    <row r="1132" s="403" customFormat="1" ht="9.9"/>
    <row r="1133" s="403" customFormat="1" ht="9.9"/>
    <row r="1134" s="403" customFormat="1" ht="9.9"/>
    <row r="1135" s="403" customFormat="1" ht="9.9"/>
    <row r="1136" s="403" customFormat="1" ht="9.9"/>
    <row r="1137" s="403" customFormat="1" ht="9.9"/>
    <row r="1138" s="403" customFormat="1" ht="9.9"/>
    <row r="1139" s="403" customFormat="1" ht="9.9"/>
    <row r="1140" s="403" customFormat="1" ht="9.9"/>
    <row r="1141" s="403" customFormat="1" ht="9.9"/>
    <row r="1142" s="403" customFormat="1" ht="9.9"/>
    <row r="1143" s="403" customFormat="1" ht="9.9"/>
    <row r="1144" s="403" customFormat="1" ht="9.9"/>
    <row r="1145" s="403" customFormat="1" ht="9.9"/>
    <row r="1146" s="403" customFormat="1" ht="9.9"/>
    <row r="1147" s="403" customFormat="1" ht="9.9"/>
    <row r="1148" s="403" customFormat="1" ht="9.9"/>
    <row r="1149" s="403" customFormat="1" ht="9.9"/>
    <row r="1150" s="403" customFormat="1" ht="9.9"/>
    <row r="1151" s="403" customFormat="1" ht="9.9"/>
    <row r="1152" s="403" customFormat="1" ht="9.9"/>
    <row r="1153" s="403" customFormat="1" ht="9.9"/>
    <row r="1154" s="403" customFormat="1" ht="9.9"/>
    <row r="1155" s="403" customFormat="1" ht="9.9"/>
    <row r="1156" s="403" customFormat="1" ht="9.9"/>
    <row r="1157" s="403" customFormat="1" ht="9.9"/>
    <row r="1158" s="403" customFormat="1" ht="9.9"/>
    <row r="1159" s="403" customFormat="1" ht="9.9"/>
    <row r="1160" s="403" customFormat="1" ht="9.9"/>
    <row r="1161" s="403" customFormat="1" ht="9.9"/>
    <row r="1162" s="403" customFormat="1" ht="9.9"/>
    <row r="1163" s="403" customFormat="1" ht="9.9"/>
    <row r="1164" s="403" customFormat="1" ht="9.9"/>
    <row r="1165" s="403" customFormat="1" ht="9.9"/>
    <row r="1166" s="403" customFormat="1" ht="9.9"/>
    <row r="1167" s="403" customFormat="1" ht="9.9"/>
    <row r="1168" s="403" customFormat="1" ht="9.9"/>
    <row r="1169" s="403" customFormat="1" ht="9.9"/>
    <row r="1170" s="403" customFormat="1" ht="9.9"/>
    <row r="1171" s="403" customFormat="1" ht="9.9"/>
    <row r="1172" s="403" customFormat="1" ht="9.9"/>
    <row r="1173" s="403" customFormat="1" ht="9.9"/>
    <row r="1174" s="403" customFormat="1" ht="9.9"/>
    <row r="1175" s="403" customFormat="1" ht="9.9"/>
    <row r="1176" s="403" customFormat="1" ht="9.9"/>
    <row r="1177" s="403" customFormat="1" ht="9.9"/>
    <row r="1178" s="403" customFormat="1" ht="9.9"/>
    <row r="1179" s="403" customFormat="1" ht="9.9"/>
    <row r="1180" s="403" customFormat="1" ht="9.9"/>
    <row r="1181" s="403" customFormat="1" ht="9.9"/>
    <row r="1182" s="403" customFormat="1" ht="9.9"/>
    <row r="1183" s="403" customFormat="1" ht="9.9"/>
    <row r="1184" s="403" customFormat="1" ht="9.9"/>
    <row r="1185" s="403" customFormat="1" ht="9.9"/>
    <row r="1186" s="403" customFormat="1" ht="9.9"/>
    <row r="1187" s="403" customFormat="1" ht="9.9"/>
    <row r="1188" s="403" customFormat="1" ht="9.9"/>
    <row r="1189" s="403" customFormat="1" ht="9.9"/>
    <row r="1190" s="403" customFormat="1" ht="9.9"/>
    <row r="1191" s="403" customFormat="1" ht="9.9"/>
    <row r="1192" s="403" customFormat="1" ht="9.9"/>
    <row r="1193" s="403" customFormat="1" ht="9.9"/>
    <row r="1194" s="403" customFormat="1" ht="9.9"/>
    <row r="1195" s="403" customFormat="1" ht="9.9"/>
    <row r="1196" s="403" customFormat="1" ht="9.9"/>
    <row r="1197" s="403" customFormat="1" ht="9.9"/>
    <row r="1198" s="403" customFormat="1" ht="9.9"/>
    <row r="1199" s="403" customFormat="1" ht="9.9"/>
    <row r="1200" s="403" customFormat="1" ht="9.9"/>
    <row r="1201" s="403" customFormat="1" ht="9.9"/>
    <row r="1202" s="403" customFormat="1" ht="9.9"/>
    <row r="1203" s="403" customFormat="1" ht="9.9"/>
    <row r="1204" s="403" customFormat="1" ht="9.9"/>
    <row r="1205" s="403" customFormat="1" ht="9.9"/>
    <row r="1206" s="403" customFormat="1" ht="9.9"/>
    <row r="1207" s="403" customFormat="1" ht="9.9"/>
    <row r="1208" s="403" customFormat="1" ht="9.9"/>
    <row r="1209" s="403" customFormat="1" ht="9.9"/>
    <row r="1210" s="403" customFormat="1" ht="9.9"/>
    <row r="1211" s="403" customFormat="1" ht="9.9"/>
    <row r="1212" s="403" customFormat="1" ht="9.9"/>
    <row r="1213" s="403" customFormat="1" ht="9.9"/>
    <row r="1214" s="403" customFormat="1" ht="9.9"/>
    <row r="1215" s="403" customFormat="1" ht="9.9"/>
    <row r="1216" s="403" customFormat="1" ht="9.9"/>
    <row r="1217" s="403" customFormat="1" ht="9.9"/>
    <row r="1218" s="403" customFormat="1" ht="9.9"/>
    <row r="1219" s="403" customFormat="1" ht="9.9"/>
    <row r="1220" s="403" customFormat="1" ht="9.9"/>
    <row r="1221" s="403" customFormat="1" ht="9.9"/>
    <row r="1222" s="403" customFormat="1" ht="9.9"/>
    <row r="1223" s="403" customFormat="1" ht="9.9"/>
    <row r="1224" s="403" customFormat="1" ht="9.9"/>
    <row r="1225" s="403" customFormat="1" ht="9.9"/>
    <row r="1226" s="403" customFormat="1" ht="9.9"/>
    <row r="1227" s="403" customFormat="1" ht="9.9"/>
    <row r="1228" s="403" customFormat="1" ht="9.9"/>
    <row r="1229" s="403" customFormat="1" ht="9.9"/>
    <row r="1230" s="403" customFormat="1" ht="9.9"/>
    <row r="1231" s="403" customFormat="1" ht="9.9"/>
    <row r="1232" s="403" customFormat="1" ht="9.9"/>
    <row r="1233" s="403" customFormat="1" ht="9.9"/>
    <row r="1234" s="403" customFormat="1" ht="9.9"/>
    <row r="1235" s="403" customFormat="1" ht="9.9"/>
    <row r="1236" s="403" customFormat="1" ht="9.9"/>
    <row r="1237" s="403" customFormat="1" ht="9.9"/>
    <row r="1238" s="403" customFormat="1" ht="9.9"/>
    <row r="1239" s="403" customFormat="1" ht="9.9"/>
    <row r="1240" s="403" customFormat="1" ht="9.9"/>
    <row r="1241" s="403" customFormat="1" ht="9.9"/>
    <row r="1242" s="403" customFormat="1" ht="9.9"/>
    <row r="1243" s="403" customFormat="1" ht="9.9"/>
    <row r="1244" s="403" customFormat="1" ht="9.9"/>
    <row r="1245" s="403" customFormat="1" ht="9.9"/>
    <row r="1246" s="403" customFormat="1" ht="9.9"/>
    <row r="1247" s="403" customFormat="1" ht="9.9"/>
    <row r="1248" s="403" customFormat="1" ht="9.9"/>
    <row r="1249" s="403" customFormat="1" ht="9.9"/>
    <row r="1250" s="403" customFormat="1" ht="9.9"/>
    <row r="1251" s="403" customFormat="1" ht="9.9"/>
    <row r="1252" s="403" customFormat="1" ht="9.9"/>
    <row r="1253" s="403" customFormat="1" ht="9.9"/>
    <row r="1254" s="403" customFormat="1" ht="9.9"/>
    <row r="1255" s="403" customFormat="1" ht="9.9"/>
    <row r="1256" s="403" customFormat="1" ht="9.9"/>
    <row r="1257" s="403" customFormat="1" ht="9.9"/>
    <row r="1258" s="403" customFormat="1" ht="9.9"/>
    <row r="1259" s="403" customFormat="1" ht="9.9"/>
    <row r="1260" s="403" customFormat="1" ht="9.9"/>
    <row r="1261" s="403" customFormat="1" ht="9.9"/>
    <row r="1262" s="403" customFormat="1" ht="9.9"/>
    <row r="1263" s="403" customFormat="1" ht="9.9"/>
    <row r="1264" s="403" customFormat="1" ht="9.9"/>
    <row r="1265" s="403" customFormat="1" ht="9.9"/>
    <row r="1266" s="403" customFormat="1" ht="9.9"/>
    <row r="1267" s="403" customFormat="1" ht="9.9"/>
    <row r="1268" s="403" customFormat="1" ht="9.9"/>
    <row r="1269" s="403" customFormat="1" ht="9.9"/>
    <row r="1270" s="403" customFormat="1" ht="9.9"/>
    <row r="1271" s="403" customFormat="1" ht="9.9"/>
    <row r="1272" s="403" customFormat="1" ht="9.9"/>
    <row r="1273" s="403" customFormat="1" ht="9.9"/>
    <row r="1274" s="403" customFormat="1" ht="9.9"/>
    <row r="1275" s="403" customFormat="1" ht="9.9"/>
    <row r="1276" s="403" customFormat="1" ht="9.9"/>
    <row r="1277" s="403" customFormat="1" ht="9.9"/>
    <row r="1278" s="403" customFormat="1" ht="9.9"/>
    <row r="1279" s="403" customFormat="1" ht="9.9"/>
    <row r="1280" s="403" customFormat="1" ht="9.9"/>
    <row r="1281" s="403" customFormat="1" ht="9.9"/>
    <row r="1282" s="403" customFormat="1" ht="9.9"/>
    <row r="1283" s="403" customFormat="1" ht="9.9"/>
    <row r="1284" s="403" customFormat="1" ht="9.9"/>
    <row r="1285" s="403" customFormat="1" ht="9.9"/>
    <row r="1286" s="403" customFormat="1" ht="9.9"/>
    <row r="1287" s="403" customFormat="1" ht="9.9"/>
    <row r="1288" s="403" customFormat="1" ht="9.9"/>
    <row r="1289" s="403" customFormat="1" ht="9.9"/>
    <row r="1290" s="403" customFormat="1" ht="9.9"/>
    <row r="1291" s="403" customFormat="1" ht="9.9"/>
    <row r="1292" s="403" customFormat="1" ht="9.9"/>
    <row r="1293" s="403" customFormat="1" ht="9.9"/>
    <row r="1294" s="403" customFormat="1" ht="9.9"/>
    <row r="1295" s="403" customFormat="1" ht="9.9"/>
    <row r="1296" s="403" customFormat="1" ht="9.9"/>
    <row r="1297" s="403" customFormat="1" ht="9.9"/>
    <row r="1298" s="403" customFormat="1" ht="9.9"/>
    <row r="1299" s="403" customFormat="1" ht="9.9"/>
    <row r="1300" s="403" customFormat="1" ht="9.9"/>
    <row r="1301" s="403" customFormat="1" ht="9.9"/>
    <row r="1302" s="403" customFormat="1" ht="9.9"/>
    <row r="1303" s="403" customFormat="1" ht="9.9"/>
    <row r="1304" s="403" customFormat="1" ht="9.9"/>
    <row r="1305" s="403" customFormat="1" ht="9.9"/>
    <row r="1306" s="403" customFormat="1" ht="9.9"/>
    <row r="1307" s="403" customFormat="1" ht="9.9"/>
    <row r="1308" s="403" customFormat="1" ht="9.9"/>
    <row r="1309" s="403" customFormat="1" ht="9.9"/>
    <row r="1310" s="403" customFormat="1" ht="9.9"/>
    <row r="1311" s="403" customFormat="1" ht="9.9"/>
    <row r="1312" s="403" customFormat="1" ht="9.9"/>
    <row r="1313" s="403" customFormat="1" ht="9.9"/>
    <row r="1314" s="403" customFormat="1" ht="9.9"/>
    <row r="1315" s="403" customFormat="1" ht="9.9"/>
    <row r="1316" s="403" customFormat="1" ht="9.9"/>
    <row r="1317" s="403" customFormat="1" ht="9.9"/>
    <row r="1318" s="403" customFormat="1" ht="9.9"/>
    <row r="1319" s="403" customFormat="1" ht="9.9"/>
    <row r="1320" s="403" customFormat="1" ht="9.9"/>
    <row r="1321" s="403" customFormat="1" ht="9.9"/>
    <row r="1322" s="403" customFormat="1" ht="9.9"/>
    <row r="1323" s="403" customFormat="1" ht="9.9"/>
    <row r="1324" s="403" customFormat="1" ht="9.9"/>
    <row r="1325" s="403" customFormat="1" ht="9.9"/>
    <row r="1326" s="403" customFormat="1" ht="9.9"/>
    <row r="1327" s="403" customFormat="1" ht="9.9"/>
    <row r="1328" s="403" customFormat="1" ht="9.9"/>
    <row r="1329" s="403" customFormat="1" ht="9.9"/>
    <row r="1330" s="403" customFormat="1" ht="9.9"/>
    <row r="1331" s="403" customFormat="1" ht="9.9"/>
    <row r="1332" s="403" customFormat="1" ht="9.9"/>
    <row r="1333" s="403" customFormat="1" ht="9.9"/>
    <row r="1334" s="403" customFormat="1" ht="9.9"/>
    <row r="1335" s="403" customFormat="1" ht="9.9"/>
    <row r="1336" s="403" customFormat="1" ht="9.9"/>
    <row r="1337" s="403" customFormat="1" ht="9.9"/>
    <row r="1338" s="403" customFormat="1" ht="9.9"/>
    <row r="1339" s="403" customFormat="1" ht="9.9"/>
    <row r="1340" s="403" customFormat="1" ht="9.9"/>
    <row r="1341" s="403" customFormat="1" ht="9.9"/>
    <row r="1342" s="403" customFormat="1" ht="9.9"/>
    <row r="1343" s="403" customFormat="1" ht="9.9"/>
    <row r="1344" s="403" customFormat="1" ht="9.9"/>
    <row r="1345" s="403" customFormat="1" ht="9.9"/>
    <row r="1346" s="403" customFormat="1" ht="9.9"/>
    <row r="1347" s="403" customFormat="1" ht="9.9"/>
    <row r="1348" s="403" customFormat="1" ht="9.9"/>
    <row r="1349" s="403" customFormat="1" ht="9.9"/>
    <row r="1350" s="403" customFormat="1" ht="9.9"/>
    <row r="1351" s="403" customFormat="1" ht="9.9"/>
    <row r="1352" s="403" customFormat="1" ht="9.9"/>
    <row r="1353" s="403" customFormat="1" ht="9.9"/>
    <row r="1354" s="403" customFormat="1" ht="9.9"/>
    <row r="1355" s="403" customFormat="1" ht="9.9"/>
    <row r="1356" s="403" customFormat="1" ht="9.9"/>
    <row r="1357" s="403" customFormat="1" ht="9.9"/>
    <row r="1358" s="403" customFormat="1" ht="9.9"/>
    <row r="1359" s="403" customFormat="1" ht="9.9"/>
    <row r="1360" s="403" customFormat="1" ht="9.9"/>
    <row r="1361" s="403" customFormat="1" ht="9.9"/>
    <row r="1362" s="403" customFormat="1" ht="9.9"/>
    <row r="1363" s="403" customFormat="1" ht="9.9"/>
    <row r="1364" s="403" customFormat="1" ht="9.9"/>
    <row r="1365" s="403" customFormat="1" ht="9.9"/>
    <row r="1366" s="403" customFormat="1" ht="9.9"/>
    <row r="1367" s="403" customFormat="1" ht="9.9"/>
    <row r="1368" s="403" customFormat="1" ht="9.9"/>
    <row r="1369" s="403" customFormat="1" ht="9.9"/>
    <row r="1370" s="403" customFormat="1" ht="9.9"/>
    <row r="1371" s="403" customFormat="1" ht="9.9"/>
    <row r="1372" s="403" customFormat="1" ht="9.9"/>
    <row r="1373" s="403" customFormat="1" ht="9.9"/>
    <row r="1374" s="403" customFormat="1" ht="9.9"/>
    <row r="1375" s="403" customFormat="1" ht="9.9"/>
    <row r="1376" s="403" customFormat="1" ht="9.9"/>
    <row r="1377" s="403" customFormat="1" ht="9.9"/>
    <row r="1378" s="403" customFormat="1" ht="9.9"/>
    <row r="1379" s="403" customFormat="1" ht="9.9"/>
    <row r="1380" s="403" customFormat="1" ht="9.9"/>
    <row r="1381" s="403" customFormat="1" ht="9.9"/>
    <row r="1382" s="403" customFormat="1" ht="9.9"/>
    <row r="1383" s="403" customFormat="1" ht="9.9"/>
    <row r="1384" s="403" customFormat="1" ht="9.9"/>
    <row r="1385" s="403" customFormat="1" ht="9.9"/>
    <row r="1386" s="403" customFormat="1" ht="9.9"/>
    <row r="1387" s="403" customFormat="1" ht="9.9"/>
    <row r="1388" s="403" customFormat="1" ht="9.9"/>
    <row r="1389" s="403" customFormat="1" ht="9.9"/>
    <row r="1390" s="403" customFormat="1" ht="9.9"/>
    <row r="1391" s="403" customFormat="1" ht="9.9"/>
    <row r="1392" s="403" customFormat="1" ht="9.9"/>
    <row r="1393" s="403" customFormat="1" ht="9.9"/>
    <row r="1394" s="403" customFormat="1" ht="9.9"/>
    <row r="1395" s="403" customFormat="1" ht="9.9"/>
    <row r="1396" s="403" customFormat="1" ht="9.9"/>
    <row r="1397" s="403" customFormat="1" ht="9.9"/>
    <row r="1398" s="403" customFormat="1" ht="9.9"/>
    <row r="1399" s="403" customFormat="1" ht="9.9"/>
    <row r="1400" s="403" customFormat="1" ht="9.9"/>
    <row r="1401" s="403" customFormat="1" ht="9.9"/>
    <row r="1402" s="403" customFormat="1" ht="9.9"/>
    <row r="1403" s="403" customFormat="1" ht="9.9"/>
    <row r="1404" s="403" customFormat="1" ht="9.9"/>
    <row r="1405" s="403" customFormat="1" ht="9.9"/>
    <row r="1406" s="403" customFormat="1" ht="9.9"/>
    <row r="1407" s="403" customFormat="1" ht="9.9"/>
    <row r="1408" s="403" customFormat="1" ht="9.9"/>
    <row r="1409" s="403" customFormat="1" ht="9.9"/>
    <row r="1410" s="403" customFormat="1" ht="9.9"/>
    <row r="1411" s="403" customFormat="1" ht="9.9"/>
    <row r="1412" s="403" customFormat="1" ht="9.9"/>
    <row r="1413" s="403" customFormat="1" ht="9.9"/>
    <row r="1414" s="403" customFormat="1" ht="9.9"/>
    <row r="1415" s="403" customFormat="1" ht="9.9"/>
    <row r="1416" s="403" customFormat="1" ht="9.9"/>
    <row r="1417" s="403" customFormat="1" ht="9.9"/>
    <row r="1418" s="403" customFormat="1" ht="9.9"/>
    <row r="1419" s="403" customFormat="1" ht="9.9"/>
    <row r="1420" s="403" customFormat="1" ht="9.9"/>
    <row r="1421" s="403" customFormat="1" ht="9.9"/>
    <row r="1422" s="403" customFormat="1" ht="9.9"/>
    <row r="1423" s="403" customFormat="1" ht="9.9"/>
    <row r="1424" s="403" customFormat="1" ht="9.9"/>
    <row r="1425" s="403" customFormat="1" ht="9.9"/>
    <row r="1426" s="403" customFormat="1" ht="9.9"/>
    <row r="1427" s="403" customFormat="1" ht="9.9"/>
    <row r="1428" s="403" customFormat="1" ht="9.9"/>
    <row r="1429" s="403" customFormat="1" ht="9.9"/>
    <row r="1430" s="403" customFormat="1" ht="9.9"/>
    <row r="1431" s="403" customFormat="1" ht="9.9"/>
    <row r="1432" s="403" customFormat="1" ht="9.9"/>
    <row r="1433" s="403" customFormat="1" ht="9.9"/>
    <row r="1434" s="403" customFormat="1" ht="9.9"/>
    <row r="1435" s="403" customFormat="1" ht="9.9"/>
    <row r="1436" s="403" customFormat="1" ht="9.9"/>
    <row r="1437" s="403" customFormat="1" ht="9.9"/>
    <row r="1438" s="403" customFormat="1" ht="9.9"/>
    <row r="1439" s="403" customFormat="1" ht="9.9"/>
    <row r="1440" s="403" customFormat="1" ht="9.9"/>
    <row r="1441" s="403" customFormat="1" ht="9.9"/>
    <row r="1442" s="403" customFormat="1" ht="9.9"/>
    <row r="1443" s="403" customFormat="1" ht="9.9"/>
    <row r="1444" s="403" customFormat="1" ht="9.9"/>
    <row r="1445" s="403" customFormat="1" ht="9.9"/>
    <row r="1446" s="403" customFormat="1" ht="9.9"/>
    <row r="1447" s="403" customFormat="1" ht="9.9"/>
    <row r="1448" s="403" customFormat="1" ht="9.9"/>
    <row r="1449" s="403" customFormat="1" ht="9.9"/>
    <row r="1450" s="403" customFormat="1" ht="9.9"/>
    <row r="1451" s="403" customFormat="1" ht="9.9"/>
    <row r="1452" s="403" customFormat="1" ht="9.9"/>
    <row r="1453" s="403" customFormat="1" ht="9.9"/>
    <row r="1454" s="403" customFormat="1" ht="9.9"/>
    <row r="1455" s="403" customFormat="1" ht="9.9"/>
    <row r="1456" s="403" customFormat="1" ht="9.9"/>
    <row r="1457" s="403" customFormat="1" ht="9.9"/>
    <row r="1458" s="403" customFormat="1" ht="9.9"/>
    <row r="1459" s="403" customFormat="1" ht="9.9"/>
    <row r="1460" s="403" customFormat="1" ht="9.9"/>
    <row r="1461" s="403" customFormat="1" ht="9.9"/>
    <row r="1462" s="403" customFormat="1" ht="9.9"/>
    <row r="1463" s="403" customFormat="1" ht="9.9"/>
    <row r="1464" s="403" customFormat="1" ht="9.9"/>
    <row r="1465" s="403" customFormat="1" ht="9.9"/>
    <row r="1466" s="403" customFormat="1" ht="9.9"/>
    <row r="1467" s="403" customFormat="1" ht="9.9"/>
    <row r="1468" s="403" customFormat="1" ht="9.9"/>
    <row r="1469" s="403" customFormat="1" ht="9.9"/>
    <row r="1470" s="403" customFormat="1" ht="9.9"/>
    <row r="1471" s="403" customFormat="1" ht="9.9"/>
    <row r="1472" s="403" customFormat="1" ht="9.9"/>
    <row r="1473" s="403" customFormat="1" ht="9.9"/>
    <row r="1474" s="403" customFormat="1" ht="9.9"/>
    <row r="1475" s="403" customFormat="1" ht="9.9"/>
    <row r="1476" s="403" customFormat="1" ht="9.9"/>
    <row r="1477" s="403" customFormat="1" ht="9.9"/>
    <row r="1478" s="403" customFormat="1" ht="9.9"/>
    <row r="1479" s="403" customFormat="1" ht="9.9"/>
    <row r="1480" s="403" customFormat="1" ht="9.9"/>
    <row r="1481" s="403" customFormat="1" ht="9.9"/>
    <row r="1482" s="403" customFormat="1" ht="9.9"/>
    <row r="1483" s="403" customFormat="1" ht="9.9"/>
    <row r="1484" s="403" customFormat="1" ht="9.9"/>
    <row r="1485" s="403" customFormat="1" ht="9.9"/>
    <row r="1486" s="403" customFormat="1" ht="9.9"/>
    <row r="1487" s="403" customFormat="1" ht="9.9"/>
    <row r="1488" s="403" customFormat="1" ht="9.9"/>
    <row r="1489" s="403" customFormat="1" ht="9.9"/>
    <row r="1490" s="403" customFormat="1" ht="9.9"/>
    <row r="1491" s="403" customFormat="1" ht="9.9"/>
    <row r="1492" s="403" customFormat="1" ht="9.9"/>
    <row r="1493" s="403" customFormat="1" ht="9.9"/>
    <row r="1494" s="403" customFormat="1" ht="9.9"/>
    <row r="1495" s="403" customFormat="1" ht="9.9"/>
    <row r="1496" s="403" customFormat="1" ht="9.9"/>
    <row r="1497" s="403" customFormat="1" ht="9.9"/>
    <row r="1498" s="403" customFormat="1" ht="9.9"/>
    <row r="1499" s="403" customFormat="1" ht="9.9"/>
    <row r="1500" s="403" customFormat="1" ht="9.9"/>
    <row r="1501" s="403" customFormat="1" ht="9.9"/>
    <row r="1502" s="403" customFormat="1" ht="9.9"/>
    <row r="1503" s="403" customFormat="1" ht="9.9"/>
    <row r="1504" s="403" customFormat="1" ht="9.9"/>
    <row r="1505" s="403" customFormat="1" ht="9.9"/>
    <row r="1506" s="403" customFormat="1" ht="9.9"/>
    <row r="1507" s="403" customFormat="1" ht="9.9"/>
    <row r="1508" s="403" customFormat="1" ht="9.9"/>
    <row r="1509" s="403" customFormat="1" ht="9.9"/>
    <row r="1510" s="403" customFormat="1" ht="9.9"/>
    <row r="1511" s="403" customFormat="1" ht="9.9"/>
    <row r="1512" s="403" customFormat="1" ht="9.9"/>
    <row r="1513" s="403" customFormat="1" ht="9.9"/>
    <row r="1514" s="403" customFormat="1" ht="9.9"/>
    <row r="1515" s="403" customFormat="1" ht="9.9"/>
    <row r="1516" s="403" customFormat="1" ht="9.9"/>
    <row r="1517" s="403" customFormat="1" ht="9.9"/>
    <row r="1518" s="403" customFormat="1" ht="9.9"/>
    <row r="1519" s="403" customFormat="1" ht="9.9"/>
    <row r="1520" s="403" customFormat="1" ht="9.9"/>
    <row r="1521" s="403" customFormat="1" ht="9.9"/>
    <row r="1522" s="403" customFormat="1" ht="9.9"/>
    <row r="1523" s="403" customFormat="1" ht="9.9"/>
    <row r="1524" s="403" customFormat="1" ht="9.9"/>
    <row r="1525" s="403" customFormat="1" ht="9.9"/>
    <row r="1526" s="403" customFormat="1" ht="9.9"/>
    <row r="1527" s="403" customFormat="1" ht="9.9"/>
    <row r="1528" s="403" customFormat="1" ht="9.9"/>
    <row r="1529" s="403" customFormat="1" ht="9.9"/>
    <row r="1530" s="403" customFormat="1" ht="9.9"/>
    <row r="1531" s="403" customFormat="1" ht="9.9"/>
    <row r="1532" s="403" customFormat="1" ht="9.9"/>
    <row r="1533" s="403" customFormat="1" ht="9.9"/>
    <row r="1534" s="403" customFormat="1" ht="9.9"/>
    <row r="1535" s="403" customFormat="1" ht="9.9"/>
    <row r="1536" s="403" customFormat="1" ht="9.9"/>
    <row r="1537" s="403" customFormat="1" ht="9.9"/>
    <row r="1538" s="403" customFormat="1" ht="9.9"/>
    <row r="1539" s="403" customFormat="1" ht="9.9"/>
    <row r="1540" s="403" customFormat="1" ht="9.9"/>
    <row r="1541" s="403" customFormat="1" ht="9.9"/>
    <row r="1542" s="403" customFormat="1" ht="9.9"/>
    <row r="1543" s="403" customFormat="1" ht="9.9"/>
    <row r="1544" s="403" customFormat="1" ht="9.9"/>
    <row r="1545" s="403" customFormat="1" ht="9.9"/>
    <row r="1546" s="403" customFormat="1" ht="9.9"/>
    <row r="1547" s="403" customFormat="1" ht="9.9"/>
    <row r="1548" s="403" customFormat="1" ht="9.9"/>
    <row r="1549" s="403" customFormat="1" ht="9.9"/>
    <row r="1550" s="403" customFormat="1" ht="9.9"/>
    <row r="1551" s="403" customFormat="1" ht="9.9"/>
    <row r="1552" s="403" customFormat="1" ht="9.9"/>
    <row r="1553" s="403" customFormat="1" ht="9.9"/>
    <row r="1554" s="403" customFormat="1" ht="9.9"/>
    <row r="1555" s="403" customFormat="1" ht="9.9"/>
    <row r="1556" s="403" customFormat="1" ht="9.9"/>
    <row r="1557" s="403" customFormat="1" ht="9.9"/>
    <row r="1558" s="403" customFormat="1" ht="9.9"/>
    <row r="1559" s="403" customFormat="1" ht="9.9"/>
    <row r="1560" s="403" customFormat="1" ht="9.9"/>
    <row r="1561" s="403" customFormat="1" ht="9.9"/>
    <row r="1562" s="403" customFormat="1" ht="9.9"/>
    <row r="1563" s="403" customFormat="1" ht="9.9"/>
    <row r="1564" s="403" customFormat="1" ht="9.9"/>
    <row r="1565" s="403" customFormat="1" ht="9.9"/>
    <row r="1566" s="403" customFormat="1" ht="9.9"/>
    <row r="1567" s="403" customFormat="1" ht="9.9"/>
    <row r="1568" s="403" customFormat="1" ht="9.9"/>
    <row r="1569" s="403" customFormat="1" ht="9.9"/>
    <row r="1570" s="403" customFormat="1" ht="9.9"/>
    <row r="1571" s="403" customFormat="1" ht="9.9"/>
    <row r="1572" s="403" customFormat="1" ht="9.9"/>
    <row r="1573" s="403" customFormat="1" ht="9.9"/>
    <row r="1574" s="403" customFormat="1" ht="9.9"/>
    <row r="1575" s="403" customFormat="1" ht="9.9"/>
    <row r="1576" s="403" customFormat="1" ht="9.9"/>
    <row r="1577" s="403" customFormat="1" ht="9.9"/>
    <row r="1578" s="403" customFormat="1" ht="9.9"/>
    <row r="1579" s="403" customFormat="1" ht="9.9"/>
    <row r="1580" s="403" customFormat="1" ht="9.9"/>
    <row r="1581" s="403" customFormat="1" ht="9.9"/>
    <row r="1582" s="403" customFormat="1" ht="9.9"/>
    <row r="1583" s="403" customFormat="1" ht="9.9"/>
    <row r="1584" s="403" customFormat="1" ht="9.9"/>
    <row r="1585" s="403" customFormat="1" ht="9.9"/>
    <row r="1586" s="403" customFormat="1" ht="9.9"/>
    <row r="1587" s="403" customFormat="1" ht="9.9"/>
    <row r="1588" s="403" customFormat="1" ht="9.9"/>
    <row r="1589" s="403" customFormat="1" ht="9.9"/>
    <row r="1590" s="403" customFormat="1" ht="9.9"/>
    <row r="1591" s="403" customFormat="1" ht="9.9"/>
    <row r="1592" s="403" customFormat="1" ht="9.9"/>
    <row r="1593" s="403" customFormat="1" ht="9.9"/>
    <row r="1594" s="403" customFormat="1" ht="9.9"/>
    <row r="1595" s="403" customFormat="1" ht="9.9"/>
    <row r="1596" s="403" customFormat="1" ht="9.9"/>
    <row r="1597" s="403" customFormat="1" ht="9.9"/>
    <row r="1598" s="403" customFormat="1" ht="9.9"/>
    <row r="1599" s="403" customFormat="1" ht="9.9"/>
    <row r="1600" s="403" customFormat="1" ht="9.9"/>
    <row r="1601" s="403" customFormat="1" ht="9.9"/>
    <row r="1602" s="403" customFormat="1" ht="9.9"/>
    <row r="1603" s="403" customFormat="1" ht="9.9"/>
    <row r="1604" s="403" customFormat="1" ht="9.9"/>
    <row r="1605" s="403" customFormat="1" ht="9.9"/>
    <row r="1606" s="403" customFormat="1" ht="9.9"/>
    <row r="1607" s="403" customFormat="1" ht="9.9"/>
    <row r="1608" s="403" customFormat="1" ht="9.9"/>
    <row r="1609" s="403" customFormat="1" ht="9.9"/>
    <row r="1610" s="403" customFormat="1" ht="9.9"/>
    <row r="1611" s="403" customFormat="1" ht="9.9"/>
    <row r="1612" s="403" customFormat="1" ht="9.9"/>
    <row r="1613" s="403" customFormat="1" ht="9.9"/>
    <row r="1614" s="403" customFormat="1" ht="9.9"/>
    <row r="1615" s="403" customFormat="1" ht="9.9"/>
    <row r="1616" s="403" customFormat="1" ht="9.9"/>
    <row r="1617" s="403" customFormat="1" ht="9.9"/>
    <row r="1618" s="403" customFormat="1" ht="9.9"/>
    <row r="1619" s="403" customFormat="1" ht="9.9"/>
    <row r="1620" s="403" customFormat="1" ht="9.9"/>
    <row r="1621" s="403" customFormat="1" ht="9.9"/>
    <row r="1622" s="403" customFormat="1" ht="9.9"/>
    <row r="1623" s="403" customFormat="1" ht="9.9"/>
    <row r="1624" s="403" customFormat="1" ht="9.9"/>
    <row r="1625" s="403" customFormat="1" ht="9.9"/>
    <row r="1626" s="403" customFormat="1" ht="9.9"/>
    <row r="1627" s="403" customFormat="1" ht="9.9"/>
    <row r="1628" s="403" customFormat="1" ht="9.9"/>
    <row r="1629" s="403" customFormat="1" ht="9.9"/>
    <row r="1630" s="403" customFormat="1" ht="9.9"/>
    <row r="1631" s="403" customFormat="1" ht="9.9"/>
    <row r="1632" s="403" customFormat="1" ht="9.9"/>
    <row r="1633" s="403" customFormat="1" ht="9.9"/>
    <row r="1634" s="403" customFormat="1" ht="9.9"/>
    <row r="1635" s="403" customFormat="1" ht="9.9"/>
    <row r="1636" s="403" customFormat="1" ht="9.9"/>
    <row r="1637" s="403" customFormat="1" ht="9.9"/>
    <row r="1638" s="403" customFormat="1" ht="9.9"/>
    <row r="1639" s="403" customFormat="1" ht="9.9"/>
    <row r="1640" s="403" customFormat="1" ht="9.9"/>
    <row r="1641" s="403" customFormat="1" ht="9.9"/>
    <row r="1642" s="403" customFormat="1" ht="9.9"/>
    <row r="1643" s="403" customFormat="1" ht="9.9"/>
    <row r="1644" s="403" customFormat="1" ht="9.9"/>
    <row r="1645" s="403" customFormat="1" ht="9.9"/>
    <row r="1646" s="403" customFormat="1" ht="9.9"/>
    <row r="1647" s="403" customFormat="1" ht="9.9"/>
    <row r="1648" s="403" customFormat="1" ht="9.9"/>
    <row r="1649" s="403" customFormat="1" ht="9.9"/>
    <row r="1650" s="403" customFormat="1" ht="9.9"/>
    <row r="1651" s="403" customFormat="1" ht="9.9"/>
    <row r="1652" s="403" customFormat="1" ht="9.9"/>
    <row r="1653" s="403" customFormat="1" ht="9.9"/>
    <row r="1654" s="403" customFormat="1" ht="9.9"/>
    <row r="1655" s="403" customFormat="1" ht="9.9"/>
    <row r="1656" s="403" customFormat="1" ht="9.9"/>
    <row r="1657" s="403" customFormat="1" ht="9.9"/>
    <row r="1658" s="403" customFormat="1" ht="9.9"/>
    <row r="1659" s="403" customFormat="1" ht="9.9"/>
    <row r="1660" s="403" customFormat="1" ht="9.9"/>
    <row r="1661" s="403" customFormat="1" ht="9.9"/>
    <row r="1662" s="403" customFormat="1" ht="9.9"/>
    <row r="1663" s="403" customFormat="1" ht="9.9"/>
    <row r="1664" s="403" customFormat="1" ht="9.9"/>
    <row r="1665" s="403" customFormat="1" ht="9.9"/>
    <row r="1666" s="403" customFormat="1" ht="9.9"/>
    <row r="1667" s="403" customFormat="1" ht="9.9"/>
    <row r="1668" s="403" customFormat="1" ht="9.9"/>
    <row r="1669" s="403" customFormat="1" ht="9.9"/>
    <row r="1670" s="403" customFormat="1" ht="9.9"/>
    <row r="1671" s="403" customFormat="1" ht="9.9"/>
    <row r="1672" s="403" customFormat="1" ht="9.9"/>
    <row r="1673" s="403" customFormat="1" ht="9.9"/>
    <row r="1674" s="403" customFormat="1" ht="9.9"/>
    <row r="1675" s="403" customFormat="1" ht="9.9"/>
    <row r="1676" s="403" customFormat="1" ht="9.9"/>
    <row r="1677" s="403" customFormat="1" ht="9.9"/>
    <row r="1678" s="403" customFormat="1" ht="9.9"/>
    <row r="1679" s="403" customFormat="1" ht="9.9"/>
    <row r="1680" s="403" customFormat="1" ht="9.9"/>
    <row r="1681" s="403" customFormat="1" ht="9.9"/>
    <row r="1682" s="403" customFormat="1" ht="9.9"/>
    <row r="1683" s="403" customFormat="1" ht="9.9"/>
    <row r="1684" s="403" customFormat="1" ht="9.9"/>
    <row r="1685" s="403" customFormat="1" ht="9.9"/>
    <row r="1686" s="403" customFormat="1" ht="9.9"/>
    <row r="1687" s="403" customFormat="1" ht="9.9"/>
    <row r="1688" s="403" customFormat="1" ht="9.9"/>
    <row r="1689" s="403" customFormat="1" ht="9.9"/>
    <row r="1690" s="403" customFormat="1" ht="9.9"/>
    <row r="1691" s="403" customFormat="1" ht="9.9"/>
    <row r="1692" s="403" customFormat="1" ht="9.9"/>
    <row r="1693" s="403" customFormat="1" ht="9.9"/>
    <row r="1694" s="403" customFormat="1" ht="9.9"/>
    <row r="1695" s="403" customFormat="1" ht="9.9"/>
    <row r="1696" s="403" customFormat="1" ht="9.9"/>
    <row r="1697" s="403" customFormat="1" ht="9.9"/>
    <row r="1698" s="403" customFormat="1" ht="9.9"/>
    <row r="1699" s="403" customFormat="1" ht="9.9"/>
    <row r="1700" s="403" customFormat="1" ht="9.9"/>
    <row r="1701" s="403" customFormat="1" ht="9.9"/>
    <row r="1702" s="403" customFormat="1" ht="9.9"/>
    <row r="1703" s="403" customFormat="1" ht="9.9"/>
    <row r="1704" s="403" customFormat="1" ht="9.9"/>
    <row r="1705" s="403" customFormat="1" ht="9.9"/>
    <row r="1706" s="403" customFormat="1" ht="9.9"/>
    <row r="1707" s="403" customFormat="1" ht="9.9"/>
    <row r="1708" s="403" customFormat="1" ht="9.9"/>
    <row r="1709" s="403" customFormat="1" ht="9.9"/>
    <row r="1710" s="403" customFormat="1" ht="9.9"/>
    <row r="1711" s="403" customFormat="1" ht="9.9"/>
    <row r="1712" s="403" customFormat="1" ht="9.9"/>
    <row r="1713" s="403" customFormat="1" ht="9.9"/>
    <row r="1714" s="403" customFormat="1" ht="9.9"/>
    <row r="1715" s="403" customFormat="1" ht="9.9"/>
    <row r="1716" s="403" customFormat="1" ht="9.9"/>
    <row r="1717" s="403" customFormat="1" ht="9.9"/>
    <row r="1718" s="403" customFormat="1" ht="9.9"/>
    <row r="1719" s="403" customFormat="1" ht="9.9"/>
    <row r="1720" s="403" customFormat="1" ht="9.9"/>
    <row r="1721" s="403" customFormat="1" ht="9.9"/>
    <row r="1722" s="403" customFormat="1" ht="9.9"/>
    <row r="1723" s="403" customFormat="1" ht="9.9"/>
    <row r="1724" s="403" customFormat="1" ht="9.9"/>
    <row r="1725" s="403" customFormat="1" ht="9.9"/>
    <row r="1726" s="403" customFormat="1" ht="9.9"/>
    <row r="1727" s="403" customFormat="1" ht="9.9"/>
    <row r="1728" s="403" customFormat="1" ht="9.9"/>
    <row r="1729" s="403" customFormat="1" ht="9.9"/>
    <row r="1730" s="403" customFormat="1" ht="9.9"/>
    <row r="1731" s="403" customFormat="1" ht="9.9"/>
    <row r="1732" s="403" customFormat="1" ht="9.9"/>
    <row r="1733" s="403" customFormat="1" ht="9.9"/>
    <row r="1734" s="403" customFormat="1" ht="9.9"/>
    <row r="1735" s="403" customFormat="1" ht="9.9"/>
    <row r="1736" s="403" customFormat="1" ht="9.9"/>
    <row r="1737" s="403" customFormat="1" ht="9.9"/>
    <row r="1738" s="403" customFormat="1" ht="9.9"/>
    <row r="1739" s="403" customFormat="1" ht="9.9"/>
    <row r="1740" s="403" customFormat="1" ht="9.9"/>
    <row r="1741" s="403" customFormat="1" ht="9.9"/>
    <row r="1742" s="403" customFormat="1" ht="9.9"/>
    <row r="1743" s="403" customFormat="1" ht="9.9"/>
    <row r="1744" s="403" customFormat="1" ht="9.9"/>
    <row r="1745" s="403" customFormat="1" ht="9.9"/>
    <row r="1746" s="403" customFormat="1" ht="9.9"/>
    <row r="1747" s="403" customFormat="1" ht="9.9"/>
    <row r="1748" s="403" customFormat="1" ht="9.9"/>
    <row r="1749" s="403" customFormat="1" ht="9.9"/>
    <row r="1750" s="403" customFormat="1" ht="9.9"/>
    <row r="1751" s="403" customFormat="1" ht="9.9"/>
    <row r="1752" s="403" customFormat="1" ht="9.9"/>
    <row r="1753" s="403" customFormat="1" ht="9.9"/>
    <row r="1754" s="403" customFormat="1" ht="9.9"/>
    <row r="1755" s="403" customFormat="1" ht="9.9"/>
    <row r="1756" s="403" customFormat="1" ht="9.9"/>
    <row r="1757" s="403" customFormat="1" ht="9.9"/>
    <row r="1758" s="403" customFormat="1" ht="9.9"/>
    <row r="1759" s="403" customFormat="1" ht="9.9"/>
    <row r="1760" s="403" customFormat="1" ht="9.9"/>
    <row r="1761" s="403" customFormat="1" ht="9.9"/>
    <row r="1762" s="403" customFormat="1" ht="9.9"/>
    <row r="1763" s="403" customFormat="1" ht="9.9"/>
    <row r="1764" s="403" customFormat="1" ht="9.9"/>
    <row r="1765" s="403" customFormat="1" ht="9.9"/>
    <row r="1766" s="403" customFormat="1" ht="9.9"/>
    <row r="1767" s="403" customFormat="1" ht="9.9"/>
    <row r="1768" s="403" customFormat="1" ht="9.9"/>
    <row r="1769" s="403" customFormat="1" ht="9.9"/>
    <row r="1770" s="403" customFormat="1" ht="9.9"/>
    <row r="1771" s="403" customFormat="1" ht="9.9"/>
    <row r="1772" s="403" customFormat="1" ht="9.9"/>
    <row r="1773" s="403" customFormat="1" ht="9.9"/>
    <row r="1774" s="403" customFormat="1" ht="9.9"/>
    <row r="1775" s="403" customFormat="1" ht="9.9"/>
    <row r="1776" s="403" customFormat="1" ht="9.9"/>
    <row r="1777" s="403" customFormat="1" ht="9.9"/>
    <row r="1778" s="403" customFormat="1" ht="9.9"/>
    <row r="1779" s="403" customFormat="1" ht="9.9"/>
    <row r="1780" s="403" customFormat="1" ht="9.9"/>
    <row r="1781" s="403" customFormat="1" ht="9.9"/>
    <row r="1782" s="403" customFormat="1" ht="9.9"/>
    <row r="1783" s="403" customFormat="1" ht="9.9"/>
    <row r="1784" s="403" customFormat="1" ht="9.9"/>
    <row r="1785" s="403" customFormat="1" ht="9.9"/>
    <row r="1786" s="403" customFormat="1" ht="9.9"/>
    <row r="1787" s="403" customFormat="1" ht="9.9"/>
    <row r="1788" s="403" customFormat="1" ht="9.9"/>
    <row r="1789" s="403" customFormat="1" ht="9.9"/>
    <row r="1790" s="403" customFormat="1" ht="9.9"/>
    <row r="1791" s="403" customFormat="1" ht="9.9"/>
    <row r="1792" s="403" customFormat="1" ht="9.9"/>
    <row r="1793" s="403" customFormat="1" ht="9.9"/>
    <row r="1794" s="403" customFormat="1" ht="9.9"/>
    <row r="1795" s="403" customFormat="1" ht="9.9"/>
    <row r="1796" s="403" customFormat="1" ht="9.9"/>
    <row r="1797" s="403" customFormat="1" ht="9.9"/>
    <row r="1798" s="403" customFormat="1" ht="9.9"/>
    <row r="1799" s="403" customFormat="1" ht="9.9"/>
    <row r="1800" s="403" customFormat="1" ht="9.9"/>
    <row r="1801" s="403" customFormat="1" ht="9.9"/>
    <row r="1802" s="403" customFormat="1" ht="9.9"/>
    <row r="1803" s="403" customFormat="1" ht="9.9"/>
    <row r="1804" s="403" customFormat="1" ht="9.9"/>
    <row r="1805" s="403" customFormat="1" ht="9.9"/>
    <row r="1806" s="403" customFormat="1" ht="9.9"/>
    <row r="1807" s="403" customFormat="1" ht="9.9"/>
    <row r="1808" s="403" customFormat="1" ht="9.9"/>
    <row r="1809" s="403" customFormat="1" ht="9.9"/>
    <row r="1810" s="403" customFormat="1" ht="9.9"/>
    <row r="1811" s="403" customFormat="1" ht="9.9"/>
    <row r="1812" s="403" customFormat="1" ht="9.9"/>
    <row r="1813" s="403" customFormat="1" ht="9.9"/>
    <row r="1814" s="403" customFormat="1" ht="9.9"/>
    <row r="1815" s="403" customFormat="1" ht="9.9"/>
    <row r="1816" s="403" customFormat="1" ht="9.9"/>
    <row r="1817" s="403" customFormat="1" ht="9.9"/>
    <row r="1818" s="403" customFormat="1" ht="9.9"/>
    <row r="1819" s="403" customFormat="1" ht="9.9"/>
    <row r="1820" s="403" customFormat="1" ht="9.9"/>
    <row r="1821" s="403" customFormat="1" ht="9.9"/>
    <row r="1822" s="403" customFormat="1" ht="9.9"/>
    <row r="1823" s="403" customFormat="1" ht="9.9"/>
    <row r="1824" s="403" customFormat="1" ht="9.9"/>
    <row r="1825" s="403" customFormat="1" ht="9.9"/>
    <row r="1826" s="403" customFormat="1" ht="9.9"/>
    <row r="1827" s="403" customFormat="1" ht="9.9"/>
    <row r="1828" s="403" customFormat="1" ht="9.9"/>
    <row r="1829" s="403" customFormat="1" ht="9.9"/>
    <row r="1830" s="403" customFormat="1" ht="9.9"/>
    <row r="1831" s="403" customFormat="1" ht="9.9"/>
    <row r="1832" s="403" customFormat="1" ht="9.9"/>
    <row r="1833" s="403" customFormat="1" ht="9.9"/>
    <row r="1834" s="403" customFormat="1" ht="9.9"/>
    <row r="1835" s="403" customFormat="1" ht="9.9"/>
    <row r="1836" s="403" customFormat="1" ht="9.9"/>
    <row r="1837" s="403" customFormat="1" ht="9.9"/>
    <row r="1838" s="403" customFormat="1" ht="9.9"/>
    <row r="1839" s="403" customFormat="1" ht="9.9"/>
    <row r="1840" s="403" customFormat="1" ht="9.9"/>
    <row r="1841" s="403" customFormat="1" ht="9.9"/>
    <row r="1842" s="403" customFormat="1" ht="9.9"/>
    <row r="1843" s="403" customFormat="1" ht="9.9"/>
    <row r="1844" s="403" customFormat="1" ht="9.9"/>
    <row r="1845" s="403" customFormat="1" ht="9.9"/>
    <row r="1846" s="403" customFormat="1" ht="9.9"/>
    <row r="1847" s="403" customFormat="1" ht="9.9"/>
    <row r="1848" s="403" customFormat="1" ht="9.9"/>
    <row r="1849" s="403" customFormat="1" ht="9.9"/>
    <row r="1850" s="403" customFormat="1" ht="9.9"/>
    <row r="1851" s="403" customFormat="1" ht="9.9"/>
    <row r="1852" s="403" customFormat="1" ht="9.9"/>
    <row r="1853" s="403" customFormat="1" ht="9.9"/>
    <row r="1854" s="403" customFormat="1" ht="9.9"/>
    <row r="1855" s="403" customFormat="1" ht="9.9"/>
    <row r="1856" s="403" customFormat="1" ht="9.9"/>
    <row r="1857" s="403" customFormat="1" ht="9.9"/>
    <row r="1858" s="403" customFormat="1" ht="9.9"/>
    <row r="1859" s="403" customFormat="1" ht="9.9"/>
    <row r="1860" s="403" customFormat="1" ht="9.9"/>
    <row r="1861" s="403" customFormat="1" ht="9.9"/>
    <row r="1862" s="403" customFormat="1" ht="9.9"/>
    <row r="1863" s="403" customFormat="1" ht="9.9"/>
    <row r="1864" s="403" customFormat="1" ht="9.9"/>
    <row r="1865" s="403" customFormat="1" ht="9.9"/>
    <row r="1866" s="403" customFormat="1" ht="9.9"/>
    <row r="1867" s="403" customFormat="1" ht="9.9"/>
    <row r="1868" s="403" customFormat="1" ht="9.9"/>
    <row r="1869" s="403" customFormat="1" ht="9.9"/>
    <row r="1870" s="403" customFormat="1" ht="9.9"/>
    <row r="1871" s="403" customFormat="1" ht="9.9"/>
    <row r="1872" s="403" customFormat="1" ht="9.9"/>
    <row r="1873" s="403" customFormat="1" ht="9.9"/>
    <row r="1874" s="403" customFormat="1" ht="9.9"/>
    <row r="1875" s="403" customFormat="1" ht="9.9"/>
    <row r="1876" s="403" customFormat="1" ht="9.9"/>
    <row r="1877" s="403" customFormat="1" ht="9.9"/>
    <row r="1878" s="403" customFormat="1" ht="9.9"/>
    <row r="1879" s="403" customFormat="1" ht="9.9"/>
    <row r="1880" s="403" customFormat="1" ht="9.9"/>
    <row r="1881" s="403" customFormat="1" ht="9.9"/>
    <row r="1882" s="403" customFormat="1" ht="9.9"/>
    <row r="1883" s="403" customFormat="1" ht="9.9"/>
    <row r="1884" s="403" customFormat="1" ht="9.9"/>
    <row r="1885" s="403" customFormat="1" ht="9.9"/>
    <row r="1886" s="403" customFormat="1" ht="9.9"/>
    <row r="1887" s="403" customFormat="1" ht="9.9"/>
    <row r="1888" s="403" customFormat="1" ht="9.9"/>
    <row r="1889" s="403" customFormat="1" ht="9.9"/>
    <row r="1890" s="403" customFormat="1" ht="9.9"/>
    <row r="1891" s="403" customFormat="1" ht="9.9"/>
    <row r="1892" s="403" customFormat="1" ht="9.9"/>
    <row r="1893" s="403" customFormat="1" ht="9.9"/>
    <row r="1894" s="403" customFormat="1" ht="9.9"/>
    <row r="1895" s="403" customFormat="1" ht="9.9"/>
    <row r="1896" s="403" customFormat="1" ht="9.9"/>
    <row r="1897" s="403" customFormat="1" ht="9.9"/>
    <row r="1898" s="403" customFormat="1" ht="9.9"/>
    <row r="1899" s="403" customFormat="1" ht="9.9"/>
    <row r="1900" s="403" customFormat="1" ht="9.9"/>
    <row r="1901" s="403" customFormat="1" ht="9.9"/>
    <row r="1902" s="403" customFormat="1" ht="9.9"/>
    <row r="1903" s="403" customFormat="1" ht="9.9"/>
    <row r="1904" s="403" customFormat="1" ht="9.9"/>
    <row r="1905" s="403" customFormat="1" ht="9.9"/>
    <row r="1906" s="403" customFormat="1" ht="9.9"/>
    <row r="1907" s="403" customFormat="1" ht="9.9"/>
    <row r="1908" s="403" customFormat="1" ht="9.9"/>
    <row r="1909" s="403" customFormat="1" ht="9.9"/>
    <row r="1910" s="403" customFormat="1" ht="9.9"/>
    <row r="1911" s="403" customFormat="1" ht="9.9"/>
    <row r="1912" s="403" customFormat="1" ht="9.9"/>
    <row r="1913" s="403" customFormat="1" ht="9.9"/>
    <row r="1914" s="403" customFormat="1" ht="9.9"/>
    <row r="1915" s="403" customFormat="1" ht="9.9"/>
    <row r="1916" s="403" customFormat="1" ht="9.9"/>
    <row r="1917" s="403" customFormat="1" ht="9.9"/>
    <row r="1918" s="403" customFormat="1" ht="9.9"/>
    <row r="1919" s="403" customFormat="1" ht="9.9"/>
    <row r="1920" s="403" customFormat="1" ht="9.9"/>
    <row r="1921" s="403" customFormat="1" ht="9.9"/>
    <row r="1922" s="403" customFormat="1" ht="9.9"/>
    <row r="1923" s="403" customFormat="1" ht="9.9"/>
    <row r="1924" s="403" customFormat="1" ht="9.9"/>
    <row r="1925" s="403" customFormat="1" ht="9.9"/>
    <row r="1926" s="403" customFormat="1" ht="9.9"/>
    <row r="1927" s="403" customFormat="1" ht="9.9"/>
    <row r="1928" s="403" customFormat="1" ht="9.9"/>
    <row r="1929" s="403" customFormat="1" ht="9.9"/>
    <row r="1930" s="403" customFormat="1" ht="9.9"/>
    <row r="1931" s="403" customFormat="1" ht="9.9"/>
    <row r="1932" s="403" customFormat="1" ht="9.9"/>
    <row r="1933" s="403" customFormat="1" ht="9.9"/>
    <row r="1934" s="403" customFormat="1" ht="9.9"/>
    <row r="1935" s="403" customFormat="1" ht="9.9"/>
    <row r="1936" s="403" customFormat="1" ht="9.9"/>
    <row r="1937" s="403" customFormat="1" ht="9.9"/>
    <row r="1938" s="403" customFormat="1" ht="9.9"/>
    <row r="1939" s="403" customFormat="1" ht="9.9"/>
    <row r="1940" s="403" customFormat="1" ht="9.9"/>
    <row r="1941" s="403" customFormat="1" ht="9.9"/>
    <row r="1942" s="403" customFormat="1" ht="9.9"/>
    <row r="1943" s="403" customFormat="1" ht="9.9"/>
    <row r="1944" s="403" customFormat="1" ht="9.9"/>
    <row r="1945" s="403" customFormat="1" ht="9.9"/>
    <row r="1946" s="403" customFormat="1" ht="9.9"/>
    <row r="1947" s="403" customFormat="1" ht="9.9"/>
    <row r="1948" s="403" customFormat="1" ht="9.9"/>
    <row r="1949" s="403" customFormat="1" ht="9.9"/>
    <row r="1950" s="403" customFormat="1" ht="9.9"/>
    <row r="1951" s="403" customFormat="1" ht="9.9"/>
    <row r="1952" s="403" customFormat="1" ht="9.9"/>
    <row r="1953" s="403" customFormat="1" ht="9.9"/>
    <row r="1954" s="403" customFormat="1" ht="9.9"/>
    <row r="1955" s="403" customFormat="1" ht="9.9"/>
    <row r="1956" s="403" customFormat="1" ht="9.9"/>
    <row r="1957" s="403" customFormat="1" ht="9.9"/>
    <row r="1958" s="403" customFormat="1" ht="9.9"/>
    <row r="1959" s="403" customFormat="1" ht="9.9"/>
    <row r="1960" s="403" customFormat="1" ht="9.9"/>
    <row r="1961" s="403" customFormat="1" ht="9.9"/>
    <row r="1962" s="403" customFormat="1" ht="9.9"/>
    <row r="1963" s="403" customFormat="1" ht="9.9"/>
    <row r="1964" s="403" customFormat="1" ht="9.9"/>
    <row r="1965" s="403" customFormat="1" ht="9.9"/>
    <row r="1966" s="403" customFormat="1" ht="9.9"/>
    <row r="1967" s="403" customFormat="1" ht="9.9"/>
    <row r="1968" s="403" customFormat="1" ht="9.9"/>
    <row r="1969" s="403" customFormat="1" ht="9.9"/>
    <row r="1970" s="403" customFormat="1" ht="9.9"/>
    <row r="1971" s="403" customFormat="1" ht="9.9"/>
    <row r="1972" s="403" customFormat="1" ht="9.9"/>
    <row r="1973" s="403" customFormat="1" ht="9.9"/>
    <row r="1974" s="403" customFormat="1" ht="9.9"/>
    <row r="1975" s="403" customFormat="1" ht="9.9"/>
    <row r="1976" s="403" customFormat="1" ht="9.9"/>
    <row r="1977" s="403" customFormat="1" ht="9.9"/>
    <row r="1978" s="403" customFormat="1" ht="9.9"/>
    <row r="1979" s="403" customFormat="1" ht="9.9"/>
    <row r="1980" s="403" customFormat="1" ht="9.9"/>
    <row r="1981" s="403" customFormat="1" ht="9.9"/>
    <row r="1982" s="403" customFormat="1" ht="9.9"/>
    <row r="1983" s="403" customFormat="1" ht="9.9"/>
    <row r="1984" s="403" customFormat="1" ht="9.9"/>
    <row r="1985" s="403" customFormat="1" ht="9.9"/>
    <row r="1986" s="403" customFormat="1" ht="9.9"/>
    <row r="1987" s="403" customFormat="1" ht="9.9"/>
    <row r="1988" s="403" customFormat="1" ht="9.9"/>
    <row r="1989" s="403" customFormat="1" ht="9.9"/>
    <row r="1990" s="403" customFormat="1" ht="9.9"/>
    <row r="1991" s="403" customFormat="1" ht="9.9"/>
    <row r="1992" s="403" customFormat="1" ht="9.9"/>
    <row r="1993" s="403" customFormat="1" ht="9.9"/>
    <row r="1994" s="403" customFormat="1" ht="9.9"/>
    <row r="1995" s="403" customFormat="1" ht="9.9"/>
    <row r="1996" s="403" customFormat="1" ht="9.9"/>
    <row r="1997" s="403" customFormat="1" ht="9.9"/>
    <row r="1998" s="403" customFormat="1" ht="9.9"/>
    <row r="1999" s="403" customFormat="1" ht="9.9"/>
    <row r="2000" s="403" customFormat="1" ht="9.9"/>
    <row r="2001" s="403" customFormat="1" ht="9.9"/>
    <row r="2002" s="403" customFormat="1" ht="9.9"/>
    <row r="2003" s="403" customFormat="1" ht="9.9"/>
    <row r="2004" s="403" customFormat="1" ht="9.9"/>
    <row r="2005" s="403" customFormat="1" ht="9.9"/>
    <row r="2006" s="403" customFormat="1" ht="9.9"/>
    <row r="2007" s="403" customFormat="1" ht="9.9"/>
    <row r="2008" s="403" customFormat="1" ht="9.9"/>
    <row r="2009" s="403" customFormat="1" ht="9.9"/>
    <row r="2010" s="403" customFormat="1" ht="9.9"/>
    <row r="2011" s="403" customFormat="1" ht="9.9"/>
    <row r="2012" s="403" customFormat="1" ht="9.9"/>
    <row r="2013" s="403" customFormat="1" ht="9.9"/>
    <row r="2014" s="403" customFormat="1" ht="9.9"/>
    <row r="2015" s="403" customFormat="1" ht="9.9"/>
    <row r="2016" s="403" customFormat="1" ht="9.9"/>
    <row r="2017" s="403" customFormat="1" ht="9.9"/>
    <row r="2018" s="403" customFormat="1" ht="9.9"/>
    <row r="2019" s="403" customFormat="1" ht="9.9"/>
    <row r="2020" s="403" customFormat="1" ht="9.9"/>
    <row r="2021" s="403" customFormat="1" ht="9.9"/>
    <row r="2022" s="403" customFormat="1" ht="9.9"/>
    <row r="2023" s="403" customFormat="1" ht="9.9"/>
    <row r="2024" s="403" customFormat="1" ht="9.9"/>
    <row r="2025" s="403" customFormat="1" ht="9.9"/>
    <row r="2026" s="403" customFormat="1" ht="9.9"/>
    <row r="2027" s="403" customFormat="1" ht="9.9"/>
    <row r="2028" s="403" customFormat="1" ht="9.9"/>
    <row r="2029" s="403" customFormat="1" ht="9.9"/>
    <row r="2030" s="403" customFormat="1" ht="9.9"/>
    <row r="2031" s="403" customFormat="1" ht="9.9"/>
    <row r="2032" s="403" customFormat="1" ht="9.9"/>
    <row r="2033" s="403" customFormat="1" ht="9.9"/>
    <row r="2034" s="403" customFormat="1" ht="9.9"/>
    <row r="2035" s="403" customFormat="1" ht="9.9"/>
    <row r="2036" s="403" customFormat="1" ht="9.9"/>
    <row r="2037" s="403" customFormat="1" ht="9.9"/>
    <row r="2038" s="403" customFormat="1" ht="9.9"/>
    <row r="2039" s="403" customFormat="1" ht="9.9"/>
    <row r="2040" s="403" customFormat="1" ht="9.9"/>
    <row r="2041" s="403" customFormat="1" ht="9.9"/>
    <row r="2042" s="403" customFormat="1" ht="9.9"/>
    <row r="2043" s="403" customFormat="1" ht="9.9"/>
    <row r="2044" s="403" customFormat="1" ht="9.9"/>
    <row r="2045" s="403" customFormat="1" ht="9.9"/>
    <row r="2046" s="403" customFormat="1" ht="9.9"/>
    <row r="2047" s="403" customFormat="1" ht="9.9"/>
    <row r="2048" s="403" customFormat="1" ht="9.9"/>
    <row r="2049" s="403" customFormat="1" ht="9.9"/>
    <row r="2050" s="403" customFormat="1" ht="9.9"/>
    <row r="2051" s="403" customFormat="1" ht="9.9"/>
    <row r="2052" s="403" customFormat="1" ht="9.9"/>
    <row r="2053" s="403" customFormat="1" ht="9.9"/>
    <row r="2054" s="403" customFormat="1" ht="9.9"/>
    <row r="2055" s="403" customFormat="1" ht="9.9"/>
    <row r="2056" s="403" customFormat="1" ht="9.9"/>
    <row r="2057" s="403" customFormat="1" ht="9.9"/>
    <row r="2058" s="403" customFormat="1" ht="9.9"/>
    <row r="2059" s="403" customFormat="1" ht="9.9"/>
    <row r="2060" s="403" customFormat="1" ht="9.9"/>
    <row r="2061" s="403" customFormat="1" ht="9.9"/>
    <row r="2062" s="403" customFormat="1" ht="9.9"/>
    <row r="2063" s="403" customFormat="1" ht="9.9"/>
    <row r="2064" s="403" customFormat="1" ht="9.9"/>
    <row r="2065" s="403" customFormat="1" ht="9.9"/>
    <row r="2066" s="403" customFormat="1" ht="9.9"/>
    <row r="2067" s="403" customFormat="1" ht="9.9"/>
    <row r="2068" s="403" customFormat="1" ht="9.9"/>
    <row r="2069" s="403" customFormat="1" ht="9.9"/>
    <row r="2070" s="403" customFormat="1" ht="9.9"/>
    <row r="2071" s="403" customFormat="1" ht="9.9"/>
    <row r="2072" s="403" customFormat="1" ht="9.9"/>
    <row r="2073" s="403" customFormat="1" ht="9.9"/>
    <row r="2074" s="403" customFormat="1" ht="9.9"/>
    <row r="2075" s="403" customFormat="1" ht="9.9"/>
    <row r="2076" s="403" customFormat="1" ht="9.9"/>
    <row r="2077" s="403" customFormat="1" ht="9.9"/>
    <row r="2078" s="403" customFormat="1" ht="9.9"/>
    <row r="2079" s="403" customFormat="1" ht="9.9"/>
    <row r="2080" s="403" customFormat="1" ht="9.9"/>
    <row r="2081" s="403" customFormat="1" ht="9.9"/>
    <row r="2082" s="403" customFormat="1" ht="9.9"/>
    <row r="2083" s="403" customFormat="1" ht="9.9"/>
    <row r="2084" s="403" customFormat="1" ht="9.9"/>
    <row r="2085" s="403" customFormat="1" ht="9.9"/>
    <row r="2086" s="403" customFormat="1" ht="9.9"/>
    <row r="2087" s="403" customFormat="1" ht="9.9"/>
    <row r="2088" s="403" customFormat="1" ht="9.9"/>
    <row r="2089" s="403" customFormat="1" ht="9.9"/>
    <row r="2090" s="403" customFormat="1" ht="9.9"/>
    <row r="2091" s="403" customFormat="1" ht="9.9"/>
    <row r="2092" s="403" customFormat="1" ht="9.9"/>
    <row r="2093" s="403" customFormat="1" ht="9.9"/>
    <row r="2094" s="403" customFormat="1" ht="9.9"/>
    <row r="2095" s="403" customFormat="1" ht="9.9"/>
    <row r="2096" s="403" customFormat="1" ht="9.9"/>
    <row r="2097" s="403" customFormat="1" ht="9.9"/>
    <row r="2098" s="403" customFormat="1" ht="9.9"/>
    <row r="2099" s="403" customFormat="1" ht="9.9"/>
    <row r="2100" s="403" customFormat="1" ht="9.9"/>
    <row r="2101" s="403" customFormat="1" ht="9.9"/>
    <row r="2102" s="403" customFormat="1" ht="9.9"/>
    <row r="2103" s="403" customFormat="1" ht="9.9"/>
    <row r="2104" s="403" customFormat="1" ht="9.9"/>
    <row r="2105" s="403" customFormat="1" ht="9.9"/>
    <row r="2106" s="403" customFormat="1" ht="9.9"/>
    <row r="2107" s="403" customFormat="1" ht="9.9"/>
    <row r="2108" s="403" customFormat="1" ht="9.9"/>
    <row r="2109" s="403" customFormat="1" ht="9.9"/>
    <row r="2110" s="403" customFormat="1" ht="9.9"/>
    <row r="2111" s="403" customFormat="1" ht="9.9"/>
    <row r="2112" s="403" customFormat="1" ht="9.9"/>
    <row r="2113" s="403" customFormat="1" ht="9.9"/>
    <row r="2114" s="403" customFormat="1" ht="9.9"/>
    <row r="2115" s="403" customFormat="1" ht="9.9"/>
    <row r="2116" s="403" customFormat="1" ht="9.9"/>
    <row r="2117" s="403" customFormat="1" ht="9.9"/>
    <row r="2118" s="403" customFormat="1" ht="9.9"/>
    <row r="2119" s="403" customFormat="1" ht="9.9"/>
    <row r="2120" s="403" customFormat="1" ht="9.9"/>
    <row r="2121" s="403" customFormat="1" ht="9.9"/>
    <row r="2122" s="403" customFormat="1" ht="9.9"/>
    <row r="2123" s="403" customFormat="1" ht="9.9"/>
    <row r="2124" s="403" customFormat="1" ht="9.9"/>
    <row r="2125" s="403" customFormat="1" ht="9.9"/>
    <row r="2126" s="403" customFormat="1" ht="9.9"/>
    <row r="2127" s="403" customFormat="1" ht="9.9"/>
    <row r="2128" s="403" customFormat="1" ht="9.9"/>
    <row r="2129" s="403" customFormat="1" ht="9.9"/>
    <row r="2130" s="403" customFormat="1" ht="9.9"/>
    <row r="2131" s="403" customFormat="1" ht="9.9"/>
    <row r="2132" s="403" customFormat="1" ht="9.9"/>
    <row r="2133" s="403" customFormat="1" ht="9.9"/>
    <row r="2134" s="403" customFormat="1" ht="9.9"/>
    <row r="2135" s="403" customFormat="1" ht="9.9"/>
    <row r="2136" s="403" customFormat="1" ht="9.9"/>
    <row r="2137" s="403" customFormat="1" ht="9.9"/>
    <row r="2138" s="403" customFormat="1" ht="9.9"/>
    <row r="2139" s="403" customFormat="1" ht="9.9"/>
    <row r="2140" s="403" customFormat="1" ht="9.9"/>
    <row r="2141" s="403" customFormat="1" ht="9.9"/>
    <row r="2142" s="403" customFormat="1" ht="9.9"/>
    <row r="2143" s="403" customFormat="1" ht="9.9"/>
    <row r="2144" s="403" customFormat="1" ht="9.9"/>
    <row r="2145" s="403" customFormat="1" ht="9.9"/>
    <row r="2146" s="403" customFormat="1" ht="9.9"/>
    <row r="2147" s="403" customFormat="1" ht="9.9"/>
    <row r="2148" s="403" customFormat="1" ht="9.9"/>
    <row r="2149" s="403" customFormat="1" ht="9.9"/>
    <row r="2150" s="403" customFormat="1" ht="9.9"/>
    <row r="2151" s="403" customFormat="1" ht="9.9"/>
    <row r="2152" s="403" customFormat="1" ht="9.9"/>
    <row r="2153" s="403" customFormat="1" ht="9.9"/>
    <row r="2154" s="403" customFormat="1" ht="9.9"/>
    <row r="2155" s="403" customFormat="1" ht="9.9"/>
    <row r="2156" s="403" customFormat="1" ht="9.9"/>
    <row r="2157" s="403" customFormat="1" ht="9.9"/>
    <row r="2158" s="403" customFormat="1" ht="9.9"/>
    <row r="2159" s="403" customFormat="1" ht="9.9"/>
    <row r="2160" s="403" customFormat="1" ht="9.9"/>
    <row r="2161" s="403" customFormat="1" ht="9.9"/>
    <row r="2162" s="403" customFormat="1" ht="9.9"/>
    <row r="2163" s="403" customFormat="1" ht="9.9"/>
    <row r="2164" s="403" customFormat="1" ht="9.9"/>
    <row r="2165" s="403" customFormat="1" ht="9.9"/>
    <row r="2166" s="403" customFormat="1" ht="9.9"/>
    <row r="2167" s="403" customFormat="1" ht="9.9"/>
    <row r="2168" s="403" customFormat="1" ht="9.9"/>
    <row r="2169" s="403" customFormat="1" ht="9.9"/>
    <row r="2170" s="403" customFormat="1" ht="9.9"/>
    <row r="2171" s="403" customFormat="1" ht="9.9"/>
    <row r="2172" s="403" customFormat="1" ht="9.9"/>
    <row r="2173" s="403" customFormat="1" ht="9.9"/>
    <row r="2174" s="403" customFormat="1" ht="9.9"/>
    <row r="2175" s="403" customFormat="1" ht="9.9"/>
    <row r="2176" s="403" customFormat="1" ht="9.9"/>
    <row r="2177" s="403" customFormat="1" ht="9.9"/>
    <row r="2178" s="403" customFormat="1" ht="9.9"/>
    <row r="2179" s="403" customFormat="1" ht="9.9"/>
    <row r="2180" s="403" customFormat="1" ht="9.9"/>
    <row r="2181" s="403" customFormat="1" ht="9.9"/>
    <row r="2182" s="403" customFormat="1" ht="9.9"/>
    <row r="2183" s="403" customFormat="1" ht="9.9"/>
    <row r="2184" s="403" customFormat="1" ht="9.9"/>
    <row r="2185" s="403" customFormat="1" ht="9.9"/>
    <row r="2186" s="403" customFormat="1" ht="9.9"/>
    <row r="2187" s="403" customFormat="1" ht="9.9"/>
    <row r="2188" s="403" customFormat="1" ht="9.9"/>
    <row r="2189" s="403" customFormat="1" ht="9.9"/>
    <row r="2190" s="403" customFormat="1" ht="9.9"/>
    <row r="2191" s="403" customFormat="1" ht="9.9"/>
    <row r="2192" s="403" customFormat="1" ht="9.9"/>
    <row r="2193" s="403" customFormat="1" ht="9.9"/>
    <row r="2194" s="403" customFormat="1" ht="9.9"/>
    <row r="2195" s="403" customFormat="1" ht="9.9"/>
    <row r="2196" s="403" customFormat="1" ht="9.9"/>
    <row r="2197" s="403" customFormat="1" ht="9.9"/>
    <row r="2198" s="403" customFormat="1" ht="9.9"/>
    <row r="2199" s="403" customFormat="1" ht="9.9"/>
    <row r="2200" s="403" customFormat="1" ht="9.9"/>
    <row r="2201" s="403" customFormat="1" ht="9.9"/>
    <row r="2202" s="403" customFormat="1" ht="9.9"/>
    <row r="2203" s="403" customFormat="1" ht="9.9"/>
    <row r="2204" s="403" customFormat="1" ht="9.9"/>
    <row r="2205" s="403" customFormat="1" ht="9.9"/>
    <row r="2206" s="403" customFormat="1" ht="9.9"/>
    <row r="2207" s="403" customFormat="1" ht="9.9"/>
    <row r="2208" s="403" customFormat="1" ht="9.9"/>
    <row r="2209" s="403" customFormat="1" ht="9.9"/>
    <row r="2210" s="403" customFormat="1" ht="9.9"/>
    <row r="2211" s="403" customFormat="1" ht="9.9"/>
    <row r="2212" s="403" customFormat="1" ht="9.9"/>
    <row r="2213" s="403" customFormat="1" ht="9.9"/>
    <row r="2214" s="403" customFormat="1" ht="9.9"/>
    <row r="2215" s="403" customFormat="1" ht="9.9"/>
    <row r="2216" s="403" customFormat="1" ht="9.9"/>
    <row r="2217" s="403" customFormat="1" ht="9.9"/>
    <row r="2218" s="403" customFormat="1" ht="9.9"/>
    <row r="2219" s="403" customFormat="1" ht="9.9"/>
    <row r="2220" s="403" customFormat="1" ht="9.9"/>
    <row r="2221" s="403" customFormat="1" ht="9.9"/>
    <row r="2222" s="403" customFormat="1" ht="9.9"/>
    <row r="2223" s="403" customFormat="1" ht="9.9"/>
    <row r="2224" s="403" customFormat="1" ht="9.9"/>
    <row r="2225" s="403" customFormat="1" ht="9.9"/>
    <row r="2226" s="403" customFormat="1" ht="9.9"/>
    <row r="2227" s="403" customFormat="1" ht="9.9"/>
    <row r="2228" s="403" customFormat="1" ht="9.9"/>
    <row r="2229" s="403" customFormat="1" ht="9.9"/>
    <row r="2230" s="403" customFormat="1" ht="9.9"/>
    <row r="2231" s="403" customFormat="1" ht="9.9"/>
    <row r="2232" s="403" customFormat="1" ht="9.9"/>
    <row r="2233" s="403" customFormat="1" ht="9.9"/>
    <row r="2234" s="403" customFormat="1" ht="9.9"/>
    <row r="2235" s="403" customFormat="1" ht="9.9"/>
    <row r="2236" s="403" customFormat="1" ht="9.9"/>
    <row r="2237" s="403" customFormat="1" ht="9.9"/>
    <row r="2238" s="403" customFormat="1" ht="9.9"/>
    <row r="2239" s="403" customFormat="1" ht="9.9"/>
    <row r="2240" s="403" customFormat="1" ht="9.9"/>
    <row r="2241" s="403" customFormat="1" ht="9.9"/>
    <row r="2242" s="403" customFormat="1" ht="9.9"/>
    <row r="2243" s="403" customFormat="1" ht="9.9"/>
    <row r="2244" s="403" customFormat="1" ht="9.9"/>
    <row r="2245" s="403" customFormat="1" ht="9.9"/>
    <row r="2246" s="403" customFormat="1" ht="9.9"/>
    <row r="2247" s="403" customFormat="1" ht="9.9"/>
    <row r="2248" s="403" customFormat="1" ht="9.9"/>
    <row r="2249" s="403" customFormat="1" ht="9.9"/>
    <row r="2250" s="403" customFormat="1" ht="9.9"/>
    <row r="2251" s="403" customFormat="1" ht="9.9"/>
    <row r="2252" s="403" customFormat="1" ht="9.9"/>
    <row r="2253" s="403" customFormat="1" ht="9.9"/>
    <row r="2254" s="403" customFormat="1" ht="9.9"/>
    <row r="2255" s="403" customFormat="1" ht="9.9"/>
    <row r="2256" s="403" customFormat="1" ht="9.9"/>
    <row r="2257" s="403" customFormat="1" ht="9.9"/>
    <row r="2258" s="403" customFormat="1" ht="9.9"/>
    <row r="2259" s="403" customFormat="1" ht="9.9"/>
    <row r="2260" s="403" customFormat="1" ht="9.9"/>
    <row r="2261" s="403" customFormat="1" ht="9.9"/>
    <row r="2262" s="403" customFormat="1" ht="9.9"/>
    <row r="2263" s="403" customFormat="1" ht="9.9"/>
    <row r="2264" s="403" customFormat="1" ht="9.9"/>
    <row r="2265" s="403" customFormat="1" ht="9.9"/>
    <row r="2266" s="403" customFormat="1" ht="9.9"/>
    <row r="2267" s="403" customFormat="1" ht="9.9"/>
    <row r="2268" s="403" customFormat="1" ht="9.9"/>
    <row r="2269" s="403" customFormat="1" ht="9.9"/>
    <row r="2270" s="403" customFormat="1" ht="9.9"/>
    <row r="2271" s="403" customFormat="1" ht="9.9"/>
    <row r="2272" s="403" customFormat="1" ht="9.9"/>
    <row r="2273" s="403" customFormat="1" ht="9.9"/>
    <row r="2274" s="403" customFormat="1" ht="9.9"/>
    <row r="2275" s="403" customFormat="1" ht="9.9"/>
    <row r="2276" s="403" customFormat="1" ht="9.9"/>
    <row r="2277" s="403" customFormat="1" ht="9.9"/>
    <row r="2278" s="403" customFormat="1" ht="9.9"/>
    <row r="2279" s="403" customFormat="1" ht="9.9"/>
    <row r="2280" s="403" customFormat="1" ht="9.9"/>
    <row r="2281" s="403" customFormat="1" ht="9.9"/>
    <row r="2282" s="403" customFormat="1" ht="9.9"/>
    <row r="2283" s="403" customFormat="1" ht="9.9"/>
    <row r="2284" s="403" customFormat="1" ht="9.9"/>
    <row r="2285" s="403" customFormat="1" ht="9.9"/>
    <row r="2286" s="403" customFormat="1" ht="9.9"/>
    <row r="2287" s="403" customFormat="1" ht="9.9"/>
    <row r="2288" s="403" customFormat="1" ht="9.9"/>
    <row r="2289" s="403" customFormat="1" ht="9.9"/>
    <row r="2290" s="403" customFormat="1" ht="9.9"/>
    <row r="2291" s="403" customFormat="1" ht="9.9"/>
    <row r="2292" s="403" customFormat="1" ht="9.9"/>
    <row r="2293" s="403" customFormat="1" ht="9.9"/>
    <row r="2294" s="403" customFormat="1" ht="9.9"/>
    <row r="2295" s="403" customFormat="1" ht="9.9"/>
    <row r="2296" s="403" customFormat="1" ht="9.9"/>
    <row r="2297" s="403" customFormat="1" ht="9.9"/>
    <row r="2298" s="403" customFormat="1" ht="9.9"/>
    <row r="2299" s="403" customFormat="1" ht="9.9"/>
    <row r="2300" s="403" customFormat="1" ht="9.9"/>
    <row r="2301" s="403" customFormat="1" ht="9.9"/>
    <row r="2302" s="403" customFormat="1" ht="9.9"/>
    <row r="2303" s="403" customFormat="1" ht="9.9"/>
    <row r="2304" s="403" customFormat="1" ht="9.9"/>
    <row r="2305" s="403" customFormat="1" ht="9.9"/>
    <row r="2306" s="403" customFormat="1" ht="9.9"/>
    <row r="2307" s="403" customFormat="1" ht="9.9"/>
    <row r="2308" s="403" customFormat="1" ht="9.9"/>
    <row r="2309" s="403" customFormat="1" ht="9.9"/>
    <row r="2310" s="403" customFormat="1" ht="9.9"/>
    <row r="2311" s="403" customFormat="1" ht="9.9"/>
    <row r="2312" s="403" customFormat="1" ht="9.9"/>
    <row r="2313" s="403" customFormat="1" ht="9.9"/>
    <row r="2314" s="403" customFormat="1" ht="9.9"/>
    <row r="2315" s="403" customFormat="1" ht="9.9"/>
    <row r="2316" s="403" customFormat="1" ht="9.9"/>
    <row r="2317" s="403" customFormat="1" ht="9.9"/>
    <row r="2318" s="403" customFormat="1" ht="9.9"/>
    <row r="2319" s="403" customFormat="1" ht="9.9"/>
    <row r="2320" s="403" customFormat="1" ht="9.9"/>
    <row r="2321" s="403" customFormat="1" ht="9.9"/>
    <row r="2322" s="403" customFormat="1" ht="9.9"/>
    <row r="2323" s="403" customFormat="1" ht="9.9"/>
    <row r="2324" s="403" customFormat="1" ht="9.9"/>
    <row r="2325" s="403" customFormat="1" ht="9.9"/>
    <row r="2326" s="403" customFormat="1" ht="9.9"/>
    <row r="2327" s="403" customFormat="1" ht="9.9"/>
    <row r="2328" s="403" customFormat="1" ht="9.9"/>
    <row r="2329" s="403" customFormat="1" ht="9.9"/>
    <row r="2330" s="403" customFormat="1" ht="9.9"/>
    <row r="2331" s="403" customFormat="1" ht="9.9"/>
    <row r="2332" s="403" customFormat="1" ht="9.9"/>
    <row r="2333" s="403" customFormat="1" ht="9.9"/>
    <row r="2334" s="403" customFormat="1" ht="9.9"/>
    <row r="2335" s="403" customFormat="1" ht="9.9"/>
    <row r="2336" s="403" customFormat="1" ht="9.9"/>
    <row r="2337" s="403" customFormat="1" ht="9.9"/>
    <row r="2338" s="403" customFormat="1" ht="9.9"/>
    <row r="2339" s="403" customFormat="1" ht="9.9"/>
    <row r="2340" s="403" customFormat="1" ht="9.9"/>
    <row r="2341" s="403" customFormat="1" ht="9.9"/>
    <row r="2342" s="403" customFormat="1" ht="9.9"/>
    <row r="2343" s="403" customFormat="1" ht="9.9"/>
    <row r="2344" s="403" customFormat="1" ht="9.9"/>
    <row r="2345" s="403" customFormat="1" ht="9.9"/>
    <row r="2346" s="403" customFormat="1" ht="9.9"/>
    <row r="2347" s="403" customFormat="1" ht="9.9"/>
    <row r="2348" s="403" customFormat="1" ht="9.9"/>
    <row r="2349" s="403" customFormat="1" ht="9.9"/>
    <row r="2350" s="403" customFormat="1" ht="9.9"/>
    <row r="2351" s="403" customFormat="1" ht="9.9"/>
    <row r="2352" s="403" customFormat="1" ht="9.9"/>
    <row r="2353" s="403" customFormat="1" ht="9.9"/>
    <row r="2354" s="403" customFormat="1" ht="9.9"/>
    <row r="2355" s="403" customFormat="1" ht="9.9"/>
    <row r="2356" s="403" customFormat="1" ht="9.9"/>
    <row r="2357" s="403" customFormat="1" ht="9.9"/>
    <row r="2358" s="403" customFormat="1" ht="9.9"/>
    <row r="2359" s="403" customFormat="1" ht="9.9"/>
    <row r="2360" s="403" customFormat="1" ht="9.9"/>
    <row r="2361" s="403" customFormat="1" ht="9.9"/>
    <row r="2362" s="403" customFormat="1" ht="9.9"/>
    <row r="2363" s="403" customFormat="1" ht="9.9"/>
    <row r="2364" s="403" customFormat="1" ht="9.9"/>
    <row r="2365" s="403" customFormat="1" ht="9.9"/>
    <row r="2366" s="403" customFormat="1" ht="9.9"/>
    <row r="2367" s="403" customFormat="1" ht="9.9"/>
    <row r="2368" s="403" customFormat="1" ht="9.9"/>
    <row r="2369" s="403" customFormat="1" ht="9.9"/>
    <row r="2370" s="403" customFormat="1" ht="9.9"/>
    <row r="2371" s="403" customFormat="1" ht="9.9"/>
    <row r="2372" s="403" customFormat="1" ht="9.9"/>
    <row r="2373" s="403" customFormat="1" ht="9.9"/>
    <row r="2374" s="403" customFormat="1" ht="9.9"/>
    <row r="2375" s="403" customFormat="1" ht="9.9"/>
    <row r="2376" s="403" customFormat="1" ht="9.9"/>
    <row r="2377" s="403" customFormat="1" ht="9.9"/>
    <row r="2378" s="403" customFormat="1" ht="9.9"/>
    <row r="2379" s="403" customFormat="1" ht="9.9"/>
    <row r="2380" s="403" customFormat="1" ht="9.9"/>
    <row r="2381" s="403" customFormat="1" ht="9.9"/>
    <row r="2382" s="403" customFormat="1" ht="9.9"/>
    <row r="2383" s="403" customFormat="1" ht="9.9"/>
    <row r="2384" s="403" customFormat="1" ht="9.9"/>
    <row r="2385" s="403" customFormat="1" ht="9.9"/>
    <row r="2386" s="403" customFormat="1" ht="9.9"/>
    <row r="2387" s="403" customFormat="1" ht="9.9"/>
    <row r="2388" s="403" customFormat="1" ht="9.9"/>
    <row r="2389" s="403" customFormat="1" ht="9.9"/>
    <row r="2390" s="403" customFormat="1" ht="9.9"/>
    <row r="2391" s="403" customFormat="1" ht="9.9"/>
    <row r="2392" s="403" customFormat="1" ht="9.9"/>
    <row r="2393" s="403" customFormat="1" ht="9.9"/>
    <row r="2394" s="403" customFormat="1" ht="9.9"/>
    <row r="2395" s="403" customFormat="1" ht="9.9"/>
    <row r="2396" s="403" customFormat="1" ht="9.9"/>
    <row r="2397" s="403" customFormat="1" ht="9.9"/>
    <row r="2398" s="403" customFormat="1" ht="9.9"/>
    <row r="2399" s="403" customFormat="1" ht="9.9"/>
    <row r="2400" s="403" customFormat="1" ht="9.9"/>
    <row r="2401" s="403" customFormat="1" ht="9.9"/>
    <row r="2402" s="403" customFormat="1" ht="9.9"/>
    <row r="2403" s="403" customFormat="1" ht="9.9"/>
    <row r="2404" s="403" customFormat="1" ht="9.9"/>
    <row r="2405" s="403" customFormat="1" ht="9.9"/>
    <row r="2406" s="403" customFormat="1" ht="9.9"/>
    <row r="2407" s="403" customFormat="1" ht="9.9"/>
    <row r="2408" s="403" customFormat="1" ht="9.9"/>
    <row r="2409" s="403" customFormat="1" ht="9.9"/>
    <row r="2410" s="403" customFormat="1" ht="9.9"/>
    <row r="2411" s="403" customFormat="1" ht="9.9"/>
    <row r="2412" s="403" customFormat="1" ht="9.9"/>
    <row r="2413" s="403" customFormat="1" ht="9.9"/>
    <row r="2414" s="403" customFormat="1" ht="9.9"/>
    <row r="2415" s="403" customFormat="1" ht="9.9"/>
    <row r="2416" s="403" customFormat="1" ht="9.9"/>
    <row r="2417" s="403" customFormat="1" ht="9.9"/>
    <row r="2418" s="403" customFormat="1" ht="9.9"/>
    <row r="2419" s="403" customFormat="1" ht="9.9"/>
    <row r="2420" s="403" customFormat="1" ht="9.9"/>
    <row r="2421" s="403" customFormat="1" ht="9.9"/>
    <row r="2422" s="403" customFormat="1" ht="9.9"/>
    <row r="2423" s="403" customFormat="1" ht="9.9"/>
    <row r="2424" s="403" customFormat="1" ht="9.9"/>
    <row r="2425" s="403" customFormat="1" ht="9.9"/>
    <row r="2426" s="403" customFormat="1" ht="9.9"/>
    <row r="2427" s="403" customFormat="1" ht="9.9"/>
    <row r="2428" s="403" customFormat="1" ht="9.9"/>
    <row r="2429" s="403" customFormat="1" ht="9.9"/>
    <row r="2430" s="403" customFormat="1" ht="9.9"/>
    <row r="2431" s="403" customFormat="1" ht="9.9"/>
    <row r="2432" s="403" customFormat="1" ht="9.9"/>
    <row r="2433" s="403" customFormat="1" ht="9.9"/>
    <row r="2434" s="403" customFormat="1" ht="9.9"/>
    <row r="2435" s="403" customFormat="1" ht="9.9"/>
    <row r="2436" s="403" customFormat="1" ht="9.9"/>
    <row r="2437" s="403" customFormat="1" ht="9.9"/>
    <row r="2438" s="403" customFormat="1" ht="9.9"/>
    <row r="2439" s="403" customFormat="1" ht="9.9"/>
    <row r="2440" s="403" customFormat="1" ht="9.9"/>
    <row r="2441" s="403" customFormat="1" ht="9.9"/>
    <row r="2442" s="403" customFormat="1" ht="9.9"/>
    <row r="2443" s="403" customFormat="1" ht="9.9"/>
    <row r="2444" s="403" customFormat="1" ht="9.9"/>
    <row r="2445" s="403" customFormat="1" ht="9.9"/>
    <row r="2446" s="403" customFormat="1" ht="9.9"/>
    <row r="2447" s="403" customFormat="1" ht="9.9"/>
    <row r="2448" s="403" customFormat="1" ht="9.9"/>
    <row r="2449" s="403" customFormat="1" ht="9.9"/>
    <row r="2450" s="403" customFormat="1" ht="9.9"/>
    <row r="2451" s="403" customFormat="1" ht="9.9"/>
    <row r="2452" s="403" customFormat="1" ht="9.9"/>
    <row r="2453" s="403" customFormat="1" ht="9.9"/>
    <row r="2454" s="403" customFormat="1" ht="9.9"/>
    <row r="2455" s="403" customFormat="1" ht="9.9"/>
    <row r="2456" s="403" customFormat="1" ht="9.9"/>
    <row r="2457" s="403" customFormat="1" ht="9.9"/>
    <row r="2458" s="403" customFormat="1" ht="9.9"/>
    <row r="2459" s="403" customFormat="1" ht="9.9"/>
    <row r="2460" s="403" customFormat="1" ht="9.9"/>
    <row r="2461" s="403" customFormat="1" ht="9.9"/>
    <row r="2462" s="403" customFormat="1" ht="9.9"/>
    <row r="2463" s="403" customFormat="1" ht="9.9"/>
    <row r="2464" s="403" customFormat="1" ht="9.9"/>
    <row r="2465" s="403" customFormat="1" ht="9.9"/>
    <row r="2466" s="403" customFormat="1" ht="9.9"/>
    <row r="2467" s="403" customFormat="1" ht="9.9"/>
    <row r="2468" s="403" customFormat="1" ht="9.9"/>
    <row r="2469" s="403" customFormat="1" ht="9.9"/>
    <row r="2470" s="403" customFormat="1" ht="9.9"/>
    <row r="2471" s="403" customFormat="1" ht="9.9"/>
    <row r="2472" s="403" customFormat="1" ht="9.9"/>
    <row r="2473" s="403" customFormat="1" ht="9.9"/>
    <row r="2474" s="403" customFormat="1" ht="9.9"/>
    <row r="2475" s="403" customFormat="1" ht="9.9"/>
    <row r="2476" s="403" customFormat="1" ht="9.9"/>
    <row r="2477" s="403" customFormat="1" ht="9.9"/>
    <row r="2478" s="403" customFormat="1" ht="9.9"/>
    <row r="2479" s="403" customFormat="1" ht="9.9"/>
    <row r="2480" s="403" customFormat="1" ht="9.9"/>
    <row r="2481" s="403" customFormat="1" ht="9.9"/>
    <row r="2482" s="403" customFormat="1" ht="9.9"/>
    <row r="2483" s="403" customFormat="1" ht="9.9"/>
    <row r="2484" s="403" customFormat="1" ht="9.9"/>
    <row r="2485" s="403" customFormat="1" ht="9.9"/>
    <row r="2486" s="403" customFormat="1" ht="9.9"/>
    <row r="2487" s="403" customFormat="1" ht="9.9"/>
    <row r="2488" s="403" customFormat="1" ht="9.9"/>
    <row r="2489" s="403" customFormat="1" ht="9.9"/>
    <row r="2490" s="403" customFormat="1" ht="9.9"/>
    <row r="2491" s="403" customFormat="1" ht="9.9"/>
    <row r="2492" s="403" customFormat="1" ht="9.9"/>
    <row r="2493" s="403" customFormat="1" ht="9.9"/>
    <row r="2494" s="403" customFormat="1" ht="9.9"/>
    <row r="2495" s="403" customFormat="1" ht="9.9"/>
    <row r="2496" s="403" customFormat="1" ht="9.9"/>
    <row r="2497" s="403" customFormat="1" ht="9.9"/>
    <row r="2498" s="403" customFormat="1" ht="9.9"/>
    <row r="2499" s="403" customFormat="1" ht="9.9"/>
    <row r="2500" s="403" customFormat="1" ht="9.9"/>
    <row r="2501" s="403" customFormat="1" ht="9.9"/>
    <row r="2502" s="403" customFormat="1" ht="9.9"/>
    <row r="2503" s="403" customFormat="1" ht="9.9"/>
    <row r="2504" s="403" customFormat="1" ht="9.9"/>
    <row r="2505" s="403" customFormat="1" ht="9.9"/>
    <row r="2506" s="403" customFormat="1" ht="9.9"/>
    <row r="2507" s="403" customFormat="1" ht="9.9"/>
    <row r="2508" s="403" customFormat="1" ht="9.9"/>
    <row r="2509" s="403" customFormat="1" ht="9.9"/>
    <row r="2510" s="403" customFormat="1" ht="9.9"/>
    <row r="2511" s="403" customFormat="1" ht="9.9"/>
    <row r="2512" s="403" customFormat="1" ht="9.9"/>
    <row r="2513" s="403" customFormat="1" ht="9.9"/>
    <row r="2514" s="403" customFormat="1" ht="9.9"/>
    <row r="2515" s="403" customFormat="1" ht="9.9"/>
    <row r="2516" s="403" customFormat="1" ht="9.9"/>
    <row r="2517" s="403" customFormat="1" ht="9.9"/>
    <row r="2518" s="403" customFormat="1" ht="9.9"/>
    <row r="2519" s="403" customFormat="1" ht="9.9"/>
    <row r="2520" s="403" customFormat="1" ht="9.9"/>
    <row r="2521" s="403" customFormat="1" ht="9.9"/>
    <row r="2522" s="403" customFormat="1" ht="9.9"/>
    <row r="2523" s="403" customFormat="1" ht="9.9"/>
    <row r="2524" s="403" customFormat="1" ht="9.9"/>
    <row r="2525" s="403" customFormat="1" ht="9.9"/>
    <row r="2526" s="403" customFormat="1" ht="9.9"/>
    <row r="2527" s="403" customFormat="1" ht="9.9"/>
    <row r="2528" s="403" customFormat="1" ht="9.9"/>
    <row r="2529" s="403" customFormat="1" ht="9.9"/>
    <row r="2530" s="403" customFormat="1" ht="9.9"/>
    <row r="2531" s="403" customFormat="1" ht="9.9"/>
    <row r="2532" s="403" customFormat="1" ht="9.9"/>
    <row r="2533" s="403" customFormat="1" ht="9.9"/>
    <row r="2534" s="403" customFormat="1" ht="9.9"/>
    <row r="2535" s="403" customFormat="1" ht="9.9"/>
    <row r="2536" s="403" customFormat="1" ht="9.9"/>
    <row r="2537" s="403" customFormat="1" ht="9.9"/>
    <row r="2538" s="403" customFormat="1" ht="9.9"/>
    <row r="2539" s="403" customFormat="1" ht="9.9"/>
    <row r="2540" s="403" customFormat="1" ht="9.9"/>
    <row r="2541" s="403" customFormat="1" ht="9.9"/>
    <row r="2542" s="403" customFormat="1" ht="9.9"/>
    <row r="2543" s="403" customFormat="1" ht="9.9"/>
    <row r="2544" s="403" customFormat="1" ht="9.9"/>
    <row r="2545" s="403" customFormat="1" ht="9.9"/>
    <row r="2546" s="403" customFormat="1" ht="9.9"/>
    <row r="2547" s="403" customFormat="1" ht="9.9"/>
    <row r="2548" s="403" customFormat="1" ht="9.9"/>
    <row r="2549" s="403" customFormat="1" ht="9.9"/>
    <row r="2550" s="403" customFormat="1" ht="9.9"/>
    <row r="2551" s="403" customFormat="1" ht="9.9"/>
    <row r="2552" s="403" customFormat="1" ht="9.9"/>
    <row r="2553" s="403" customFormat="1" ht="9.9"/>
    <row r="2554" s="403" customFormat="1" ht="9.9"/>
    <row r="2555" s="403" customFormat="1" ht="9.9"/>
    <row r="2556" s="403" customFormat="1" ht="9.9"/>
    <row r="2557" s="403" customFormat="1" ht="9.9"/>
    <row r="2558" s="403" customFormat="1" ht="9.9"/>
    <row r="2559" s="403" customFormat="1" ht="9.9"/>
    <row r="2560" s="403" customFormat="1" ht="9.9"/>
    <row r="2561" s="403" customFormat="1" ht="9.9"/>
    <row r="2562" s="403" customFormat="1" ht="9.9"/>
    <row r="2563" s="403" customFormat="1" ht="9.9"/>
    <row r="2564" s="403" customFormat="1" ht="9.9"/>
    <row r="2565" s="403" customFormat="1" ht="9.9"/>
    <row r="2566" s="403" customFormat="1" ht="9.9"/>
    <row r="2567" s="403" customFormat="1" ht="9.9"/>
    <row r="2568" s="403" customFormat="1" ht="9.9"/>
    <row r="2569" s="403" customFormat="1" ht="9.9"/>
    <row r="2570" s="403" customFormat="1" ht="9.9"/>
    <row r="2571" s="403" customFormat="1" ht="9.9"/>
    <row r="2572" s="403" customFormat="1" ht="9.9"/>
    <row r="2573" s="403" customFormat="1" ht="9.9"/>
    <row r="2574" s="403" customFormat="1" ht="9.9"/>
    <row r="2575" s="403" customFormat="1" ht="9.9"/>
    <row r="2576" s="403" customFormat="1" ht="9.9"/>
    <row r="2577" s="403" customFormat="1" ht="9.9"/>
    <row r="2578" s="403" customFormat="1" ht="9.9"/>
    <row r="2579" s="403" customFormat="1" ht="9.9"/>
    <row r="2580" s="403" customFormat="1" ht="9.9"/>
    <row r="2581" s="403" customFormat="1" ht="9.9"/>
    <row r="2582" s="403" customFormat="1" ht="9.9"/>
    <row r="2583" s="403" customFormat="1" ht="9.9"/>
    <row r="2584" s="403" customFormat="1" ht="9.9"/>
    <row r="2585" s="403" customFormat="1" ht="9.9"/>
    <row r="2586" s="403" customFormat="1" ht="9.9"/>
    <row r="2587" s="403" customFormat="1" ht="9.9"/>
    <row r="2588" s="403" customFormat="1" ht="9.9"/>
    <row r="2589" s="403" customFormat="1" ht="9.9"/>
    <row r="2590" s="403" customFormat="1" ht="9.9"/>
    <row r="2591" s="403" customFormat="1" ht="9.9"/>
    <row r="2592" s="403" customFormat="1" ht="9.9"/>
    <row r="2593" s="403" customFormat="1" ht="9.9"/>
    <row r="2594" s="403" customFormat="1" ht="9.9"/>
    <row r="2595" s="403" customFormat="1" ht="9.9"/>
    <row r="2596" s="403" customFormat="1" ht="9.9"/>
    <row r="2597" s="403" customFormat="1" ht="9.9"/>
    <row r="2598" s="403" customFormat="1" ht="9.9"/>
    <row r="2599" s="403" customFormat="1" ht="9.9"/>
    <row r="2600" s="403" customFormat="1" ht="9.9"/>
    <row r="2601" s="403" customFormat="1" ht="9.9"/>
    <row r="2602" s="403" customFormat="1" ht="9.9"/>
    <row r="2603" s="403" customFormat="1" ht="9.9"/>
    <row r="2604" s="403" customFormat="1" ht="9.9"/>
    <row r="2605" s="403" customFormat="1" ht="9.9"/>
    <row r="2606" s="403" customFormat="1" ht="9.9"/>
    <row r="2607" s="403" customFormat="1" ht="9.9"/>
    <row r="2608" s="403" customFormat="1" ht="9.9"/>
    <row r="2609" s="403" customFormat="1" ht="9.9"/>
    <row r="2610" s="403" customFormat="1" ht="9.9"/>
    <row r="2611" s="403" customFormat="1" ht="9.9"/>
    <row r="2612" s="403" customFormat="1" ht="9.9"/>
    <row r="2613" s="403" customFormat="1" ht="9.9"/>
    <row r="2614" s="403" customFormat="1" ht="9.9"/>
    <row r="2615" s="403" customFormat="1" ht="9.9"/>
    <row r="2616" s="403" customFormat="1" ht="9.9"/>
    <row r="2617" s="403" customFormat="1" ht="9.9"/>
    <row r="2618" s="403" customFormat="1" ht="9.9"/>
    <row r="2619" s="403" customFormat="1" ht="9.9"/>
    <row r="2620" s="403" customFormat="1" ht="9.9"/>
    <row r="2621" s="403" customFormat="1" ht="9.9"/>
    <row r="2622" s="403" customFormat="1" ht="9.9"/>
    <row r="2623" s="403" customFormat="1" ht="9.9"/>
    <row r="2624" s="403" customFormat="1" ht="9.9"/>
    <row r="2625" s="403" customFormat="1" ht="9.9"/>
    <row r="2626" s="403" customFormat="1" ht="9.9"/>
    <row r="2627" s="403" customFormat="1" ht="9.9"/>
    <row r="2628" s="403" customFormat="1" ht="9.9"/>
    <row r="2629" s="403" customFormat="1" ht="9.9"/>
    <row r="2630" s="403" customFormat="1" ht="9.9"/>
    <row r="2631" s="403" customFormat="1" ht="9.9"/>
    <row r="2632" s="403" customFormat="1" ht="9.9"/>
    <row r="2633" s="403" customFormat="1" ht="9.9"/>
    <row r="2634" s="403" customFormat="1" ht="9.9"/>
    <row r="2635" s="403" customFormat="1" ht="9.9"/>
    <row r="2636" s="403" customFormat="1" ht="9.9"/>
    <row r="2637" s="403" customFormat="1" ht="9.9"/>
    <row r="2638" s="403" customFormat="1" ht="9.9"/>
    <row r="2639" s="403" customFormat="1" ht="9.9"/>
    <row r="2640" s="403" customFormat="1" ht="9.9"/>
    <row r="2641" s="403" customFormat="1" ht="9.9"/>
    <row r="2642" s="403" customFormat="1" ht="9.9"/>
    <row r="2643" s="403" customFormat="1" ht="9.9"/>
    <row r="2644" s="403" customFormat="1" ht="9.9"/>
    <row r="2645" s="403" customFormat="1" ht="9.9"/>
    <row r="2646" s="403" customFormat="1" ht="9.9"/>
    <row r="2647" s="403" customFormat="1" ht="9.9"/>
    <row r="2648" s="403" customFormat="1" ht="9.9"/>
    <row r="2649" s="403" customFormat="1" ht="9.9"/>
    <row r="2650" s="403" customFormat="1" ht="9.9"/>
    <row r="2651" s="403" customFormat="1" ht="9.9"/>
    <row r="2652" s="403" customFormat="1" ht="9.9"/>
    <row r="2653" s="403" customFormat="1" ht="9.9"/>
    <row r="2654" s="403" customFormat="1" ht="9.9"/>
    <row r="2655" s="403" customFormat="1" ht="9.9"/>
    <row r="2656" s="403" customFormat="1" ht="9.9"/>
    <row r="2657" s="403" customFormat="1" ht="9.9"/>
    <row r="2658" s="403" customFormat="1" ht="9.9"/>
    <row r="2659" s="403" customFormat="1" ht="9.9"/>
    <row r="2660" s="403" customFormat="1" ht="9.9"/>
    <row r="2661" s="403" customFormat="1" ht="9.9"/>
    <row r="2662" s="403" customFormat="1" ht="9.9"/>
    <row r="2663" s="403" customFormat="1" ht="9.9"/>
    <row r="2664" s="403" customFormat="1" ht="9.9"/>
    <row r="2665" s="403" customFormat="1" ht="9.9"/>
    <row r="2666" s="403" customFormat="1" ht="9.9"/>
    <row r="2667" s="403" customFormat="1" ht="9.9"/>
    <row r="2668" s="403" customFormat="1" ht="9.9"/>
    <row r="2669" s="403" customFormat="1" ht="9.9"/>
    <row r="2670" s="403" customFormat="1" ht="9.9"/>
    <row r="2671" s="403" customFormat="1" ht="9.9"/>
    <row r="2672" s="403" customFormat="1" ht="9.9"/>
    <row r="2673" s="403" customFormat="1" ht="9.9"/>
    <row r="2674" s="403" customFormat="1" ht="9.9"/>
    <row r="2675" s="403" customFormat="1" ht="9.9"/>
    <row r="2676" s="403" customFormat="1" ht="9.9"/>
    <row r="2677" s="403" customFormat="1" ht="9.9"/>
    <row r="2678" s="403" customFormat="1" ht="9.9"/>
    <row r="2679" s="403" customFormat="1" ht="9.9"/>
    <row r="2680" s="403" customFormat="1" ht="9.9"/>
    <row r="2681" s="403" customFormat="1" ht="9.9"/>
    <row r="2682" s="403" customFormat="1" ht="9.9"/>
    <row r="2683" s="403" customFormat="1" ht="9.9"/>
    <row r="2684" s="403" customFormat="1" ht="9.9"/>
    <row r="2685" s="403" customFormat="1" ht="9.9"/>
    <row r="2686" s="403" customFormat="1" ht="9.9"/>
    <row r="2687" s="403" customFormat="1" ht="9.9"/>
    <row r="2688" s="403" customFormat="1" ht="9.9"/>
    <row r="2689" s="403" customFormat="1" ht="9.9"/>
    <row r="2690" s="403" customFormat="1" ht="9.9"/>
    <row r="2691" s="403" customFormat="1" ht="9.9"/>
    <row r="2692" s="403" customFormat="1" ht="9.9"/>
    <row r="2693" s="403" customFormat="1" ht="9.9"/>
    <row r="2694" s="403" customFormat="1" ht="9.9"/>
    <row r="2695" s="403" customFormat="1" ht="9.9"/>
    <row r="2696" s="403" customFormat="1" ht="9.9"/>
    <row r="2697" s="403" customFormat="1" ht="9.9"/>
    <row r="2698" s="403" customFormat="1" ht="9.9"/>
    <row r="2699" s="403" customFormat="1" ht="9.9"/>
    <row r="2700" s="403" customFormat="1" ht="9.9"/>
    <row r="2701" s="403" customFormat="1" ht="9.9"/>
    <row r="2702" s="403" customFormat="1" ht="9.9"/>
    <row r="2703" s="403" customFormat="1" ht="9.9"/>
    <row r="2704" s="403" customFormat="1" ht="9.9"/>
    <row r="2705" s="403" customFormat="1" ht="9.9"/>
    <row r="2706" s="403" customFormat="1" ht="9.9"/>
    <row r="2707" s="403" customFormat="1" ht="9.9"/>
    <row r="2708" s="403" customFormat="1" ht="9.9"/>
    <row r="2709" s="403" customFormat="1" ht="9.9"/>
    <row r="2710" s="403" customFormat="1" ht="9.9"/>
    <row r="2711" s="403" customFormat="1" ht="9.9"/>
    <row r="2712" s="403" customFormat="1" ht="9.9"/>
    <row r="2713" s="403" customFormat="1" ht="9.9"/>
    <row r="2714" s="403" customFormat="1" ht="9.9"/>
    <row r="2715" s="403" customFormat="1" ht="9.9"/>
    <row r="2716" s="403" customFormat="1" ht="9.9"/>
    <row r="2717" s="403" customFormat="1" ht="9.9"/>
    <row r="2718" s="403" customFormat="1" ht="9.9"/>
    <row r="2719" s="403" customFormat="1" ht="9.9"/>
    <row r="2720" s="403" customFormat="1" ht="9.9"/>
    <row r="2721" s="403" customFormat="1" ht="9.9"/>
    <row r="2722" s="403" customFormat="1" ht="9.9"/>
    <row r="2723" s="403" customFormat="1" ht="9.9"/>
    <row r="2724" s="403" customFormat="1" ht="9.9"/>
    <row r="2725" s="403" customFormat="1" ht="9.9"/>
    <row r="2726" s="403" customFormat="1" ht="9.9"/>
    <row r="2727" s="403" customFormat="1" ht="9.9"/>
    <row r="2728" s="403" customFormat="1" ht="9.9"/>
    <row r="2729" s="403" customFormat="1" ht="9.9"/>
    <row r="2730" s="403" customFormat="1" ht="9.9"/>
    <row r="2731" s="403" customFormat="1" ht="9.9"/>
    <row r="2732" s="403" customFormat="1" ht="9.9"/>
    <row r="2733" s="403" customFormat="1" ht="9.9"/>
    <row r="2734" s="403" customFormat="1" ht="9.9"/>
    <row r="2735" s="403" customFormat="1" ht="9.9"/>
    <row r="2736" s="403" customFormat="1" ht="9.9"/>
    <row r="2737" s="403" customFormat="1" ht="9.9"/>
    <row r="2738" s="403" customFormat="1" ht="9.9"/>
    <row r="2739" s="403" customFormat="1" ht="9.9"/>
    <row r="2740" s="403" customFormat="1" ht="9.9"/>
    <row r="2741" s="403" customFormat="1" ht="9.9"/>
    <row r="2742" s="403" customFormat="1" ht="9.9"/>
    <row r="2743" s="403" customFormat="1" ht="9.9"/>
    <row r="2744" s="403" customFormat="1" ht="9.9"/>
    <row r="2745" s="403" customFormat="1" ht="9.9"/>
    <row r="2746" s="403" customFormat="1" ht="9.9"/>
    <row r="2747" s="403" customFormat="1" ht="9.9"/>
    <row r="2748" s="403" customFormat="1" ht="9.9"/>
    <row r="2749" s="403" customFormat="1" ht="9.9"/>
    <row r="2750" s="403" customFormat="1" ht="9.9"/>
    <row r="2751" s="403" customFormat="1" ht="9.9"/>
    <row r="2752" s="403" customFormat="1" ht="9.9"/>
    <row r="2753" s="403" customFormat="1" ht="9.9"/>
    <row r="2754" s="403" customFormat="1" ht="9.9"/>
    <row r="2755" s="403" customFormat="1" ht="9.9"/>
    <row r="2756" s="403" customFormat="1" ht="9.9"/>
    <row r="2757" s="403" customFormat="1" ht="9.9"/>
    <row r="2758" s="403" customFormat="1" ht="9.9"/>
    <row r="2759" s="403" customFormat="1" ht="9.9"/>
    <row r="2760" s="403" customFormat="1" ht="9.9"/>
    <row r="2761" s="403" customFormat="1" ht="9.9"/>
    <row r="2762" s="403" customFormat="1" ht="9.9"/>
    <row r="2763" s="403" customFormat="1" ht="9.9"/>
    <row r="2764" s="403" customFormat="1" ht="9.9"/>
    <row r="2765" s="403" customFormat="1" ht="9.9"/>
    <row r="2766" s="403" customFormat="1" ht="9.9"/>
    <row r="2767" s="403" customFormat="1" ht="9.9"/>
    <row r="2768" s="403" customFormat="1" ht="9.9"/>
    <row r="2769" s="403" customFormat="1" ht="9.9"/>
    <row r="2770" s="403" customFormat="1" ht="9.9"/>
    <row r="2771" s="403" customFormat="1" ht="9.9"/>
    <row r="2772" s="403" customFormat="1" ht="9.9"/>
    <row r="2773" s="403" customFormat="1" ht="9.9"/>
    <row r="2774" s="403" customFormat="1" ht="9.9"/>
    <row r="2775" s="403" customFormat="1" ht="9.9"/>
    <row r="2776" s="403" customFormat="1" ht="9.9"/>
    <row r="2777" s="403" customFormat="1" ht="9.9"/>
    <row r="2778" s="403" customFormat="1" ht="9.9"/>
    <row r="2779" s="403" customFormat="1" ht="9.9"/>
    <row r="2780" s="403" customFormat="1" ht="9.9"/>
    <row r="2781" s="403" customFormat="1" ht="9.9"/>
    <row r="2782" s="403" customFormat="1" ht="9.9"/>
    <row r="2783" s="403" customFormat="1" ht="9.9"/>
    <row r="2784" s="403" customFormat="1" ht="9.9"/>
    <row r="2785" s="403" customFormat="1" ht="9.9"/>
    <row r="2786" s="403" customFormat="1" ht="9.9"/>
    <row r="2787" s="403" customFormat="1" ht="9.9"/>
    <row r="2788" s="403" customFormat="1" ht="9.9"/>
    <row r="2789" s="403" customFormat="1" ht="9.9"/>
    <row r="2790" s="403" customFormat="1" ht="9.9"/>
    <row r="2791" s="403" customFormat="1" ht="9.9"/>
    <row r="2792" s="403" customFormat="1" ht="9.9"/>
    <row r="2793" s="403" customFormat="1" ht="9.9"/>
    <row r="2794" s="403" customFormat="1" ht="9.9"/>
    <row r="2795" s="403" customFormat="1" ht="9.9"/>
    <row r="2796" s="403" customFormat="1" ht="9.9"/>
    <row r="2797" s="403" customFormat="1" ht="9.9"/>
    <row r="2798" s="403" customFormat="1" ht="9.9"/>
    <row r="2799" s="403" customFormat="1" ht="9.9"/>
    <row r="2800" s="403" customFormat="1" ht="9.9"/>
    <row r="2801" s="403" customFormat="1" ht="9.9"/>
    <row r="2802" s="403" customFormat="1" ht="9.9"/>
    <row r="2803" s="403" customFormat="1" ht="9.9"/>
    <row r="2804" s="403" customFormat="1" ht="9.9"/>
    <row r="2805" s="403" customFormat="1" ht="9.9"/>
    <row r="2806" s="403" customFormat="1" ht="9.9"/>
    <row r="2807" s="403" customFormat="1" ht="9.9"/>
    <row r="2808" s="403" customFormat="1" ht="9.9"/>
    <row r="2809" s="403" customFormat="1" ht="9.9"/>
    <row r="2810" s="403" customFormat="1" ht="9.9"/>
    <row r="2811" s="403" customFormat="1" ht="9.9"/>
    <row r="2812" s="403" customFormat="1" ht="9.9"/>
    <row r="2813" s="403" customFormat="1" ht="9.9"/>
    <row r="2814" s="403" customFormat="1" ht="9.9"/>
    <row r="2815" s="403" customFormat="1" ht="9.9"/>
    <row r="2816" s="403" customFormat="1" ht="9.9"/>
    <row r="2817" s="403" customFormat="1" ht="9.9"/>
    <row r="2818" s="403" customFormat="1" ht="9.9"/>
    <row r="2819" s="403" customFormat="1" ht="9.9"/>
    <row r="2820" s="403" customFormat="1" ht="9.9"/>
    <row r="2821" s="403" customFormat="1" ht="9.9"/>
    <row r="2822" s="403" customFormat="1" ht="9.9"/>
    <row r="2823" s="403" customFormat="1" ht="9.9"/>
    <row r="2824" s="403" customFormat="1" ht="9.9"/>
    <row r="2825" s="403" customFormat="1" ht="9.9"/>
    <row r="2826" s="403" customFormat="1" ht="9.9"/>
    <row r="2827" s="403" customFormat="1" ht="9.9"/>
    <row r="2828" s="403" customFormat="1" ht="9.9"/>
    <row r="2829" s="403" customFormat="1" ht="9.9"/>
    <row r="2830" s="403" customFormat="1" ht="9.9"/>
    <row r="2831" s="403" customFormat="1" ht="9.9"/>
    <row r="2832" s="403" customFormat="1" ht="9.9"/>
    <row r="2833" s="403" customFormat="1" ht="9.9"/>
    <row r="2834" s="403" customFormat="1" ht="9.9"/>
    <row r="2835" s="403" customFormat="1" ht="9.9"/>
    <row r="2836" s="403" customFormat="1" ht="9.9"/>
    <row r="2837" s="403" customFormat="1" ht="9.9"/>
    <row r="2838" s="403" customFormat="1" ht="9.9"/>
    <row r="2839" s="403" customFormat="1" ht="9.9"/>
    <row r="2840" s="403" customFormat="1" ht="9.9"/>
    <row r="2841" s="403" customFormat="1" ht="9.9"/>
    <row r="2842" s="403" customFormat="1" ht="9.9"/>
    <row r="2843" s="403" customFormat="1" ht="9.9"/>
    <row r="2844" s="403" customFormat="1" ht="9.9"/>
    <row r="2845" s="403" customFormat="1" ht="9.9"/>
    <row r="2846" s="403" customFormat="1" ht="9.9"/>
    <row r="2847" s="403" customFormat="1" ht="9.9"/>
    <row r="2848" s="403" customFormat="1" ht="9.9"/>
    <row r="2849" s="403" customFormat="1" ht="9.9"/>
    <row r="2850" s="403" customFormat="1" ht="9.9"/>
    <row r="2851" s="403" customFormat="1" ht="9.9"/>
    <row r="2852" s="403" customFormat="1" ht="9.9"/>
    <row r="2853" s="403" customFormat="1" ht="9.9"/>
    <row r="2854" s="403" customFormat="1" ht="9.9"/>
    <row r="2855" s="403" customFormat="1" ht="9.9"/>
    <row r="2856" s="403" customFormat="1" ht="9.9"/>
    <row r="2857" s="403" customFormat="1" ht="9.9"/>
    <row r="2858" s="403" customFormat="1" ht="9.9"/>
    <row r="2859" s="403" customFormat="1" ht="9.9"/>
    <row r="2860" s="403" customFormat="1" ht="9.9"/>
    <row r="2861" s="403" customFormat="1" ht="9.9"/>
    <row r="2862" s="403" customFormat="1" ht="9.9"/>
    <row r="2863" s="403" customFormat="1" ht="9.9"/>
    <row r="2864" s="403" customFormat="1" ht="9.9"/>
    <row r="2865" s="403" customFormat="1" ht="9.9"/>
    <row r="2866" s="403" customFormat="1" ht="9.9"/>
    <row r="2867" s="403" customFormat="1" ht="9.9"/>
    <row r="2868" s="403" customFormat="1" ht="9.9"/>
    <row r="2869" s="403" customFormat="1" ht="9.9"/>
    <row r="2870" s="403" customFormat="1" ht="9.9"/>
    <row r="2871" s="403" customFormat="1" ht="9.9"/>
    <row r="2872" s="403" customFormat="1" ht="9.9"/>
    <row r="2873" s="403" customFormat="1" ht="9.9"/>
    <row r="2874" s="403" customFormat="1" ht="9.9"/>
    <row r="2875" s="403" customFormat="1" ht="9.9"/>
    <row r="2876" s="403" customFormat="1" ht="9.9"/>
  </sheetData>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193" r:id="rId3" name="NavigateCombBox">
              <controlPr defaultSize="0" autoPict="0" macro="[0]!NavigateBox">
                <anchor moveWithCells="1">
                  <from>
                    <xdr:col>0</xdr:col>
                    <xdr:colOff>0</xdr:colOff>
                    <xdr:row>0</xdr:row>
                    <xdr:rowOff>0</xdr:rowOff>
                  </from>
                  <to>
                    <xdr:col>1</xdr:col>
                    <xdr:colOff>905733</xdr:colOff>
                    <xdr:row>1</xdr:row>
                    <xdr:rowOff>60671</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0" tint="-0.14996795556505021"/>
  </sheetPr>
  <dimension ref="A1:L1791"/>
  <sheetViews>
    <sheetView workbookViewId="0">
      <pane ySplit="2" topLeftCell="A3" activePane="bottomLeft" state="frozen"/>
      <selection pane="bottomLeft" activeCell="K5" sqref="K5"/>
    </sheetView>
  </sheetViews>
  <sheetFormatPr defaultColWidth="9.125" defaultRowHeight="14.35"/>
  <cols>
    <col min="1" max="1" width="9" customWidth="1"/>
    <col min="2" max="2" width="26.875" customWidth="1"/>
    <col min="3" max="3" width="7.75" customWidth="1"/>
    <col min="4" max="10" width="8.1875" bestFit="1" customWidth="1"/>
    <col min="11" max="11" width="9.75" style="5" customWidth="1"/>
    <col min="12" max="12" width="9.75" style="2" customWidth="1"/>
    <col min="13" max="16384" width="9.125" style="2"/>
  </cols>
  <sheetData>
    <row r="1" spans="1:12" ht="19.649999999999999" customHeight="1">
      <c r="A1" s="5"/>
      <c r="B1" s="5"/>
      <c r="C1" s="5"/>
      <c r="D1" s="5"/>
      <c r="E1" s="5"/>
      <c r="F1" s="5"/>
      <c r="G1" s="5"/>
      <c r="H1" s="5"/>
      <c r="I1" s="5"/>
      <c r="J1" s="5"/>
    </row>
    <row r="2" spans="1:12">
      <c r="A2" s="5"/>
      <c r="B2" s="5"/>
      <c r="C2" s="5"/>
      <c r="D2" s="77">
        <v>42369</v>
      </c>
      <c r="E2" s="77">
        <v>42735</v>
      </c>
      <c r="F2" s="77">
        <v>43100</v>
      </c>
      <c r="G2" s="77">
        <v>43465</v>
      </c>
      <c r="H2" s="312">
        <v>43830</v>
      </c>
      <c r="I2" s="312">
        <v>44196</v>
      </c>
      <c r="J2" s="312">
        <v>44561</v>
      </c>
    </row>
    <row r="3" spans="1:12">
      <c r="A3" s="5"/>
      <c r="B3" s="5"/>
      <c r="C3" s="5"/>
      <c r="D3" s="5"/>
      <c r="E3" s="5"/>
      <c r="F3" s="5"/>
      <c r="G3" s="5"/>
      <c r="H3" s="5"/>
      <c r="I3" s="5"/>
      <c r="J3" s="5"/>
    </row>
    <row r="4" spans="1:12">
      <c r="A4" s="1032" t="s">
        <v>1534</v>
      </c>
      <c r="B4" s="5"/>
      <c r="C4" s="5"/>
      <c r="D4" s="75"/>
      <c r="E4" s="75"/>
      <c r="F4" s="75"/>
      <c r="G4" s="75"/>
      <c r="H4" s="75"/>
      <c r="I4" s="75"/>
      <c r="J4" s="75"/>
    </row>
    <row r="5" spans="1:12">
      <c r="A5" s="1032"/>
      <c r="B5" s="5"/>
      <c r="C5" s="5"/>
      <c r="D5" s="75"/>
      <c r="E5" s="75"/>
      <c r="F5" s="75"/>
      <c r="G5" s="75"/>
      <c r="H5" s="75"/>
      <c r="I5" s="75"/>
      <c r="J5" s="75"/>
    </row>
    <row r="6" spans="1:12">
      <c r="A6" s="1032"/>
      <c r="B6" s="5"/>
      <c r="C6" s="5"/>
      <c r="D6" s="75"/>
      <c r="E6" s="75"/>
      <c r="F6" s="75"/>
      <c r="G6" s="75"/>
      <c r="H6" s="75"/>
      <c r="I6" s="75"/>
      <c r="J6" s="75"/>
    </row>
    <row r="7" spans="1:12" ht="15.05">
      <c r="A7" s="1032"/>
      <c r="B7" s="5"/>
      <c r="C7" s="5"/>
      <c r="D7" s="75"/>
      <c r="E7" s="75"/>
      <c r="F7" s="75"/>
      <c r="G7" s="75"/>
      <c r="H7" s="75"/>
      <c r="I7" s="75"/>
      <c r="J7" s="75"/>
      <c r="L7" s="396"/>
    </row>
    <row r="8" spans="1:12">
      <c r="A8" s="1032"/>
      <c r="B8" s="5"/>
      <c r="C8" s="5"/>
      <c r="D8" s="75"/>
      <c r="E8" s="75"/>
      <c r="F8" s="75"/>
      <c r="G8" s="75"/>
      <c r="H8" s="75"/>
      <c r="I8" s="75"/>
      <c r="J8" s="75"/>
    </row>
    <row r="9" spans="1:12">
      <c r="A9" s="1032"/>
      <c r="B9" s="5"/>
      <c r="C9" s="5"/>
      <c r="D9" s="75"/>
      <c r="E9" s="75"/>
      <c r="F9" s="75"/>
      <c r="G9" s="75"/>
      <c r="H9" s="75"/>
      <c r="I9" s="75"/>
      <c r="J9" s="75"/>
    </row>
    <row r="10" spans="1:12">
      <c r="A10" s="5"/>
      <c r="B10" s="5"/>
      <c r="C10" s="5"/>
      <c r="D10" s="75"/>
      <c r="E10" s="75"/>
      <c r="F10" s="75"/>
      <c r="G10" s="75"/>
      <c r="H10" s="75"/>
      <c r="I10" s="75"/>
      <c r="J10" s="75"/>
    </row>
    <row r="11" spans="1:12">
      <c r="A11" s="5"/>
      <c r="B11" s="5"/>
      <c r="C11" s="5"/>
      <c r="D11" s="75"/>
      <c r="E11" s="75"/>
      <c r="F11" s="75"/>
      <c r="G11" s="75"/>
      <c r="H11" s="75"/>
      <c r="I11" s="75"/>
      <c r="J11" s="75"/>
    </row>
    <row r="12" spans="1:12" ht="17.25" customHeight="1">
      <c r="A12" s="5"/>
      <c r="B12" s="5"/>
      <c r="C12" s="5"/>
      <c r="D12" s="75"/>
      <c r="E12" s="75"/>
      <c r="F12" s="75"/>
      <c r="G12" s="75"/>
      <c r="H12" s="75"/>
      <c r="I12" s="75"/>
      <c r="J12" s="75"/>
    </row>
    <row r="13" spans="1:12">
      <c r="A13" s="5"/>
      <c r="B13" s="1033"/>
      <c r="C13" s="75"/>
      <c r="D13" s="75"/>
      <c r="E13" s="75"/>
      <c r="F13" s="75"/>
      <c r="G13" s="75"/>
      <c r="H13" s="75"/>
      <c r="I13" s="75"/>
      <c r="J13" s="75"/>
    </row>
    <row r="14" spans="1:12">
      <c r="A14" s="5"/>
      <c r="B14" s="1033"/>
      <c r="C14" s="75"/>
      <c r="D14" s="75"/>
      <c r="E14" s="75"/>
      <c r="F14" s="75"/>
      <c r="G14" s="75"/>
      <c r="H14" s="75"/>
      <c r="I14" s="75"/>
      <c r="J14" s="75"/>
    </row>
    <row r="15" spans="1:12">
      <c r="A15" s="5"/>
      <c r="B15" s="1033"/>
      <c r="C15" s="75"/>
      <c r="D15" s="75"/>
      <c r="E15" s="75"/>
      <c r="F15" s="75"/>
      <c r="G15" s="75"/>
      <c r="H15" s="75"/>
      <c r="I15" s="75"/>
      <c r="J15" s="75"/>
    </row>
    <row r="16" spans="1:12">
      <c r="A16" s="5"/>
      <c r="B16" s="1033"/>
      <c r="C16" s="75"/>
      <c r="D16" s="75"/>
      <c r="E16" s="75"/>
      <c r="F16" s="75"/>
      <c r="G16" s="75"/>
      <c r="H16" s="75"/>
      <c r="I16" s="75"/>
      <c r="J16" s="75"/>
    </row>
    <row r="17" spans="1:10">
      <c r="A17" s="5"/>
      <c r="B17" s="1033"/>
      <c r="C17" s="75"/>
      <c r="D17" s="75"/>
      <c r="E17" s="75"/>
      <c r="F17" s="75"/>
      <c r="G17" s="75"/>
      <c r="H17" s="75"/>
      <c r="I17" s="75"/>
      <c r="J17" s="75"/>
    </row>
    <row r="18" spans="1:10" hidden="1">
      <c r="A18" s="5"/>
      <c r="B18" s="1033"/>
      <c r="C18" s="75"/>
      <c r="D18" s="75"/>
      <c r="E18" s="75"/>
      <c r="F18" s="75"/>
      <c r="G18" s="75"/>
      <c r="H18" s="75"/>
      <c r="I18" s="75"/>
      <c r="J18" s="75"/>
    </row>
    <row r="19" spans="1:10">
      <c r="A19" s="5"/>
      <c r="B19" s="1033"/>
      <c r="C19" s="75"/>
      <c r="D19" s="75"/>
      <c r="E19" s="75"/>
      <c r="F19" s="75"/>
      <c r="G19" s="75"/>
      <c r="H19" s="75"/>
      <c r="I19" s="75"/>
      <c r="J19" s="75"/>
    </row>
    <row r="20" spans="1:10">
      <c r="A20" s="237" t="s">
        <v>1250</v>
      </c>
      <c r="B20" s="225"/>
      <c r="C20" s="5"/>
      <c r="D20" s="5"/>
      <c r="E20" s="5"/>
      <c r="F20" s="5"/>
      <c r="G20" s="5"/>
      <c r="H20" s="5"/>
      <c r="I20" s="5"/>
      <c r="J20" s="5"/>
    </row>
    <row r="21" spans="1:10">
      <c r="A21" s="255"/>
      <c r="B21" s="376" t="s">
        <v>1535</v>
      </c>
      <c r="C21" s="377"/>
      <c r="D21" s="249" t="s">
        <v>1262</v>
      </c>
      <c r="E21" s="270">
        <f>IF(ISERROR((预测利润表!E7-预测利润表!D7)/ABS(预测利润表!D7)),0,(预测利润表!E7-预测利润表!D7)/ABS(预测利润表!D7))</f>
        <v>0.31606937306345989</v>
      </c>
      <c r="F21" s="270">
        <f>IF(ISERROR((预测利润表!F7-预测利润表!E7)/ABS(预测利润表!E7)),0,(预测利润表!F7-预测利润表!E7)/ABS(预测利润表!E7))</f>
        <v>0.1447359991198639</v>
      </c>
      <c r="G21" s="270">
        <f>IF(ISERROR((预测利润表!G7-预测利润表!F7)/ABS(预测利润表!F7)),0,(预测利润表!G7-预测利润表!F7)/ABS(预测利润表!F7))</f>
        <v>0.18841459824635973</v>
      </c>
      <c r="H21" s="270">
        <f>IF(ISERROR((预测利润表!H7-预测利润表!G7)/ABS(预测利润表!G7)),0,(预测利润表!H7-预测利润表!G7)/ABS(预测利润表!G7))</f>
        <v>0.18841459824635967</v>
      </c>
      <c r="I21" s="270">
        <f>IF(ISERROR((预测利润表!I7-预测利润表!H7)/ABS(预测利润表!H7)),0,(预测利润表!I7-预测利润表!H7)/ABS(预测利润表!H7))</f>
        <v>0.18841459824635956</v>
      </c>
      <c r="J21" s="270">
        <f>IF(ISERROR((预测利润表!J7-预测利润表!I7)/ABS(预测利润表!I7)),0,(预测利润表!J7-预测利润表!I7)/ABS(预测利润表!I7))</f>
        <v>0.18841459824635962</v>
      </c>
    </row>
    <row r="22" spans="1:10">
      <c r="A22" s="255"/>
      <c r="B22" s="376" t="s">
        <v>1536</v>
      </c>
      <c r="C22" s="377"/>
      <c r="D22" s="249" t="s">
        <v>1262</v>
      </c>
      <c r="E22" s="270">
        <f>IF(ISERROR((预测利润表!E26-预测利润表!D26)/预测利润表!D26),0,(预测利润表!E26-预测利润表!D26)/预测利润表!D26)</f>
        <v>0</v>
      </c>
      <c r="F22" s="270">
        <f>IF(ISERROR((预测利润表!F26-预测利润表!E26)/预测利润表!E26),0,(预测利润表!F26-预测利润表!E26)/预测利润表!E26)</f>
        <v>0</v>
      </c>
      <c r="G22" s="270">
        <f>IF(ISERROR((预测利润表!G26-预测利润表!F26)/预测利润表!F26),0,(预测利润表!G26-预测利润表!F26)/预测利润表!F26)</f>
        <v>0</v>
      </c>
      <c r="H22" s="270">
        <f>IF(ISERROR((预测利润表!H26-预测利润表!G26)/预测利润表!G26),0,(预测利润表!H26-预测利润表!G26)/预测利润表!G26)</f>
        <v>0</v>
      </c>
      <c r="I22" s="270">
        <f>IF(ISERROR((预测利润表!I26-预测利润表!H26)/预测利润表!H26),0,(预测利润表!I26-预测利润表!H26)/预测利润表!H26)</f>
        <v>0</v>
      </c>
      <c r="J22" s="270">
        <f>IF(ISERROR((预测利润表!J26-预测利润表!I26)/预测利润表!I26),0,(预测利润表!J26-预测利润表!I26)/预测利润表!I26)</f>
        <v>0</v>
      </c>
    </row>
    <row r="23" spans="1:10">
      <c r="A23" s="255"/>
      <c r="B23" s="376" t="s">
        <v>1537</v>
      </c>
      <c r="C23" s="377"/>
      <c r="D23" s="249" t="s">
        <v>1262</v>
      </c>
      <c r="E23" s="270">
        <f>IF(ISERROR((预测利润表!E42-预测利润表!D42)/ABS(预测利润表!D42)),0,(预测利润表!E42-预测利润表!D42)/ABS(预测利润表!D42))</f>
        <v>0</v>
      </c>
      <c r="F23" s="270">
        <f>IF(ISERROR((预测利润表!F42-预测利润表!E42)/ABS(预测利润表!E42)),0,(预测利润表!F42-预测利润表!E42)/ABS(预测利润表!E42))</f>
        <v>0</v>
      </c>
      <c r="G23" s="270">
        <f>IF(ISERROR((预测利润表!G42-预测利润表!F42)/ABS(预测利润表!F42)),0,(预测利润表!G42-预测利润表!F42)/ABS(预测利润表!F42))</f>
        <v>0</v>
      </c>
      <c r="H23" s="270">
        <f>IF(ISERROR((预测利润表!H42-预测利润表!G42)/ABS(预测利润表!G42)),0,(预测利润表!H42-预测利润表!G42)/ABS(预测利润表!G42))</f>
        <v>0</v>
      </c>
      <c r="I23" s="270">
        <f>IF(ISERROR((预测利润表!I42-预测利润表!H42)/ABS(预测利润表!H42)),0,(预测利润表!I42-预测利润表!H42)/ABS(预测利润表!H42))</f>
        <v>0</v>
      </c>
      <c r="J23" s="270">
        <f>IF(ISERROR((预测利润表!J42-预测利润表!I42)/ABS(预测利润表!I42)),0,(预测利润表!J42-预测利润表!I42)/ABS(预测利润表!I42))</f>
        <v>0</v>
      </c>
    </row>
    <row r="24" spans="1:10">
      <c r="A24" s="255"/>
      <c r="B24" s="376" t="s">
        <v>1538</v>
      </c>
      <c r="C24" s="377"/>
      <c r="D24" s="249" t="s">
        <v>1262</v>
      </c>
      <c r="E24" s="270">
        <f>IF(ISERROR((预测利润表!E69-预测利润表!D69)/ABS(预测利润表!D69)),0,(预测利润表!E69-预测利润表!D69)/ABS(预测利润表!D69))</f>
        <v>0</v>
      </c>
      <c r="F24" s="270">
        <f>IF(ISERROR((预测利润表!F69-预测利润表!E69)/ABS(预测利润表!E69)),0,(预测利润表!F69-预测利润表!E69)/ABS(预测利润表!E69))</f>
        <v>0</v>
      </c>
      <c r="G24" s="270">
        <f>IF(ISERROR((预测利润表!G69-预测利润表!F69)/ABS(预测利润表!F69)),0,(预测利润表!G69-预测利润表!F69)/ABS(预测利润表!F69))</f>
        <v>0</v>
      </c>
      <c r="H24" s="270">
        <f>IF(ISERROR((预测利润表!H69-预测利润表!G69)/ABS(预测利润表!G69)),0,(预测利润表!H69-预测利润表!G69)/ABS(预测利润表!G69))</f>
        <v>0</v>
      </c>
      <c r="I24" s="270">
        <f>IF(ISERROR((预测利润表!I69-预测利润表!H69)/ABS(预测利润表!H69)),0,(预测利润表!I69-预测利润表!H69)/ABS(预测利润表!H69))</f>
        <v>0</v>
      </c>
      <c r="J24" s="270">
        <f>IF(ISERROR((预测利润表!J69-预测利润表!I69)/ABS(预测利润表!I69)),0,(预测利润表!J69-预测利润表!I69)/ABS(预测利润表!I69))</f>
        <v>0</v>
      </c>
    </row>
    <row r="25" spans="1:10">
      <c r="A25" s="255"/>
      <c r="B25" s="255" t="s">
        <v>1539</v>
      </c>
      <c r="C25" s="377"/>
      <c r="D25" s="249" t="s">
        <v>1262</v>
      </c>
      <c r="E25" s="270">
        <f>IF(ISERROR((预测利润表!E54-预测利润表!D54)/ABS(预测利润表!D54)),0,(预测利润表!E54-预测利润表!D54)/ABS(预测利润表!D54))</f>
        <v>0</v>
      </c>
      <c r="F25" s="270">
        <f>IF(ISERROR((预测利润表!F54-预测利润表!E54)/ABS(预测利润表!E54)),0,(预测利润表!F54-预测利润表!E54)/ABS(预测利润表!E54))</f>
        <v>0</v>
      </c>
      <c r="G25" s="270">
        <f>IF(ISERROR((预测利润表!G54-预测利润表!F54)/ABS(预测利润表!F54)),0,(预测利润表!G54-预测利润表!F54)/ABS(预测利润表!F54))</f>
        <v>0</v>
      </c>
      <c r="H25" s="270">
        <f>IF(ISERROR((预测利润表!H54-预测利润表!G54)/ABS(预测利润表!G54)),0,(预测利润表!H54-预测利润表!G54)/ABS(预测利润表!G54))</f>
        <v>0</v>
      </c>
      <c r="I25" s="270">
        <f>IF(ISERROR((预测利润表!I54-预测利润表!H54)/ABS(预测利润表!H54)),0,(预测利润表!I54-预测利润表!H54)/ABS(预测利润表!H54))</f>
        <v>0</v>
      </c>
      <c r="J25" s="270">
        <f>IF(ISERROR((预测利润表!J54-预测利润表!I54)/ABS(预测利润表!I54)),0,(预测利润表!J54-预测利润表!I54)/ABS(预测利润表!I54))</f>
        <v>0</v>
      </c>
    </row>
    <row r="26" spans="1:10">
      <c r="A26" s="255"/>
      <c r="B26" s="255" t="s">
        <v>1540</v>
      </c>
      <c r="C26" s="377"/>
      <c r="D26" s="249" t="s">
        <v>1262</v>
      </c>
      <c r="E26" s="270">
        <f>IF(ISERROR((预测利润表!E56-预测利润表!D56)/预测利润表!D56),0,(预测利润表!E56-预测利润表!D56)/预测利润表!D56)</f>
        <v>0</v>
      </c>
      <c r="F26" s="270">
        <f>IF(ISERROR((预测利润表!F56-预测利润表!E56)/预测利润表!E56),0,(预测利润表!F56-预测利润表!E56)/预测利润表!E56)</f>
        <v>0</v>
      </c>
      <c r="G26" s="270">
        <f>IF(ISERROR((预测利润表!G56-预测利润表!F56)/预测利润表!F56),0,(预测利润表!G56-预测利润表!F56)/预测利润表!F56)</f>
        <v>0</v>
      </c>
      <c r="H26" s="270">
        <f>IF(ISERROR((预测利润表!H56-预测利润表!G56)/预测利润表!G56),0,(预测利润表!H56-预测利润表!G56)/预测利润表!G56)</f>
        <v>0</v>
      </c>
      <c r="I26" s="270">
        <f>IF(ISERROR((预测利润表!I56-预测利润表!H56)/预测利润表!H56),0,(预测利润表!I56-预测利润表!H56)/预测利润表!H56)</f>
        <v>0</v>
      </c>
      <c r="J26" s="270">
        <f>IF(ISERROR((预测利润表!J56-预测利润表!I56)/预测利润表!I56),0,(预测利润表!J56-预测利润表!I56)/预测利润表!I56)</f>
        <v>0</v>
      </c>
    </row>
    <row r="27" spans="1:10">
      <c r="A27" s="255"/>
      <c r="B27" s="255" t="s">
        <v>1541</v>
      </c>
      <c r="C27" s="377"/>
      <c r="D27" s="249" t="s">
        <v>1262</v>
      </c>
      <c r="E27" s="270">
        <f>IF(ISERROR((预测利润表!E77-预测利润表!D77)/ABS(预测利润表!D77)),0,(预测利润表!E77-预测利润表!D77)/ABS(预测利润表!D77))</f>
        <v>0</v>
      </c>
      <c r="F27" s="270">
        <f>IF(ISERROR((预测利润表!F77-预测利润表!E77)/ABS(预测利润表!E77)),0,(预测利润表!F77-预测利润表!E77)/ABS(预测利润表!E77))</f>
        <v>0</v>
      </c>
      <c r="G27" s="270">
        <f>IF(ISERROR((预测利润表!G77-预测利润表!F77)/ABS(预测利润表!F77)),0,(预测利润表!G77-预测利润表!F77)/ABS(预测利润表!F77))</f>
        <v>0</v>
      </c>
      <c r="H27" s="270">
        <f>IF(ISERROR((预测利润表!H77-预测利润表!G77)/ABS(预测利润表!G77)),0,(预测利润表!H77-预测利润表!G77)/ABS(预测利润表!G77))</f>
        <v>0</v>
      </c>
      <c r="I27" s="270">
        <f>IF(ISERROR((预测利润表!I77-预测利润表!H77)/ABS(预测利润表!H77)),0,(预测利润表!I77-预测利润表!H77)/ABS(预测利润表!H77))</f>
        <v>0</v>
      </c>
      <c r="J27" s="270">
        <f>IF(ISERROR((预测利润表!J77-预测利润表!I77)/ABS(预测利润表!I77)),0,(预测利润表!J77-预测利润表!I77)/ABS(预测利润表!I77))</f>
        <v>0</v>
      </c>
    </row>
    <row r="28" spans="1:10">
      <c r="A28" s="255"/>
      <c r="B28" s="376" t="s">
        <v>1542</v>
      </c>
      <c r="C28" s="377"/>
      <c r="D28" s="249" t="s">
        <v>1262</v>
      </c>
      <c r="E28" s="270">
        <f>IF(ISERROR((预测资产负债表!E32-预测资产负债表!D32)/ABS(预测资产负债表!D32)),0,(预测资产负债表!E32-预测资产负债表!D32)/ABS(预测资产负债表!D32))</f>
        <v>0.24344832840517103</v>
      </c>
      <c r="F28" s="270">
        <f>IF(ISERROR((预测资产负债表!F32-预测资产负债表!E32)/ABS(预测资产负债表!E32)),0,(预测资产负债表!F32-预测资产负债表!E32)/ABS(预测资产负债表!E32))</f>
        <v>0.18428036956547486</v>
      </c>
      <c r="G28" s="270">
        <f>IF(ISERROR((预测资产负债表!G32-预测资产负债表!F32)/ABS(预测资产负债表!F32)),0,(预测资产负债表!G32-预测资产负债表!F32)/ABS(预测资产负债表!F32))</f>
        <v>8.6298259848162404E-2</v>
      </c>
      <c r="H28" s="270">
        <f>IF(ISERROR((预测资产负债表!H32-预测资产负债表!G32)/ABS(预测资产负债表!G32)),0,(预测资产负债表!H32-预测资产负债表!G32)/ABS(预测资产负债表!G32))</f>
        <v>0</v>
      </c>
      <c r="I28" s="270">
        <f>IF(ISERROR((预测资产负债表!I32-预测资产负债表!H32)/ABS(预测资产负债表!H32)),0,(预测资产负债表!I32-预测资产负债表!H32)/ABS(预测资产负债表!H32))</f>
        <v>0</v>
      </c>
      <c r="J28" s="270">
        <f>IF(ISERROR((预测资产负债表!J32-预测资产负债表!I32)/ABS(预测资产负债表!I32)),0,(预测资产负债表!J32-预测资产负债表!I32)/ABS(预测资产负债表!I32))</f>
        <v>0</v>
      </c>
    </row>
    <row r="29" spans="1:10">
      <c r="A29" s="255"/>
      <c r="B29" s="376" t="s">
        <v>1543</v>
      </c>
      <c r="C29" s="377"/>
      <c r="D29" s="249" t="s">
        <v>1262</v>
      </c>
      <c r="E29" s="270">
        <f>IF(ISERROR((预测资产负债表!E60-预测资产负债表!D60)/预测资产负债表!D60),0,(预测资产负债表!E60-预测资产负债表!D60)/预测资产负债表!D60)</f>
        <v>0.10703150862891904</v>
      </c>
      <c r="F29" s="270">
        <f>IF(ISERROR((预测资产负债表!F60-预测资产负债表!E60)/预测资产负债表!E60),0,(预测资产负债表!F60-预测资产负债表!E60)/预测资产负债表!E60)</f>
        <v>0.50111092012853631</v>
      </c>
      <c r="G29" s="270">
        <f>IF(ISERROR((预测资产负债表!G60-预测资产负债表!F60)/预测资产负债表!F60),0,(预测资产负债表!G60-预测资产负债表!F60)/预测资产负债表!F60)</f>
        <v>7.3630316455671377E-2</v>
      </c>
      <c r="H29" s="270">
        <f>IF(ISERROR((预测资产负债表!H60-预测资产负债表!G60)/预测资产负债表!G60),0,(预测资产负债表!H60-预测资产负债表!G60)/预测资产负债表!G60)</f>
        <v>0</v>
      </c>
      <c r="I29" s="270">
        <f>IF(ISERROR((预测资产负债表!I60-预测资产负债表!H60)/预测资产负债表!H60),0,(预测资产负债表!I60-预测资产负债表!H60)/预测资产负债表!H60)</f>
        <v>0</v>
      </c>
      <c r="J29" s="270">
        <f>IF(ISERROR((预测资产负债表!J60-预测资产负债表!I60)/预测资产负债表!I60),0,(预测资产负债表!J60-预测资产负债表!I60)/预测资产负债表!I60)</f>
        <v>0</v>
      </c>
    </row>
    <row r="30" spans="1:10">
      <c r="A30" s="378"/>
      <c r="B30" s="376" t="s">
        <v>1544</v>
      </c>
      <c r="C30" s="377"/>
      <c r="D30" s="249" t="s">
        <v>1262</v>
      </c>
      <c r="E30" s="270">
        <f>IF(ISERROR((预测资产负债表!E85-预测资产负债表!D85)/ABS(预测资产负债表!D85)),0,(预测资产负债表!E85-预测资产负债表!D85)/ABS(预测资产负债表!D85))</f>
        <v>0.38421144894491721</v>
      </c>
      <c r="F30" s="270">
        <f>IF(ISERROR((预测资产负债表!F85-预测资产负债表!E85)/ABS(预测资产负债表!E85)),0,(预测资产负债表!F85-预测资产负债表!E85)/ABS(预测资产负债表!E85))</f>
        <v>0.3156160382337288</v>
      </c>
      <c r="G30" s="270">
        <f>IF(ISERROR((预测资产负债表!G85-预测资产负债表!F85)/ABS(预测资产负债表!F85)),0,(预测资产负债表!G85-预测资产负债表!F85)/ABS(预测资产负债表!F85))</f>
        <v>0.15958549414148612</v>
      </c>
      <c r="H30" s="270">
        <f>IF(ISERROR((预测资产负债表!H85-预测资产负债表!G85)/ABS(预测资产负债表!G85)),0,(预测资产负债表!H85-预测资产负债表!G85)/ABS(预测资产负债表!G85))</f>
        <v>0</v>
      </c>
      <c r="I30" s="270">
        <f>IF(ISERROR((预测资产负债表!I85-预测资产负债表!H85)/ABS(预测资产负债表!H85)),0,(预测资产负债表!I85-预测资产负债表!H85)/ABS(预测资产负债表!H85))</f>
        <v>0</v>
      </c>
      <c r="J30" s="270">
        <f>IF(ISERROR((预测资产负债表!J85-预测资产负债表!I85)/ABS(预测资产负债表!I85)),0,(预测资产负债表!J85-预测资产负债表!I85)/ABS(预测资产负债表!I85))</f>
        <v>0</v>
      </c>
    </row>
    <row r="31" spans="1:10" hidden="1">
      <c r="A31" s="379"/>
      <c r="B31" s="380" t="s">
        <v>1545</v>
      </c>
      <c r="C31" s="381"/>
      <c r="D31" s="382">
        <f>1-财务分析!D34</f>
        <v>0.63500334860467256</v>
      </c>
      <c r="E31" s="382">
        <f>1-财务分析!E34</f>
        <v>0.62993981410086086</v>
      </c>
      <c r="F31" s="382">
        <f>1-财务分析!F34</f>
        <v>0.66522429374757075</v>
      </c>
      <c r="G31" s="382">
        <f>1-财务分析!G34</f>
        <v>0.65358437024722305</v>
      </c>
      <c r="H31" s="382">
        <f>1-财务分析!H34</f>
        <v>0.65358437024722305</v>
      </c>
      <c r="I31" s="382">
        <f>1-财务分析!I34</f>
        <v>0.65358437024722305</v>
      </c>
      <c r="J31" s="382">
        <f>1-财务分析!J34</f>
        <v>0.65358437024722305</v>
      </c>
    </row>
    <row r="32" spans="1:10">
      <c r="A32" s="225"/>
      <c r="B32" s="225"/>
      <c r="C32" s="383"/>
      <c r="D32" s="106"/>
      <c r="E32" s="106"/>
      <c r="F32" s="106"/>
      <c r="G32" s="106"/>
      <c r="H32" s="106"/>
      <c r="I32" s="106"/>
      <c r="J32" s="106"/>
    </row>
    <row r="33" spans="1:11" s="375" customFormat="1">
      <c r="A33" s="237" t="s">
        <v>1546</v>
      </c>
      <c r="B33" s="384"/>
      <c r="C33" s="385"/>
      <c r="D33" s="382">
        <f>IF(ISERROR(预测利润表!D9/预测利润表!D7),0,预测利润表!D9/预测利润表!D7)</f>
        <v>0.63500334860467256</v>
      </c>
      <c r="E33" s="382">
        <f>IF(ISERROR(预测利润表!E9/预测利润表!E7),0,预测利润表!E9/预测利润表!E7)</f>
        <v>0.62993981410086086</v>
      </c>
      <c r="F33" s="382">
        <f>IF(ISERROR(预测利润表!F9/预测利润表!F7),0,预测利润表!F9/预测利润表!F7)</f>
        <v>0.66522429374757075</v>
      </c>
      <c r="G33" s="382">
        <f>IF(ISERROR(预测利润表!G9/预测利润表!G7),0,预测利润表!G9/预测利润表!G7)</f>
        <v>0.65358437024722305</v>
      </c>
      <c r="H33" s="382">
        <f>IF(ISERROR(预测利润表!H9/预测利润表!H7),0,预测利润表!H9/预测利润表!H7)</f>
        <v>0.65358437024722305</v>
      </c>
      <c r="I33" s="382">
        <f>IF(ISERROR(预测利润表!I9/预测利润表!I7),0,预测利润表!I9/预测利润表!I7)</f>
        <v>0.65358437024722305</v>
      </c>
      <c r="J33" s="382">
        <f>IF(ISERROR(预测利润表!J9/预测利润表!J7),0,预测利润表!J9/预测利润表!J7)</f>
        <v>0.65358437024722305</v>
      </c>
      <c r="K33" s="397"/>
    </row>
    <row r="34" spans="1:11">
      <c r="A34" s="378"/>
      <c r="B34" s="376" t="s">
        <v>1547</v>
      </c>
      <c r="C34" s="386"/>
      <c r="D34" s="270">
        <f>IF(ISERROR(1-(预测利润表!D9/预测利润表!D7)),0,1-(预测利润表!D9/预测利润表!D7))</f>
        <v>0.36499665139532744</v>
      </c>
      <c r="E34" s="270">
        <f>IF(ISERROR(1-(预测利润表!E9/预测利润表!E7)),0,1-(预测利润表!E9/预测利润表!E7))</f>
        <v>0.37006018589913914</v>
      </c>
      <c r="F34" s="270">
        <f>IF(ISERROR(1-(预测利润表!F9/预测利润表!F7)),0,1-(预测利润表!F9/预测利润表!F7))</f>
        <v>0.33477570625242925</v>
      </c>
      <c r="G34" s="270">
        <f>IF(ISERROR(1-(预测利润表!G9/预测利润表!G7)),0,1-(预测利润表!G9/预测利润表!G7))</f>
        <v>0.34641562975277695</v>
      </c>
      <c r="H34" s="270">
        <f>IF(ISERROR(1-(预测利润表!H9/预测利润表!H7)),0,1-(预测利润表!H9/预测利润表!H7))</f>
        <v>0.34641562975277695</v>
      </c>
      <c r="I34" s="270">
        <f>IF(ISERROR(1-(预测利润表!I9/预测利润表!I7)),0,1-(预测利润表!I9/预测利润表!I7))</f>
        <v>0.34641562975277695</v>
      </c>
      <c r="J34" s="270">
        <f>IF(ISERROR(1-(预测利润表!J9/预测利润表!J7)),0,1-(预测利润表!J9/预测利润表!J7))</f>
        <v>0.34641562975277695</v>
      </c>
    </row>
    <row r="35" spans="1:11">
      <c r="A35" s="387"/>
      <c r="B35" s="376" t="s">
        <v>1548</v>
      </c>
      <c r="C35" s="386"/>
      <c r="D35" s="270">
        <f>IF(ISERROR(预测利润表!D42/预测利润表!D7),0,预测利润表!D42/预测利润表!D7)</f>
        <v>0</v>
      </c>
      <c r="E35" s="270">
        <f>IF(ISERROR(预测利润表!E42/预测利润表!E7),0,预测利润表!E42/预测利润表!E7)</f>
        <v>0</v>
      </c>
      <c r="F35" s="270">
        <f>IF(ISERROR(预测利润表!F42/预测利润表!F7),0,预测利润表!F42/预测利润表!F7)</f>
        <v>0</v>
      </c>
      <c r="G35" s="270">
        <f>IF(ISERROR(预测利润表!G42/预测利润表!G7),0,预测利润表!G42/预测利润表!G7)</f>
        <v>0</v>
      </c>
      <c r="H35" s="270">
        <f>IF(ISERROR(预测利润表!H42/预测利润表!H7),0,预测利润表!H42/预测利润表!H7)</f>
        <v>0.75653414416513864</v>
      </c>
      <c r="I35" s="270">
        <f>IF(ISERROR(预测利润表!I42/预测利润表!I7),0,预测利润表!I42/预测利润表!I7)</f>
        <v>0</v>
      </c>
      <c r="J35" s="270">
        <f>IF(ISERROR(预测利润表!J42/预测利润表!J7),0,预测利润表!J42/预测利润表!J7)</f>
        <v>0</v>
      </c>
    </row>
    <row r="36" spans="1:11">
      <c r="A36" s="378"/>
      <c r="B36" s="376" t="s">
        <v>1549</v>
      </c>
      <c r="C36" s="386"/>
      <c r="D36" s="270">
        <f>IF(ISERROR((预测利润表!D13+预测利润表!D15+预测利润表!D17+预测利润表!D18)/预测利润表!D7),0,(预测利润表!D13+预测利润表!D15+预测利润表!D17+预测利润表!D18)/预测利润表!D7)</f>
        <v>0</v>
      </c>
      <c r="E36" s="270">
        <f>IF(ISERROR((预测利润表!E13+预测利润表!E15+预测利润表!E17+预测利润表!E18)/预测利润表!E7),0,(预测利润表!E13+预测利润表!E15+预测利润表!E17+预测利润表!E18)/预测利润表!E7)</f>
        <v>0</v>
      </c>
      <c r="F36" s="270">
        <f>IF(ISERROR((预测利润表!F13+预测利润表!F15+预测利润表!F17+预测利润表!F18)/预测利润表!F7),0,(预测利润表!F13+预测利润表!F15+预测利润表!F17+预测利润表!F18)/预测利润表!F7)</f>
        <v>0</v>
      </c>
      <c r="G36" s="270">
        <f>IF(ISERROR((预测利润表!G13+预测利润表!G15+预测利润表!G17+预测利润表!G18)/预测利润表!G7),0,(预测利润表!G13+预测利润表!G15+预测利润表!G17+预测利润表!G18)/预测利润表!G7)</f>
        <v>0</v>
      </c>
      <c r="H36" s="270">
        <f>IF(ISERROR((预测利润表!H13+预测利润表!H15+预测利润表!H17+预测利润表!H18)/预测利润表!H7),0,(预测利润表!H13+预测利润表!H15+预测利润表!H17+预测利润表!H18)/预测利润表!H7)</f>
        <v>0.12631830973758498</v>
      </c>
      <c r="I36" s="270">
        <f>IF(ISERROR((预测利润表!I13+预测利润表!I15+预测利润表!I17+预测利润表!I18)/预测利润表!I7),0,(预测利润表!I13+预测利润表!I15+预测利润表!I17+预测利润表!I18)/预测利润表!I7)</f>
        <v>0</v>
      </c>
      <c r="J36" s="270">
        <f>IF(ISERROR((预测利润表!J13+预测利润表!J15+预测利润表!J17+预测利润表!J18)/预测利润表!J7),0,(预测利润表!J13+预测利润表!J15+预测利润表!J17+预测利润表!J18)/预测利润表!J7)</f>
        <v>0</v>
      </c>
    </row>
    <row r="37" spans="1:11">
      <c r="A37" s="378"/>
      <c r="B37" s="255" t="s">
        <v>1550</v>
      </c>
      <c r="C37" s="386"/>
      <c r="D37" s="270">
        <f>IF(ISERROR(预测利润表!D54/预测利润表!D7),0,预测利润表!D54/预测利润表!D7)</f>
        <v>0</v>
      </c>
      <c r="E37" s="270">
        <f>IF(ISERROR(预测利润表!E54/预测利润表!E7),0,预测利润表!E54/预测利润表!E7)</f>
        <v>0</v>
      </c>
      <c r="F37" s="270">
        <f>IF(ISERROR(预测利润表!F54/预测利润表!F7),0,预测利润表!F54/预测利润表!F7)</f>
        <v>0</v>
      </c>
      <c r="G37" s="270">
        <f>IF(ISERROR(预测利润表!G54/预测利润表!G7),0,预测利润表!G54/预测利润表!G7)</f>
        <v>0</v>
      </c>
      <c r="H37" s="270">
        <f>IF(ISERROR(预测利润表!H54/预测利润表!H7),0,预测利润表!H54/预测利润表!H7)</f>
        <v>0.73499012316550727</v>
      </c>
      <c r="I37" s="270">
        <f>IF(ISERROR(预测利润表!I54/预测利润表!I7),0,预测利润表!I54/预测利润表!I7)</f>
        <v>0</v>
      </c>
      <c r="J37" s="270">
        <f>IF(ISERROR(预测利润表!J54/预测利润表!J7),0,预测利润表!J54/预测利润表!J7)</f>
        <v>0</v>
      </c>
    </row>
    <row r="38" spans="1:11">
      <c r="A38" s="378"/>
      <c r="B38" s="255" t="s">
        <v>1551</v>
      </c>
      <c r="C38" s="386"/>
      <c r="D38" s="270">
        <f>IF(ISERROR(预测利润表!D56/预测利润表!D7),0,预测利润表!D56/预测利润表!D7)</f>
        <v>0</v>
      </c>
      <c r="E38" s="270">
        <f>IF(ISERROR(预测利润表!E56/预测利润表!E7),0,预测利润表!E56/预测利润表!E7)</f>
        <v>0</v>
      </c>
      <c r="F38" s="270">
        <f>IF(ISERROR(预测利润表!F56/预测利润表!F7),0,预测利润表!F56/预测利润表!F7)</f>
        <v>0</v>
      </c>
      <c r="G38" s="270">
        <f>IF(ISERROR(预测利润表!G56/预测利润表!G7),0,预测利润表!G56/预测利润表!G7)</f>
        <v>0</v>
      </c>
      <c r="H38" s="270">
        <f>IF(ISERROR(预测利润表!H56/预测利润表!H7),0,预测利润表!H56/预测利润表!H7)</f>
        <v>0</v>
      </c>
      <c r="I38" s="270">
        <f>IF(ISERROR(预测利润表!I56/预测利润表!I7),0,预测利润表!I56/预测利润表!I7)</f>
        <v>0</v>
      </c>
      <c r="J38" s="270">
        <f>IF(ISERROR(预测利润表!J56/预测利润表!J7),0,预测利润表!J56/预测利润表!J7)</f>
        <v>0</v>
      </c>
    </row>
    <row r="39" spans="1:11">
      <c r="A39" s="378"/>
      <c r="B39" s="255" t="s">
        <v>1552</v>
      </c>
      <c r="C39" s="386"/>
      <c r="D39" s="270">
        <f>IF(ISERROR(预测利润表!D77/预测利润表!D7),0,预测利润表!D77/预测利润表!D7)</f>
        <v>0</v>
      </c>
      <c r="E39" s="270">
        <f>IF(ISERROR(预测利润表!E77/预测利润表!E7),0,预测利润表!E77/预测利润表!E7)</f>
        <v>0</v>
      </c>
      <c r="F39" s="270">
        <f>IF(ISERROR(预测利润表!F77/预测利润表!F7),0,预测利润表!F77/预测利润表!F7)</f>
        <v>0</v>
      </c>
      <c r="G39" s="270">
        <f>IF(ISERROR(预测利润表!G77/预测利润表!G7),0,预测利润表!G77/预测利润表!G7)</f>
        <v>0</v>
      </c>
      <c r="H39" s="270">
        <f>IF(ISERROR(预测利润表!H77/预测利润表!H7),0,预测利润表!H77/预测利润表!H7)</f>
        <v>0.2046158630064141</v>
      </c>
      <c r="I39" s="270">
        <f>IF(ISERROR(预测利润表!I77/预测利润表!I7),0,预测利润表!I77/预测利润表!I7)</f>
        <v>0</v>
      </c>
      <c r="J39" s="270">
        <f>IF(ISERROR(预测利润表!J77/预测利润表!J7),0,预测利润表!J77/预测利润表!J7)</f>
        <v>0</v>
      </c>
    </row>
    <row r="40" spans="1:11">
      <c r="A40" s="378"/>
      <c r="B40" s="376" t="s">
        <v>1553</v>
      </c>
      <c r="C40" s="386"/>
      <c r="D40" s="270">
        <f>IF(ISERROR(预测利润表!D45/预测资产负债表!D60),0,预测利润表!D45/预测资产负债表!D60)</f>
        <v>0</v>
      </c>
      <c r="E40" s="270">
        <f>IF(ISERROR(预测利润表!E45/预测资产负债表!E60),0,预测利润表!E45/预测资产负债表!E60)</f>
        <v>0</v>
      </c>
      <c r="F40" s="270">
        <f>IF(ISERROR(预测利润表!F45/预测资产负债表!F60),0,预测利润表!F45/预测资产负债表!F60)</f>
        <v>0</v>
      </c>
      <c r="G40" s="270">
        <f>IF(ISERROR(预测利润表!G45/预测资产负债表!G60),0,预测利润表!G45/预测资产负债表!G60)</f>
        <v>0</v>
      </c>
      <c r="H40" s="270">
        <f>IF(ISERROR(预测利润表!H45/预测资产负债表!H60),0,预测利润表!H45/预测资产负债表!H60)</f>
        <v>0</v>
      </c>
      <c r="I40" s="270">
        <f>IF(ISERROR(预测利润表!I45/预测资产负债表!I60),0,预测利润表!I45/预测资产负债表!I60)</f>
        <v>0</v>
      </c>
      <c r="J40" s="270">
        <f>IF(ISERROR(预测利润表!J45/预测资产负债表!J60),0,预测利润表!J45/预测资产负债表!J60)</f>
        <v>0</v>
      </c>
    </row>
    <row r="41" spans="1:11">
      <c r="A41" s="378"/>
      <c r="B41" s="376" t="s">
        <v>1554</v>
      </c>
      <c r="C41" s="386"/>
      <c r="D41" s="270">
        <f>IF(ISERROR(预测利润表!D54/预测资产负债表!D32),0,预测利润表!D54/预测资产负债表!D32)</f>
        <v>0</v>
      </c>
      <c r="E41" s="270">
        <f>IF(ISERROR(预测利润表!E54/预测资产负债表!E32),0,预测利润表!E54/预测资产负债表!E32)</f>
        <v>0</v>
      </c>
      <c r="F41" s="270">
        <f>IF(ISERROR(预测利润表!F54/预测资产负债表!F32),0,预测利润表!F54/预测资产负债表!F32)</f>
        <v>0</v>
      </c>
      <c r="G41" s="270">
        <f>IF(ISERROR(预测利润表!G54/预测资产负债表!G32),0,预测利润表!G54/预测资产负债表!G32)</f>
        <v>0</v>
      </c>
      <c r="H41" s="270">
        <f>IF(ISERROR(预测利润表!H54/预测资产负债表!H32),0,预测利润表!H54/预测资产负债表!H32)</f>
        <v>0</v>
      </c>
      <c r="I41" s="270">
        <f>IF(ISERROR(预测利润表!I54/预测资产负债表!I32),0,预测利润表!I54/预测资产负债表!I32)</f>
        <v>0</v>
      </c>
      <c r="J41" s="270">
        <f>IF(ISERROR(预测利润表!J54/预测资产负债表!J32),0,预测利润表!J54/预测资产负债表!J32)</f>
        <v>0</v>
      </c>
    </row>
    <row r="42" spans="1:11">
      <c r="A42" s="378"/>
      <c r="B42" s="376" t="s">
        <v>1555</v>
      </c>
      <c r="C42" s="386"/>
      <c r="D42" s="249" t="s">
        <v>1262</v>
      </c>
      <c r="E42" s="270">
        <f>IF(ISERROR(预测利润表!E82),0,预测利润表!E82)</f>
        <v>0</v>
      </c>
      <c r="F42" s="270">
        <f>IF(ISERROR(预测利润表!F82),0,预测利润表!F82)</f>
        <v>0</v>
      </c>
      <c r="G42" s="270">
        <f>IF(ISERROR(预测利润表!G82),0,预测利润表!G82)</f>
        <v>0</v>
      </c>
      <c r="H42" s="270">
        <f>IF(ISERROR(预测利润表!H82),0,预测利润表!H82)</f>
        <v>0.13725724934702102</v>
      </c>
      <c r="I42" s="270">
        <f>IF(ISERROR(预测利润表!I82),0,预测利润表!I82)</f>
        <v>0</v>
      </c>
      <c r="J42" s="270">
        <f>IF(ISERROR(预测利润表!J82),0,预测利润表!J82)</f>
        <v>0</v>
      </c>
    </row>
    <row r="43" spans="1:11">
      <c r="A43" s="378"/>
      <c r="B43" s="376" t="s">
        <v>1556</v>
      </c>
      <c r="C43" s="386"/>
      <c r="D43" s="270">
        <f>IF(ISERROR(预测利润表!D26/ABS(预测利润表!D93)),0,预测利润表!D26/ABS(预测利润表!D93))</f>
        <v>0</v>
      </c>
      <c r="E43" s="270">
        <f>IF(ISERROR(预测利润表!E26/ABS(预测利润表!E93)),0,预测利润表!E26/ABS(预测利润表!E93))</f>
        <v>0</v>
      </c>
      <c r="F43" s="270">
        <f>IF(ISERROR(预测利润表!F26/ABS(预测利润表!F93)),0,预测利润表!F26/ABS(预测利润表!F93))</f>
        <v>0</v>
      </c>
      <c r="G43" s="270">
        <f>IF(ISERROR(预测利润表!G26/ABS(预测利润表!G93)),0,预测利润表!G26/ABS(预测利润表!G93))</f>
        <v>0</v>
      </c>
      <c r="H43" s="270">
        <f>IF(ISERROR(预测利润表!H26/ABS(预测利润表!H93)),0,预测利润表!H26/ABS(预测利润表!H93))</f>
        <v>0.24578135482618696</v>
      </c>
      <c r="I43" s="270">
        <f>IF(ISERROR(预测利润表!I26/ABS(预测利润表!I93)),0,预测利润表!I26/ABS(预测利润表!I93))</f>
        <v>0</v>
      </c>
      <c r="J43" s="270">
        <f>IF(ISERROR(预测利润表!J26/ABS(预测利润表!J93)),0,预测利润表!J26/ABS(预测利润表!J93))</f>
        <v>0</v>
      </c>
    </row>
    <row r="44" spans="1:11">
      <c r="A44" s="378"/>
      <c r="B44" s="376" t="s">
        <v>1557</v>
      </c>
      <c r="C44" s="386"/>
      <c r="D44" s="270">
        <f>IF(ISERROR(预测利润表!D69/ABS(预测利润表!D93)),0,预测利润表!D69/ABS(预测利润表!D93))</f>
        <v>0</v>
      </c>
      <c r="E44" s="270">
        <f>IF(ISERROR(预测利润表!E69/ABS(预测利润表!E93)),0,预测利润表!E69/ABS(预测利润表!E93))</f>
        <v>0</v>
      </c>
      <c r="F44" s="270">
        <f>IF(ISERROR(预测利润表!F69/ABS(预测利润表!F93)),0,预测利润表!F69/ABS(预测利润表!F93))</f>
        <v>0</v>
      </c>
      <c r="G44" s="270">
        <f>IF(ISERROR(预测利润表!G69/ABS(预测利润表!G93)),0,预测利润表!G69/ABS(预测利润表!G93))</f>
        <v>0</v>
      </c>
      <c r="H44" s="270">
        <f>IF(ISERROR(预测利润表!H69/ABS(预测利润表!H93)),0,预测利润表!H69/ABS(预测利润表!H93))</f>
        <v>0.27236171302353551</v>
      </c>
      <c r="I44" s="270">
        <f>IF(ISERROR(预测利润表!I69/ABS(预测利润表!I93)),0,预测利润表!I69/ABS(预测利润表!I93))</f>
        <v>0</v>
      </c>
      <c r="J44" s="270">
        <f>IF(ISERROR(预测利润表!J69/ABS(预测利润表!J93)),0,预测利润表!J69/ABS(预测利润表!J93))</f>
        <v>0</v>
      </c>
    </row>
    <row r="45" spans="1:11">
      <c r="A45" s="378"/>
      <c r="B45" s="376" t="s">
        <v>1558</v>
      </c>
      <c r="C45" s="386"/>
      <c r="D45" s="270">
        <f>IF(ISERROR((预测利润表!D29+预测利润表!D30)/ABS(预测利润表!D93)),0,(预测利润表!D29+预测利润表!D30)/ABS(预测利润表!D93))</f>
        <v>0</v>
      </c>
      <c r="E45" s="270">
        <f>IF(ISERROR((预测利润表!E29+预测利润表!E30)/ABS(预测利润表!E93)),0,(预测利润表!E29+预测利润表!E30)/ABS(预测利润表!E93))</f>
        <v>0</v>
      </c>
      <c r="F45" s="270">
        <f>IF(ISERROR((预测利润表!F29+预测利润表!F30)/ABS(预测利润表!F93)),0,(预测利润表!F29+预测利润表!F30)/ABS(预测利润表!F93))</f>
        <v>0</v>
      </c>
      <c r="G45" s="270">
        <f>IF(ISERROR((预测利润表!G29+预测利润表!G30)/ABS(预测利润表!G93)),0,(预测利润表!G29+预测利润表!G30)/ABS(预测利润表!G93))</f>
        <v>0</v>
      </c>
      <c r="H45" s="270">
        <f>IF(ISERROR((预测利润表!H29+预测利润表!H30)/ABS(预测利润表!H93)),0,(预测利润表!H29+预测利润表!H30)/ABS(预测利润表!H93))</f>
        <v>0.70632890235635781</v>
      </c>
      <c r="I45" s="270">
        <f>IF(ISERROR((预测利润表!I29+预测利润表!I30)/ABS(预测利润表!I93)),0,(预测利润表!I29+预测利润表!I30)/ABS(预测利润表!I93))</f>
        <v>0</v>
      </c>
      <c r="J45" s="270">
        <f>IF(ISERROR((预测利润表!J29+预测利润表!J30)/ABS(预测利润表!J93)),0,(预测利润表!J29+预测利润表!J30)/ABS(预测利润表!J93))</f>
        <v>0</v>
      </c>
    </row>
    <row r="46" spans="1:11">
      <c r="A46" s="378"/>
      <c r="B46" s="376" t="s">
        <v>3555</v>
      </c>
      <c r="C46" s="386"/>
      <c r="D46" s="249" t="s">
        <v>1262</v>
      </c>
      <c r="E46" s="388">
        <f>IF(ISERROR(预测利润表!E9*2/(预测资产负债表!D15+预测资产负债表!E15)),0,预测利润表!E9*2/(预测资产负债表!D15+预测资产负债表!E15))</f>
        <v>4.6255719556233634</v>
      </c>
      <c r="F46" s="388">
        <f>IF(ISERROR(预测利润表!F9*2/(预测资产负债表!E15+预测资产负债表!F15)),0,预测利润表!F9*2/(预测资产负债表!E15+预测资产负债表!F15))</f>
        <v>4.0773953854038201</v>
      </c>
      <c r="G46" s="388">
        <f>IF(ISERROR(预测利润表!G9*2/(预测资产负债表!F15+预测资产负债表!G15)),0,预测利润表!G9*2/(预测资产负债表!F15+预测资产负债表!G15))</f>
        <v>3.6806138483118422</v>
      </c>
      <c r="H46" s="388">
        <f>IF(ISERROR(预测利润表!H9*2/(预测资产负债表!G15+预测资产负债表!H15)),0,预测利润表!H9*2/(预测资产负债表!G15+预测资产负债表!H15))</f>
        <v>3.6806138483118418</v>
      </c>
      <c r="I46" s="388">
        <f>IF(ISERROR(预测利润表!I9*2/(预测资产负债表!H15+预测资产负债表!I15)),0,预测利润表!I9*2/(预测资产负债表!H15+预测资产负债表!I15))</f>
        <v>3.6806138483118422</v>
      </c>
      <c r="J46" s="388">
        <f>IF(ISERROR(预测利润表!J9*2/(预测资产负债表!I15+预测资产负债表!J15)),0,预测利润表!J9*2/(预测资产负债表!I15+预测资产负债表!J15))</f>
        <v>3.6806138483118422</v>
      </c>
    </row>
    <row r="47" spans="1:11">
      <c r="A47" s="378"/>
      <c r="B47" s="376" t="s">
        <v>1560</v>
      </c>
      <c r="C47" s="386"/>
      <c r="D47" s="249" t="s">
        <v>1262</v>
      </c>
      <c r="E47" s="388">
        <f>IF(ISERROR(预测利润表!E7*2/(预测资产负债表!D9+预测资产负债表!E9)),0,预测利润表!E7*2/(预测资产负债表!D9+预测资产负债表!E9))</f>
        <v>2.4417296984407129</v>
      </c>
      <c r="F47" s="388">
        <f>IF(ISERROR(预测利润表!F7*2/(预测资产负债表!E9+预测资产负债表!F9)),0,预测利润表!F7*2/(预测资产负债表!E9+预测资产负债表!F9))</f>
        <v>2.2906485228126283</v>
      </c>
      <c r="G47" s="388">
        <f>IF(ISERROR(预测利润表!G7*2/(预测资产负债表!F9+预测资产负债表!G9)),0,预测利润表!G7*2/(预测资产负债表!F9+预测资产负债表!G9))</f>
        <v>2.5058659199465669</v>
      </c>
      <c r="H47" s="388">
        <f>IF(ISERROR(预测利润表!H7*2/(预测资产负债表!G9+预测资产负债表!H9)),0,预测利润表!H7*2/(预测资产负债表!G9+预测资产负债表!H9))</f>
        <v>2.5058659199465669</v>
      </c>
      <c r="I47" s="388">
        <f>IF(ISERROR(预测利润表!I7*2/(预测资产负债表!H9+预测资产负债表!I9)),0,预测利润表!I7*2/(预测资产负债表!H9+预测资产负债表!I9))</f>
        <v>2.5058659199465669</v>
      </c>
      <c r="J47" s="388">
        <f>IF(ISERROR(预测利润表!J7*2/(预测资产负债表!I9+预测资产负债表!J9)),0,预测利润表!J7*2/(预测资产负债表!I9+预测资产负债表!J9))</f>
        <v>2.5058659199465665</v>
      </c>
    </row>
    <row r="48" spans="1:11">
      <c r="A48" s="378"/>
      <c r="B48" s="376" t="s">
        <v>1561</v>
      </c>
      <c r="C48" s="386"/>
      <c r="D48" s="249" t="s">
        <v>1262</v>
      </c>
      <c r="E48" s="388">
        <f>IF(ISERROR(预测利润表!E7*2/(预测资产负债表!D23+预测资产负债表!E23)),0,预测利润表!E7*2/(预测资产负债表!D23+预测资产负债表!E23))</f>
        <v>0.91530957151920467</v>
      </c>
      <c r="F48" s="388">
        <f>IF(ISERROR(预测利润表!F7*2/(预测资产负债表!E23+预测资产负债表!F23)),0,预测利润表!F7*2/(预测资产负债表!E23+预测资产负债表!F23))</f>
        <v>0.92216581088794536</v>
      </c>
      <c r="G48" s="388">
        <f>IF(ISERROR(预测利润表!G7*2/(预测资产负债表!F23+预测资产负债表!G23)),0,预测利润表!G7*2/(预测资产负债表!F23+预测资产负债表!G23))</f>
        <v>1.0036223163612534</v>
      </c>
      <c r="H48" s="388">
        <f>IF(ISERROR(预测利润表!H7*2/(预测资产负债表!G23+预测资产负债表!H23)),0,预测利润表!H7*2/(预测资产负债表!G23+预测资产负债表!H23))</f>
        <v>0</v>
      </c>
      <c r="I48" s="388">
        <f>IF(ISERROR(预测利润表!I7*2/(预测资产负债表!H23+预测资产负债表!I23)),0,预测利润表!I7*2/(预测资产负债表!H23+预测资产负债表!I23))</f>
        <v>0</v>
      </c>
      <c r="J48" s="388">
        <f>IF(ISERROR(预测利润表!J7*2/(预测资产负债表!I23+预测资产负债表!J23)),0,预测利润表!J7*2/(预测资产负债表!I23+预测资产负债表!J23))</f>
        <v>0</v>
      </c>
    </row>
    <row r="49" spans="1:10">
      <c r="A49" s="387"/>
      <c r="B49" s="376" t="s">
        <v>1562</v>
      </c>
      <c r="C49" s="386"/>
      <c r="D49" s="249" t="s">
        <v>1262</v>
      </c>
      <c r="E49" s="388">
        <f>IF(ISERROR(预测利润表!E7*2/(预测资产负债表!D32+预测资产负债表!E32)),0,预测利润表!E7*2/(预测资产负债表!D32+预测资产负债表!E32))</f>
        <v>0.49635906095080362</v>
      </c>
      <c r="F49" s="388">
        <f>IF(ISERROR(预测利润表!F7*2/(预测资产负债表!E32+预测资产负债表!F32)),0,预测利润表!F7*2/(预测资产负债表!E32+预测资产负债表!F32))</f>
        <v>0.46933316080582005</v>
      </c>
      <c r="G49" s="388">
        <f>IF(ISERROR(预测利润表!G7*2/(预测资产负债表!F32+预测资产负债表!G32)),0,预测利润表!G7*2/(预测资产负债表!F32+预测资产负债表!G32))</f>
        <v>0.49309054468559177</v>
      </c>
      <c r="H49" s="388">
        <f>IF(ISERROR(预测利润表!H7*2/(预测资产负债表!G32+预测资产负债表!H32)),0,预测利润表!H7*2/(预测资产负债表!G32+预测资产负债表!H32))</f>
        <v>0</v>
      </c>
      <c r="I49" s="388">
        <f>IF(ISERROR(预测利润表!I7*2/(预测资产负债表!H32+预测资产负债表!I32)),0,预测利润表!I7*2/(预测资产负债表!H32+预测资产负债表!I32))</f>
        <v>0</v>
      </c>
      <c r="J49" s="388">
        <f>IF(ISERROR(预测利润表!J7*2/(预测资产负债表!I32+预测资产负债表!J32)),0,预测利润表!J7*2/(预测资产负债表!I32+预测资产负债表!J32))</f>
        <v>0</v>
      </c>
    </row>
    <row r="50" spans="1:10">
      <c r="A50" s="378"/>
      <c r="B50" s="255" t="s">
        <v>1563</v>
      </c>
      <c r="C50" s="386"/>
      <c r="D50" s="249" t="s">
        <v>1262</v>
      </c>
      <c r="E50" s="270">
        <f>IF(ISERROR(E42-绝对估值!$C$17),0,E42-绝对估值!$C$17)</f>
        <v>-0.11134983598256103</v>
      </c>
      <c r="F50" s="270">
        <f>IF(ISERROR(F42-绝对估值!$C$17),0,F42-绝对估值!$C$17)</f>
        <v>-0.11134983598256103</v>
      </c>
      <c r="G50" s="270">
        <f>IF(ISERROR(G42-绝对估值!$C$17),0,G42-绝对估值!$C$17)</f>
        <v>-0.11134983598256103</v>
      </c>
      <c r="H50" s="270">
        <f>IF(ISERROR(H42-绝对估值!$C$17),0,H42-绝对估值!$C$17)</f>
        <v>2.5907413364459994E-2</v>
      </c>
      <c r="I50" s="270">
        <f>IF(ISERROR(I42-绝对估值!$C$17),0,I42-绝对估值!$C$17)</f>
        <v>-0.11134983598256103</v>
      </c>
      <c r="J50" s="270">
        <f>IF(ISERROR(J42-绝对估值!$C$17),0,J42-绝对估值!$C$17)</f>
        <v>-0.11134983598256103</v>
      </c>
    </row>
    <row r="51" spans="1:10">
      <c r="A51" s="225"/>
      <c r="B51" s="389"/>
      <c r="C51" s="383"/>
      <c r="D51" s="106"/>
      <c r="E51" s="106"/>
      <c r="F51" s="106"/>
      <c r="G51" s="106"/>
      <c r="H51" s="106"/>
      <c r="I51" s="106"/>
      <c r="J51" s="106"/>
    </row>
    <row r="52" spans="1:10">
      <c r="A52" s="225"/>
      <c r="B52" s="225"/>
      <c r="C52" s="383"/>
      <c r="D52" s="106"/>
      <c r="E52" s="106"/>
      <c r="F52" s="106"/>
      <c r="G52" s="106"/>
      <c r="H52" s="106"/>
      <c r="I52" s="106"/>
      <c r="J52" s="106"/>
    </row>
    <row r="53" spans="1:10">
      <c r="A53" s="237" t="s">
        <v>1564</v>
      </c>
      <c r="B53" s="225"/>
      <c r="C53" s="390"/>
      <c r="D53" s="391"/>
      <c r="E53" s="391"/>
      <c r="F53" s="391"/>
      <c r="G53" s="391"/>
      <c r="H53" s="391"/>
      <c r="I53" s="391"/>
      <c r="J53" s="391"/>
    </row>
    <row r="54" spans="1:10">
      <c r="A54" s="255"/>
      <c r="B54" s="376" t="s">
        <v>1565</v>
      </c>
      <c r="C54" s="377"/>
      <c r="D54" s="270">
        <f>IF(ISERROR(预测资产负债表!D50/预测资产负债表!D32),0,预测资产负债表!D50/预测资产负债表!D32)</f>
        <v>0.22760939220773593</v>
      </c>
      <c r="E54" s="270">
        <f>IF(ISERROR(预测资产负债表!E50/预测资产负债表!E32),0,预测资产负债表!E50/预测资产负债表!E32)</f>
        <v>0.31261091641372901</v>
      </c>
      <c r="F54" s="270">
        <f>IF(ISERROR(预测资产负债表!F50/预测资产负债表!F32),0,预测资产负债表!F50/预测资产负债表!F32)</f>
        <v>0.11790328499340945</v>
      </c>
      <c r="G54" s="270">
        <f>IF(ISERROR(预测资产负债表!G50/预测资产负债表!G32),0,预测资产负债表!G50/预测资产负债表!G32)</f>
        <v>0.12644723917957848</v>
      </c>
      <c r="H54" s="270">
        <f>IF(ISERROR(预测资产负债表!H50/预测资产负债表!H32),0,预测资产负债表!H50/预测资产负债表!H32)</f>
        <v>0</v>
      </c>
      <c r="I54" s="270">
        <f>IF(ISERROR(预测资产负债表!I50/预测资产负债表!I32),0,预测资产负债表!I50/预测资产负债表!I32)</f>
        <v>0</v>
      </c>
      <c r="J54" s="270">
        <f>IF(ISERROR(预测资产负债表!J50/预测资产负债表!J32),0,预测资产负债表!J50/预测资产负债表!J32)</f>
        <v>0</v>
      </c>
    </row>
    <row r="55" spans="1:10">
      <c r="A55" s="255"/>
      <c r="B55" s="376" t="s">
        <v>1566</v>
      </c>
      <c r="C55" s="377"/>
      <c r="D55" s="270">
        <f>IF(ISERROR(预测资产负债表!D70/预测资产负债表!D50),0,预测资产负债表!D70/预测资产负债表!D50)</f>
        <v>0.3079334827832107</v>
      </c>
      <c r="E55" s="270">
        <f>IF(ISERROR(预测资产负债表!E70/预测资产负债表!E50),0,预测资产负债表!E70/预测资产负债表!E50)</f>
        <v>0.56416286083124301</v>
      </c>
      <c r="F55" s="270">
        <f>IF(ISERROR(预测资产负债表!F70/预测资产负债表!F50),0,预测资产负债表!F70/预测资产负债表!F50)</f>
        <v>7.572569294612746E-3</v>
      </c>
      <c r="G55" s="270">
        <f>IF(ISERROR(预测资产负债表!G70/预测资产负债表!G50),0,预测资产负债表!G70/预测资产负债表!G50)</f>
        <v>9.542920989271704E-2</v>
      </c>
      <c r="H55" s="270">
        <f>IF(ISERROR(预测资产负债表!H70/预测资产负债表!H50),0,预测资产负债表!H70/预测资产负债表!H50)</f>
        <v>0</v>
      </c>
      <c r="I55" s="270">
        <f>IF(ISERROR(预测资产负债表!I70/预测资产负债表!I50),0,预测资产负债表!I70/预测资产负债表!I50)</f>
        <v>0</v>
      </c>
      <c r="J55" s="270">
        <f>IF(ISERROR(预测资产负债表!J70/预测资产负债表!J50),0,预测资产负债表!J70/预测资产负债表!J50)</f>
        <v>0</v>
      </c>
    </row>
    <row r="56" spans="1:10">
      <c r="A56" s="255"/>
      <c r="B56" s="376" t="s">
        <v>1567</v>
      </c>
      <c r="C56" s="377"/>
      <c r="D56" s="270">
        <f>IF(ISERROR(预测资产负债表!D19/预测资产负债表!D32),0,预测资产负债表!D19/预测资产负债表!D32)</f>
        <v>0.29857870288441152</v>
      </c>
      <c r="E56" s="270">
        <f>IF(ISERROR(预测资产负债表!E19/预测资产负债表!E32),0,预测资产负债表!E19/预测资产负债表!E32)</f>
        <v>0.33345473755951249</v>
      </c>
      <c r="F56" s="270">
        <f>IF(ISERROR(预测资产负债表!F19/预测资产负债表!F32),0,预测资产负债表!F19/预测资产负债表!F32)</f>
        <v>0.34736335242703564</v>
      </c>
      <c r="G56" s="270">
        <f>IF(ISERROR(预测资产负债表!G19/预测资产负债表!G32),0,预测资产负债表!G19/预测资产负债表!G32)</f>
        <v>0.35127230266737391</v>
      </c>
      <c r="H56" s="270">
        <f>IF(ISERROR(预测资产负债表!H19/预测资产负债表!H32),0,预测资产负债表!H19/预测资产负债表!H32)</f>
        <v>0</v>
      </c>
      <c r="I56" s="270">
        <f>IF(ISERROR(预测资产负债表!I19/预测资产负债表!I32),0,预测资产负债表!I19/预测资产负债表!I32)</f>
        <v>0</v>
      </c>
      <c r="J56" s="270">
        <f>IF(ISERROR(预测资产负债表!J19/预测资产负债表!J32),0,预测资产负债表!J19/预测资产负债表!J32)</f>
        <v>0</v>
      </c>
    </row>
    <row r="57" spans="1:10">
      <c r="A57" s="255"/>
      <c r="B57" s="376" t="s">
        <v>1568</v>
      </c>
      <c r="C57" s="377"/>
      <c r="D57" s="270">
        <f>IF(ISERROR((预测资产负债表!D23+预测资产负债表!D24)/预测资产负债表!D32),0,(预测资产负债表!D23+预测资产负债表!D24)/预测资产负债表!D32)</f>
        <v>0.62372178372366505</v>
      </c>
      <c r="E57" s="270">
        <f>IF(ISERROR((预测资产负债表!E23+预测资产负债表!E24)/预测资产负债表!E32),0,(预测资产负债表!E23+预测资产负债表!E24)/预测资产负债表!E32)</f>
        <v>0.60390706565816188</v>
      </c>
      <c r="F57" s="270">
        <f>IF(ISERROR((预测资产负债表!F23+预测资产负债表!F24)/预测资产负债表!F32),0,(预测资产负债表!F23+预测资产负债表!F24)/预测资产负债表!F32)</f>
        <v>0.53273938989890735</v>
      </c>
      <c r="G57" s="270">
        <f>IF(ISERROR((预测资产负债表!G23+预测资产负债表!G24)/预测资产负债表!G32),0,(预测资产负债表!G23+预测资产负债表!G24)/预测资产负债表!G32)</f>
        <v>0.53556979403585325</v>
      </c>
      <c r="H57" s="270">
        <f>IF(ISERROR((预测资产负债表!H23+预测资产负债表!H24)/预测资产负债表!H32),0,(预测资产负债表!H23+预测资产负债表!H24)/预测资产负债表!H32)</f>
        <v>0</v>
      </c>
      <c r="I57" s="270">
        <f>IF(ISERROR((预测资产负债表!I23+预测资产负债表!I24)/预测资产负债表!I32),0,(预测资产负债表!I23+预测资产负债表!I24)/预测资产负债表!I32)</f>
        <v>0</v>
      </c>
      <c r="J57" s="270">
        <f>IF(ISERROR((预测资产负债表!J23+预测资产负债表!J24)/预测资产负债表!J32),0,(预测资产负债表!J23+预测资产负债表!J24)/预测资产负债表!J32)</f>
        <v>0</v>
      </c>
    </row>
    <row r="58" spans="1:10">
      <c r="A58" s="392"/>
      <c r="B58" s="255" t="s">
        <v>1569</v>
      </c>
      <c r="C58" s="377"/>
      <c r="D58" s="270">
        <f>IF(ISERROR(预测资产负债表!D94/预测资产负债表!D32),0,预测资产负债表!D94/预测资产负债表!D32)</f>
        <v>0.80929708917917575</v>
      </c>
      <c r="E58" s="270">
        <f>IF(ISERROR(预测资产负债表!E94/预测资产负债表!E32),0,预测资产负债表!E94/预测资产负债表!E32)</f>
        <v>0.82234126649195693</v>
      </c>
      <c r="F58" s="270">
        <f>IF(ISERROR(预测资产负债表!F94/预测资产负债表!F32),0,预测资产负债表!F94/预测资产负债表!F32)</f>
        <v>0.82630093847917796</v>
      </c>
      <c r="G58" s="270">
        <f>IF(ISERROR(预测资产负债表!G94/预测资产负债表!G32),0,预测资产负债表!G94/预测资产负债表!G32)</f>
        <v>0.8388725383427581</v>
      </c>
      <c r="H58" s="270">
        <f>IF(ISERROR(预测资产负债表!H94/预测资产负债表!H32),0,预测资产负债表!H94/预测资产负债表!H32)</f>
        <v>0</v>
      </c>
      <c r="I58" s="270">
        <f>IF(ISERROR(预测资产负债表!I94/预测资产负债表!I32),0,预测资产负债表!I94/预测资产负债表!I32)</f>
        <v>0</v>
      </c>
      <c r="J58" s="270">
        <f>IF(ISERROR(预测资产负债表!J94/预测资产负债表!J32),0,预测资产负债表!J94/预测资产负债表!J32)</f>
        <v>0</v>
      </c>
    </row>
    <row r="59" spans="1:10">
      <c r="A59" s="255"/>
      <c r="B59" s="376" t="s">
        <v>1447</v>
      </c>
      <c r="C59" s="377"/>
      <c r="D59" s="270">
        <f>IF(ISERROR(预测利润表!D47),0,预测利润表!D47)</f>
        <v>0</v>
      </c>
      <c r="E59" s="270">
        <f>IF(ISERROR(预测利润表!E47),0,预测利润表!E47)</f>
        <v>0</v>
      </c>
      <c r="F59" s="270">
        <f>IF(ISERROR(预测利润表!F47),0,预测利润表!F47)</f>
        <v>0</v>
      </c>
      <c r="G59" s="270">
        <f>IF(ISERROR(预测利润表!G47),0,预测利润表!G47)</f>
        <v>0</v>
      </c>
      <c r="H59" s="270">
        <f>IF(ISERROR(预测利润表!H47),0,预测利润表!H47)</f>
        <v>0</v>
      </c>
      <c r="I59" s="270">
        <f>IF(ISERROR(预测利润表!I47),0,预测利润表!I47)</f>
        <v>0</v>
      </c>
      <c r="J59" s="270">
        <f>IF(ISERROR(预测利润表!J47),0,预测利润表!J47)</f>
        <v>0</v>
      </c>
    </row>
    <row r="60" spans="1:10">
      <c r="A60" s="255"/>
      <c r="B60" s="376" t="s">
        <v>1570</v>
      </c>
      <c r="C60" s="377"/>
      <c r="D60" s="270">
        <f>IF(ISERROR(1-D59),0,1-D59)</f>
        <v>1</v>
      </c>
      <c r="E60" s="270">
        <f>IF(ISERROR(1-E59),0,1-E59)</f>
        <v>1</v>
      </c>
      <c r="F60" s="270">
        <f t="shared" ref="F60:J60" si="0">IF(ISERROR(1-F59),0,1-F59)</f>
        <v>1</v>
      </c>
      <c r="G60" s="270">
        <f t="shared" si="0"/>
        <v>1</v>
      </c>
      <c r="H60" s="270">
        <f t="shared" si="0"/>
        <v>1</v>
      </c>
      <c r="I60" s="270">
        <f t="shared" si="0"/>
        <v>1</v>
      </c>
      <c r="J60" s="270">
        <f t="shared" si="0"/>
        <v>1</v>
      </c>
    </row>
    <row r="61" spans="1:10">
      <c r="A61" s="393"/>
      <c r="B61" s="394" t="s">
        <v>1571</v>
      </c>
      <c r="C61" s="395"/>
      <c r="D61" s="171">
        <f>IF(ISERROR('历史年度（简化）'!C142/'历史年度（简化）'!C141),0,'历史年度（简化）'!C142/'历史年度（简化）'!C141)</f>
        <v>0</v>
      </c>
      <c r="E61" s="171">
        <f>IF(ISERROR('历史年度（简化）'!D142/'历史年度（简化）'!D141),0,'历史年度（简化）'!D142/'历史年度（简化）'!D141)</f>
        <v>0</v>
      </c>
      <c r="F61" s="171">
        <f>IF(ISERROR('历史年度（简化）'!E142/'历史年度（简化）'!E141),0,'历史年度（简化）'!E142/'历史年度（简化）'!E141)</f>
        <v>0</v>
      </c>
      <c r="G61" s="171">
        <f>IF(ISERROR('历史年度（简化）'!F142/'历史年度（简化）'!F141),0,'历史年度（简化）'!F142/'历史年度（简化）'!F141)</f>
        <v>0</v>
      </c>
      <c r="H61" s="171">
        <f>IF(ISERROR('历史年度（简化）'!G142/'历史年度（简化）'!G141),0,'历史年度（简化）'!G142/'历史年度（简化）'!G141)</f>
        <v>0</v>
      </c>
      <c r="I61" s="171">
        <f>IF(ISERROR('历史年度（简化）'!H142/'历史年度（简化）'!H141),0,'历史年度（简化）'!H142/'历史年度（简化）'!H141)</f>
        <v>0</v>
      </c>
      <c r="J61" s="171">
        <f>IF(ISERROR('历史年度（简化）'!I142/'历史年度（简化）'!I141),0,'历史年度（简化）'!I142/'历史年度（简化）'!I141)</f>
        <v>0</v>
      </c>
    </row>
    <row r="62" spans="1:10">
      <c r="A62" s="255"/>
      <c r="B62" s="376" t="s">
        <v>1572</v>
      </c>
      <c r="C62" s="377"/>
      <c r="D62" s="171">
        <f>IF(ISERROR(1/(1-D54)),0,1/(1-D54))</f>
        <v>1.2946817192124012</v>
      </c>
      <c r="E62" s="171">
        <f>IF(ISERROR(1/(1-E54)),0,1/(1-E54))</f>
        <v>1.454780158542472</v>
      </c>
      <c r="F62" s="171">
        <f t="shared" ref="F62:J62" si="1">IF(ISERROR(1/(1-F54)),0,1/(1-F54))</f>
        <v>1.1336625372111588</v>
      </c>
      <c r="G62" s="171">
        <f t="shared" si="1"/>
        <v>1.1447505461041896</v>
      </c>
      <c r="H62" s="171">
        <f t="shared" si="1"/>
        <v>1</v>
      </c>
      <c r="I62" s="171">
        <f t="shared" si="1"/>
        <v>1</v>
      </c>
      <c r="J62" s="171">
        <f t="shared" si="1"/>
        <v>1</v>
      </c>
    </row>
    <row r="63" spans="1:10">
      <c r="A63" s="225"/>
      <c r="B63" s="225"/>
      <c r="C63" s="383"/>
      <c r="D63" s="109"/>
      <c r="E63" s="109"/>
      <c r="F63" s="426"/>
      <c r="G63" s="426"/>
      <c r="H63" s="426"/>
      <c r="I63" s="426"/>
      <c r="J63" s="426"/>
    </row>
    <row r="64" spans="1:10">
      <c r="A64" s="237" t="s">
        <v>1573</v>
      </c>
      <c r="B64" s="225"/>
      <c r="C64" s="383"/>
      <c r="D64" s="269"/>
      <c r="E64" s="269"/>
      <c r="F64" s="269"/>
      <c r="G64" s="269"/>
      <c r="H64" s="269"/>
      <c r="I64" s="269"/>
      <c r="J64" s="269"/>
    </row>
    <row r="65" spans="1:10">
      <c r="A65" s="378"/>
      <c r="B65" s="376" t="s">
        <v>1574</v>
      </c>
      <c r="C65" s="386"/>
      <c r="D65" s="388">
        <f>IF(ISERROR(预测资产负债表!D19/预测资产负债表!D43),0,预测资产负债表!D19/预测资产负债表!D43)</f>
        <v>1.5433260181890638</v>
      </c>
      <c r="E65" s="388">
        <f>IF(ISERROR(预测资产负债表!E19/预测资产负债表!E43),0,预测资产负债表!E19/预测资产负债表!E43)</f>
        <v>1.1446402646867493</v>
      </c>
      <c r="F65" s="388">
        <f>IF(ISERROR(预测资产负债表!F19/预测资产负债表!F43),0,预测资产负债表!F19/预测资产负债表!F43)</f>
        <v>2.9461719615908288</v>
      </c>
      <c r="G65" s="388">
        <f>IF(ISERROR(预测资产负债表!G19/预测资产负债表!G43),0,预测资产负债表!G19/预测资产负债表!G43)</f>
        <v>2.7780148063849954</v>
      </c>
      <c r="H65" s="388">
        <f>IF(ISERROR(预测资产负债表!H19/预测资产负债表!H43),0,预测资产负债表!H19/预测资产负债表!H43)</f>
        <v>0</v>
      </c>
      <c r="I65" s="388">
        <f>IF(ISERROR(预测资产负债表!I19/预测资产负债表!I43),0,预测资产负债表!I19/预测资产负债表!I43)</f>
        <v>0</v>
      </c>
      <c r="J65" s="388">
        <f>IF(ISERROR(预测资产负债表!J19/预测资产负债表!J43),0,预测资产负债表!J19/预测资产负债表!J43)</f>
        <v>0</v>
      </c>
    </row>
    <row r="66" spans="1:10">
      <c r="A66" s="378"/>
      <c r="B66" s="376" t="s">
        <v>1575</v>
      </c>
      <c r="C66" s="386"/>
      <c r="D66" s="388">
        <f>IF(ISERROR((预测资产负债表!D19-预测资产负债表!D15)/预测资产负债表!D43),0,(预测资产负债表!D19-预测资产负债表!D15)/预测资产负债表!D43)</f>
        <v>1.2008835925982835</v>
      </c>
      <c r="E66" s="388">
        <f>IF(ISERROR((预测资产负债表!E19-预测资产负债表!E15)/预测资产负债表!E43),0,(预测资产负债表!E19-预测资产负债表!E15)/预测资产负债表!E43)</f>
        <v>0.90888261695113692</v>
      </c>
      <c r="F66" s="388">
        <f>IF(ISERROR((预测资产负债表!F19-预测资产负债表!F15)/预测资产负债表!F43),0,(预测资产负债表!F19-预测资产负债表!F15)/预测资产负债表!F43)</f>
        <v>2.2402172356916621</v>
      </c>
      <c r="G66" s="388">
        <f>IF(ISERROR((预测资产负债表!G19-预测资产负债表!G15)/预测资产负债表!G43),0,(预测资产负债表!G19-预测资产负债表!G15)/预测资产负债表!G43)</f>
        <v>2.0540537200970452</v>
      </c>
      <c r="H66" s="388">
        <f>IF(ISERROR((预测资产负债表!H19-预测资产负债表!H15)/预测资产负债表!H43),0,(预测资产负债表!H19-预测资产负债表!H15)/预测资产负债表!H43)</f>
        <v>0</v>
      </c>
      <c r="I66" s="388">
        <f>IF(ISERROR((预测资产负债表!I19-预测资产负债表!I15)/预测资产负债表!I43),0,(预测资产负债表!I19-预测资产负债表!I15)/预测资产负债表!I43)</f>
        <v>0</v>
      </c>
      <c r="J66" s="388">
        <f>IF(ISERROR((预测资产负债表!J19-预测资产负债表!J15)/预测资产负债表!J43),0,(预测资产负债表!J19-预测资产负债表!J15)/预测资产负债表!J43)</f>
        <v>0</v>
      </c>
    </row>
    <row r="67" spans="1:10">
      <c r="A67" s="387"/>
      <c r="B67" s="376" t="s">
        <v>1576</v>
      </c>
      <c r="C67" s="386"/>
      <c r="D67" s="388">
        <f>IF(ISERROR((预测资产负债表!D7+预测资产负债表!D8)/预测资产负债表!D43),0,(预测资产负债表!D7+预测资产负债表!D8)/预测资产负债表!D43)</f>
        <v>0.16023175893209152</v>
      </c>
      <c r="E67" s="388">
        <f>IF(ISERROR((预测资产负债表!E7+预测资产负债表!E8)/预测资产负债表!E43),0,(预测资产负债表!E7+预测资产负债表!E8)/预测资产负债表!E43)</f>
        <v>0.13981650121423786</v>
      </c>
      <c r="F67" s="388">
        <f>IF(ISERROR((预测资产负债表!F7+预测资产负债表!F8)/预测资产负债表!F43),0,(预测资产负债表!F7+预测资产负债表!F8)/预测资产负债表!F43)</f>
        <v>0.47392711745885518</v>
      </c>
      <c r="G67" s="388">
        <f>IF(ISERROR((预测资产负债表!G7+预测资产负债表!G8)/预测资产负债表!G43),0,(预测资产负债表!G7+预测资产负债表!G8)/预测资产负债表!G43)</f>
        <v>0.40143506900047921</v>
      </c>
      <c r="H67" s="388">
        <f>IF(ISERROR((预测资产负债表!H7+预测资产负债表!H8)/预测资产负债表!H43),0,(预测资产负债表!H7+预测资产负债表!H8)/预测资产负债表!H43)</f>
        <v>0</v>
      </c>
      <c r="I67" s="388">
        <f>IF(ISERROR((预测资产负债表!I7+预测资产负债表!I8)/预测资产负债表!I43),0,(预测资产负债表!I7+预测资产负债表!I8)/预测资产负债表!I43)</f>
        <v>0</v>
      </c>
      <c r="J67" s="388">
        <f>IF(ISERROR((预测资产负债表!J7+预测资产负债表!J8)/预测资产负债表!J43),0,(预测资产负债表!J7+预测资产负债表!J8)/预测资产负债表!J43)</f>
        <v>0</v>
      </c>
    </row>
    <row r="68" spans="1:10">
      <c r="A68" s="387"/>
      <c r="B68" s="376" t="s">
        <v>1577</v>
      </c>
      <c r="C68" s="386"/>
      <c r="D68" s="388">
        <f>IF(ISERROR(预测现金流量表!D16/预测资产负债表!D43),0,预测现金流量表!D16/预测资产负债表!D43)</f>
        <v>0</v>
      </c>
      <c r="E68" s="388">
        <f>IF(ISERROR(预测现金流量表!E16/预测资产负债表!E43),0,预测现金流量表!E16/预测资产负债表!E43)</f>
        <v>0</v>
      </c>
      <c r="F68" s="388">
        <f>IF(ISERROR(预测现金流量表!F16/预测资产负债表!F43),0,预测现金流量表!F16/预测资产负债表!F43)</f>
        <v>0</v>
      </c>
      <c r="G68" s="388">
        <f>IF(ISERROR(预测现金流量表!G16/预测资产负债表!G43),0,预测现金流量表!G16/预测资产负债表!G43)</f>
        <v>0</v>
      </c>
      <c r="H68" s="388">
        <f>IF(ISERROR(预测现金流量表!H16/预测资产负债表!H43),0,预测现金流量表!H16/预测资产负债表!H43)</f>
        <v>0</v>
      </c>
      <c r="I68" s="388">
        <f>IF(ISERROR(预测现金流量表!I16/预测资产负债表!I43),0,预测现金流量表!I16/预测资产负债表!I43)</f>
        <v>0</v>
      </c>
      <c r="J68" s="388">
        <f>IF(ISERROR(预测现金流量表!J16/预测资产负债表!J43),0,预测现金流量表!J16/预测资产负债表!J43)</f>
        <v>0</v>
      </c>
    </row>
    <row r="69" spans="1:10">
      <c r="A69" s="378"/>
      <c r="B69" s="376" t="s">
        <v>1578</v>
      </c>
      <c r="C69" s="386"/>
      <c r="D69" s="398">
        <f>IF(ISERROR(预测资产负债表!D50/预测资产负债表!D62),0,预测资产负债表!D50/预测资产负债表!D62)</f>
        <v>0.29468171921240122</v>
      </c>
      <c r="E69" s="398">
        <f>IF(ISERROR(预测资产负债表!E50/预测资产负债表!E62),0,预测资产负债表!E50/预测资产负债表!E62)</f>
        <v>0.45478015854247239</v>
      </c>
      <c r="F69" s="398">
        <f>IF(ISERROR(预测资产负债表!F50/预测资产负债表!F62),0,预测资产负债表!F50/预测资产负债表!F62)</f>
        <v>0.13366253721115889</v>
      </c>
      <c r="G69" s="398">
        <f>IF(ISERROR(预测资产负债表!G50/预测资产负债表!G62),0,预测资产负债表!G50/预测资产负债表!G62)</f>
        <v>0.1447505461041895</v>
      </c>
      <c r="H69" s="398">
        <f>IF(ISERROR(预测资产负债表!H50/预测资产负债表!H62),0,预测资产负债表!H50/预测资产负债表!H62)</f>
        <v>0</v>
      </c>
      <c r="I69" s="398">
        <f>IF(ISERROR(预测资产负债表!I50/预测资产负债表!I62),0,预测资产负债表!I50/预测资产负债表!I62)</f>
        <v>0</v>
      </c>
      <c r="J69" s="398">
        <f>IF(ISERROR(预测资产负债表!J50/预测资产负债表!J62),0,预测资产负债表!J50/预测资产负债表!J62)</f>
        <v>0</v>
      </c>
    </row>
    <row r="70" spans="1:10">
      <c r="A70" s="378"/>
      <c r="B70" s="376" t="s">
        <v>1579</v>
      </c>
      <c r="C70" s="386"/>
      <c r="D70" s="388">
        <f>IF(ISERROR(预测资产负债表!D70/预测资产负债表!D62),0,预测资产负债表!D70/预测资产负债表!D62)</f>
        <v>9.0742368109618887E-2</v>
      </c>
      <c r="E70" s="388">
        <f>IF(ISERROR(预测资产负债表!E70/预测资产负债表!E62),0,预测资产负债表!E70/预测资产负债表!E62)</f>
        <v>0.2565700752926075</v>
      </c>
      <c r="F70" s="388">
        <f>IF(ISERROR(预测资产负债表!F70/预测资产负债表!F62),0,预测资产负债表!F70/预测资产负债表!F62)</f>
        <v>1.0121688251252556E-3</v>
      </c>
      <c r="G70" s="388">
        <f>IF(ISERROR(预测资产负债表!G70/预测资产负债表!G62),0,预测资产负债表!G70/预测资产负债表!G62)</f>
        <v>1.3813430246262113E-2</v>
      </c>
      <c r="H70" s="388">
        <f>IF(ISERROR(预测资产负债表!H70/预测资产负债表!H62),0,预测资产负债表!H70/预测资产负债表!H62)</f>
        <v>0</v>
      </c>
      <c r="I70" s="388">
        <f>IF(ISERROR(预测资产负债表!I70/预测资产负债表!I62),0,预测资产负债表!I70/预测资产负债表!I62)</f>
        <v>0</v>
      </c>
      <c r="J70" s="388">
        <f>IF(ISERROR(预测资产负债表!J70/预测资产负债表!J62),0,预测资产负债表!J70/预测资产负债表!J62)</f>
        <v>0</v>
      </c>
    </row>
    <row r="71" spans="1:10">
      <c r="A71" s="378"/>
      <c r="B71" s="376" t="s">
        <v>1580</v>
      </c>
      <c r="C71" s="386"/>
      <c r="D71" s="388">
        <f>IF(ISERROR(预测资产负债表!D49/(预测资产负债表!D49+预测资产负债表!D60)),0,预测资产负债表!D49/(预测资产负债表!D49+预测资产负债表!D60))</f>
        <v>4.2326309746119339E-2</v>
      </c>
      <c r="E71" s="388">
        <f>IF(ISERROR(预测资产负债表!E49/(预测资产负债表!E49+预测资产负债表!E60)),0,预测资产负债表!E49/(预测资产负债表!E49+预测资产负债表!E60))</f>
        <v>3.0027628525977432E-2</v>
      </c>
      <c r="F71" s="388">
        <f>IF(ISERROR(预测资产负债表!F49/(预测资产负债表!F49+预测资产负债表!F60)),0,预测资产负债表!F49/(预测资产负债表!F49+预测资产负债表!F60))</f>
        <v>0</v>
      </c>
      <c r="G71" s="388">
        <f>IF(ISERROR(预测资产负债表!G49/(预测资产负债表!G49+预测资产负债表!G60)),0,预测资产负债表!G49/(预测资产负债表!G49+预测资产负债表!G60))</f>
        <v>0</v>
      </c>
      <c r="H71" s="388">
        <f>IF(ISERROR(预测资产负债表!H49/(预测资产负债表!H49+预测资产负债表!H60)),0,预测资产负债表!H49/(预测资产负债表!H49+预测资产负债表!H60))</f>
        <v>0</v>
      </c>
      <c r="I71" s="388">
        <f>IF(ISERROR(预测资产负债表!I49/(预测资产负债表!I49+预测资产负债表!I60)),0,预测资产负债表!I49/(预测资产负债表!I49+预测资产负债表!I60))</f>
        <v>0</v>
      </c>
      <c r="J71" s="388">
        <f>IF(ISERROR(预测资产负债表!J49/(预测资产负债表!J49+预测资产负债表!J60)),0,预测资产负债表!J49/(预测资产负债表!J49+预测资产负债表!J60))</f>
        <v>0</v>
      </c>
    </row>
    <row r="72" spans="1:10">
      <c r="A72" s="378"/>
      <c r="B72" s="376" t="s">
        <v>1581</v>
      </c>
      <c r="C72" s="386"/>
      <c r="D72" s="399">
        <f>IF(ISERROR(预测利润表!D54/预测利润表!D53),0,预测利润表!D54/预测利润表!D53)</f>
        <v>0</v>
      </c>
      <c r="E72" s="399">
        <f>IF(ISERROR(预测利润表!E54/预测利润表!E53),0,预测利润表!E54/预测利润表!E53)</f>
        <v>0</v>
      </c>
      <c r="F72" s="399">
        <f>IF(ISERROR(预测利润表!F54/预测利润表!F53),0,预测利润表!F54/预测利润表!F53)</f>
        <v>0</v>
      </c>
      <c r="G72" s="399">
        <f>IF(ISERROR(预测利润表!G54/预测利润表!G53),0,预测利润表!G54/预测利润表!G53)</f>
        <v>0</v>
      </c>
      <c r="H72" s="399">
        <f>IF(ISERROR(预测利润表!H54/预测利润表!H53),0,预测利润表!H54/预测利润表!H53)</f>
        <v>-512.16237790288596</v>
      </c>
      <c r="I72" s="399">
        <f>IF(ISERROR(预测利润表!I54/预测利润表!I53),0,预测利润表!I54/预测利润表!I53)</f>
        <v>0</v>
      </c>
      <c r="J72" s="399">
        <f>IF(ISERROR(预测利润表!J54/预测利润表!J53),0,预测利润表!J54/预测利润表!J53)</f>
        <v>0</v>
      </c>
    </row>
    <row r="73" spans="1:10">
      <c r="A73" s="378"/>
      <c r="B73" s="376" t="s">
        <v>1582</v>
      </c>
      <c r="C73" s="386"/>
      <c r="D73" s="399">
        <f>IF(ISERROR(预测现金流量表!D16/预测现金流量表!D10),0,预测现金流量表!D16/预测现金流量表!D10)</f>
        <v>0</v>
      </c>
      <c r="E73" s="399">
        <f>IF(ISERROR(预测现金流量表!E16/预测现金流量表!E10),0,预测现金流量表!E16/预测现金流量表!E10)</f>
        <v>0</v>
      </c>
      <c r="F73" s="399">
        <f>IF(ISERROR(预测现金流量表!F16/预测现金流量表!F10),0,预测现金流量表!F16/预测现金流量表!F10)</f>
        <v>0</v>
      </c>
      <c r="G73" s="399">
        <f>IF(ISERROR(预测现金流量表!G16/预测现金流量表!G10),0,预测现金流量表!G16/预测现金流量表!G10)</f>
        <v>0</v>
      </c>
      <c r="H73" s="399">
        <f>IF(ISERROR(预测现金流量表!H16/预测现金流量表!H10),0,预测现金流量表!H16/预测现金流量表!H10)</f>
        <v>0</v>
      </c>
      <c r="I73" s="399">
        <f>IF(ISERROR(预测现金流量表!I16/预测现金流量表!I10),0,预测现金流量表!I16/预测现金流量表!I10)</f>
        <v>0</v>
      </c>
      <c r="J73" s="399">
        <f>IF(ISERROR(预测现金流量表!J16/预测现金流量表!J10),0,预测现金流量表!J16/预测现金流量表!J10)</f>
        <v>0</v>
      </c>
    </row>
    <row r="74" spans="1:10">
      <c r="A74" s="225"/>
      <c r="B74" s="389"/>
      <c r="C74" s="383"/>
      <c r="D74" s="106"/>
      <c r="E74" s="106"/>
      <c r="F74" s="106"/>
      <c r="G74" s="106"/>
      <c r="H74" s="106"/>
      <c r="I74" s="106"/>
      <c r="J74" s="106"/>
    </row>
    <row r="75" spans="1:10">
      <c r="A75" s="225"/>
      <c r="B75" s="225"/>
      <c r="C75" s="383"/>
      <c r="D75" s="106"/>
      <c r="E75" s="106"/>
      <c r="F75" s="106"/>
      <c r="G75" s="106"/>
      <c r="H75" s="106"/>
      <c r="I75" s="106"/>
      <c r="J75" s="106"/>
    </row>
    <row r="76" spans="1:10">
      <c r="A76" s="237" t="s">
        <v>1583</v>
      </c>
      <c r="B76" s="225"/>
      <c r="C76" s="383"/>
      <c r="D76" s="106"/>
      <c r="E76" s="106"/>
      <c r="F76" s="106"/>
      <c r="G76" s="106"/>
      <c r="H76" s="106"/>
      <c r="I76" s="106"/>
      <c r="J76" s="106"/>
    </row>
    <row r="77" spans="1:10">
      <c r="A77" s="378"/>
      <c r="B77" s="376" t="s">
        <v>1584</v>
      </c>
      <c r="C77" s="386"/>
      <c r="D77" s="400">
        <f ca="1">IF(ISERROR(预测利润表!D45*unit/目录!$E$9/10000),0,预测利润表!D45*unit/目录!$E$9/10000)</f>
        <v>0</v>
      </c>
      <c r="E77" s="400">
        <f ca="1">IF(ISERROR(预测利润表!E45*unit/目录!$E$9/10000),0,预测利润表!E45*unit/目录!$E$9/10000)</f>
        <v>0</v>
      </c>
      <c r="F77" s="400">
        <f ca="1">IF(ISERROR(预测利润表!F45*unit/目录!$E$9/10000),0,预测利润表!F45*unit/目录!$E$9/10000)</f>
        <v>0</v>
      </c>
      <c r="G77" s="400">
        <f ca="1">IF(ISERROR(预测利润表!G45*unit/目录!$E$9/10000),0,预测利润表!G45*unit/目录!$E$9/10000)</f>
        <v>0</v>
      </c>
      <c r="H77" s="400">
        <f ca="1">IF(ISERROR(预测利润表!H45*unit/目录!$E$9/10000),0,预测利润表!H45*unit/目录!$E$9/10000)</f>
        <v>0</v>
      </c>
      <c r="I77" s="400">
        <f ca="1">IF(ISERROR(预测利润表!I45*unit/目录!$E$9/10000),0,预测利润表!I45*unit/目录!$E$9/10000)</f>
        <v>0</v>
      </c>
      <c r="J77" s="400">
        <f ca="1">IF(ISERROR(预测利润表!J45*unit/目录!$E$9/10000),0,预测利润表!J45*unit/目录!$E$9/10000)</f>
        <v>0</v>
      </c>
    </row>
    <row r="78" spans="1:10">
      <c r="A78" s="387"/>
      <c r="B78" s="376" t="s">
        <v>1585</v>
      </c>
      <c r="C78" s="386"/>
      <c r="D78" s="400">
        <f ca="1">IF(ISERROR(预测利润表!D46*unit/目录!$E$9/10000),0,预测利润表!D46*unit/目录!$E$9/10000)</f>
        <v>0</v>
      </c>
      <c r="E78" s="400">
        <f ca="1">IF(ISERROR(预测利润表!E46*unit/目录!$E$9/10000),0,预测利润表!E46*unit/目录!$E$9/10000)</f>
        <v>0</v>
      </c>
      <c r="F78" s="400">
        <f ca="1">IF(ISERROR(预测利润表!F46*unit/目录!$E$9/10000),0,预测利润表!F46*unit/目录!$E$9/10000)</f>
        <v>0</v>
      </c>
      <c r="G78" s="400">
        <f ca="1">IF(ISERROR(预测利润表!G46*unit/目录!$E$9/10000),0,预测利润表!G46*unit/目录!$E$9/10000)</f>
        <v>0</v>
      </c>
      <c r="H78" s="400">
        <f ca="1">IF(ISERROR(预测利润表!H46*unit/目录!$E$9/10000),0,预测利润表!H46*unit/目录!$E$9/10000)</f>
        <v>0</v>
      </c>
      <c r="I78" s="400">
        <f ca="1">IF(ISERROR(预测利润表!I46*unit/目录!$E$9/10000),0,预测利润表!I46*unit/目录!$E$9/10000)</f>
        <v>0</v>
      </c>
      <c r="J78" s="400">
        <f ca="1">IF(ISERROR(预测利润表!J46*unit/目录!$E$9/10000),0,预测利润表!J46*unit/目录!$E$9/10000)</f>
        <v>0</v>
      </c>
    </row>
    <row r="79" spans="1:10">
      <c r="A79" s="378"/>
      <c r="B79" s="376" t="s">
        <v>1586</v>
      </c>
      <c r="C79" s="386"/>
      <c r="D79" s="400">
        <f ca="1">IF(ISERROR(预测资产负债表!D60*unit/目录!$E$9/10000),0,预测资产负债表!D60*unit/目录!$E$9/10000)</f>
        <v>0</v>
      </c>
      <c r="E79" s="400">
        <f ca="1">IF(ISERROR(预测资产负债表!E60*unit/目录!$E$9/10000),0,预测资产负债表!E60*unit/目录!$E$9/10000)</f>
        <v>0</v>
      </c>
      <c r="F79" s="400">
        <f ca="1">IF(ISERROR(预测资产负债表!F60*unit/目录!$E$9/10000),0,预测资产负债表!F60*unit/目录!$E$9/10000)</f>
        <v>0</v>
      </c>
      <c r="G79" s="400">
        <f ca="1">IF(ISERROR(预测资产负债表!G60*unit/目录!$E$9/10000),0,预测资产负债表!G60*unit/目录!$E$9/10000)</f>
        <v>0</v>
      </c>
      <c r="H79" s="400">
        <f ca="1">IF(ISERROR(预测资产负债表!H60*unit/目录!$E$9/10000),0,预测资产负债表!H60*unit/目录!$E$9/10000)</f>
        <v>0</v>
      </c>
      <c r="I79" s="400">
        <f ca="1">IF(ISERROR(预测资产负债表!I60*unit/目录!$E$9/10000),0,预测资产负债表!I60*unit/目录!$E$9/10000)</f>
        <v>0</v>
      </c>
      <c r="J79" s="400">
        <f ca="1">IF(ISERROR(预测资产负债表!J60*unit/目录!$E$9/10000),0,预测资产负债表!J60*unit/目录!$E$9/10000)</f>
        <v>0</v>
      </c>
    </row>
    <row r="80" spans="1:10">
      <c r="A80" s="378"/>
      <c r="B80" s="376" t="s">
        <v>1587</v>
      </c>
      <c r="C80" s="386"/>
      <c r="D80" s="400">
        <f ca="1">IF(ISERROR(预测现金流量表!D16*unit/目录!$E$9/10000),0,预测现金流量表!D16*unit/目录!$E$9/10000)</f>
        <v>0</v>
      </c>
      <c r="E80" s="400">
        <f ca="1">IF(ISERROR(预测现金流量表!E16*unit/目录!$E$9/10000),0,预测现金流量表!E16*unit/目录!$E$9/10000)</f>
        <v>0</v>
      </c>
      <c r="F80" s="400">
        <f ca="1">IF(ISERROR(预测现金流量表!F16*unit/目录!$E$9/10000),0,预测现金流量表!F16*unit/目录!$E$9/10000)</f>
        <v>0</v>
      </c>
      <c r="G80" s="400">
        <f ca="1">IF(ISERROR(预测现金流量表!G16*unit/目录!$E$9/10000),0,预测现金流量表!G16*unit/目录!$E$9/10000)</f>
        <v>0</v>
      </c>
      <c r="H80" s="400">
        <f ca="1">IF(ISERROR(预测现金流量表!H16*unit/目录!$E$9/10000),0,预测现金流量表!H16*unit/目录!$E$9/10000)</f>
        <v>0</v>
      </c>
      <c r="I80" s="400">
        <f ca="1">IF(ISERROR(预测现金流量表!I16*unit/目录!$E$9/10000),0,预测现金流量表!I16*unit/目录!$E$9/10000)</f>
        <v>0</v>
      </c>
      <c r="J80" s="400">
        <f ca="1">IF(ISERROR(预测现金流量表!J16*unit/目录!$E$9/10000),0,预测现金流量表!J16*unit/目录!$E$9/10000)</f>
        <v>0</v>
      </c>
    </row>
    <row r="81" spans="1:10">
      <c r="A81" s="378"/>
      <c r="B81" s="376" t="s">
        <v>1588</v>
      </c>
      <c r="C81" s="386"/>
      <c r="D81" s="400">
        <f ca="1">IF(ISERROR(预测现金流量表!D63*unit/目录!$E$9/10000),0,预测现金流量表!D63*unit/目录!$E$9/10000)</f>
        <v>0</v>
      </c>
      <c r="E81" s="400">
        <f ca="1">IF(ISERROR(预测现金流量表!E63*unit/目录!$E$9/10000),0,预测现金流量表!E63*unit/目录!$E$9/10000)</f>
        <v>0</v>
      </c>
      <c r="F81" s="400">
        <f ca="1">IF(ISERROR(预测现金流量表!F63*unit/目录!$E$9/10000),0,预测现金流量表!F63*unit/目录!$E$9/10000)</f>
        <v>0</v>
      </c>
      <c r="G81" s="400">
        <f ca="1">IF(ISERROR(预测现金流量表!G63*unit/目录!$E$9/10000),0,预测现金流量表!G63*unit/目录!$E$9/10000)</f>
        <v>0</v>
      </c>
      <c r="H81" s="400">
        <f ca="1">IF(ISERROR(预测现金流量表!H63*unit/目录!$E$9/10000),0,预测现金流量表!H63*unit/目录!$E$9/10000)</f>
        <v>0</v>
      </c>
      <c r="I81" s="400">
        <f ca="1">IF(ISERROR(预测现金流量表!I63*unit/目录!$E$9/10000),0,预测现金流量表!I63*unit/目录!$E$9/10000)</f>
        <v>0</v>
      </c>
      <c r="J81" s="400">
        <f ca="1">IF(ISERROR(预测现金流量表!J63*unit/目录!$E$9/10000),0,预测现金流量表!J63*unit/目录!$E$9/10000)</f>
        <v>0</v>
      </c>
    </row>
    <row r="82" spans="1:10">
      <c r="A82" s="378"/>
      <c r="B82" s="376" t="s">
        <v>1589</v>
      </c>
      <c r="C82" s="386"/>
      <c r="D82" s="400">
        <f ca="1">IF(ISERROR(预测利润表!D7*unit/目录!$E$9/10000),0,预测利润表!D7*unit/目录!$E$9/10000)</f>
        <v>0</v>
      </c>
      <c r="E82" s="400">
        <f ca="1">IF(ISERROR(预测利润表!E7*unit/目录!$E$9/10000),0,预测利润表!E7*unit/目录!$E$9/10000)</f>
        <v>0</v>
      </c>
      <c r="F82" s="400">
        <f ca="1">IF(ISERROR(预测利润表!F7*unit/目录!$E$9/10000),0,预测利润表!F7*unit/目录!$E$9/10000)</f>
        <v>0</v>
      </c>
      <c r="G82" s="400">
        <f ca="1">IF(ISERROR(预测利润表!G7*unit/目录!$E$9/10000),0,预测利润表!G7*unit/目录!$E$9/10000)</f>
        <v>0</v>
      </c>
      <c r="H82" s="400">
        <f ca="1">IF(ISERROR(预测利润表!H7*unit/目录!$E$9/10000),0,预测利润表!H7*unit/目录!$E$9/10000)</f>
        <v>0</v>
      </c>
      <c r="I82" s="400">
        <f ca="1">IF(ISERROR(预测利润表!I7*unit/目录!$E$9/10000),0,预测利润表!I7*unit/目录!$E$9/10000)</f>
        <v>0</v>
      </c>
      <c r="J82" s="400">
        <f ca="1">IF(ISERROR(预测利润表!J7*unit/目录!$E$9/10000),0,预测利润表!J7*unit/目录!$E$9/10000)</f>
        <v>0</v>
      </c>
    </row>
    <row r="83" spans="1:10">
      <c r="A83" s="255" t="s">
        <v>1590</v>
      </c>
      <c r="B83" s="401"/>
      <c r="C83" s="377"/>
      <c r="D83" s="402"/>
      <c r="E83" s="402"/>
      <c r="F83" s="402"/>
      <c r="G83" s="402"/>
      <c r="H83" s="402"/>
      <c r="I83" s="402"/>
      <c r="J83" s="402"/>
    </row>
    <row r="84" spans="1:10">
      <c r="A84" s="378"/>
      <c r="B84" s="376" t="s">
        <v>1591</v>
      </c>
      <c r="C84" s="386"/>
      <c r="D84" s="400">
        <f>IF(ISERROR(预测利润表!D45/预测资产负债表!D52),0,预测利润表!D45/预测资产负债表!D52)</f>
        <v>0</v>
      </c>
      <c r="E84" s="400">
        <f>IF(ISERROR(预测利润表!E45/预测资产负债表!E52),0,预测利润表!E45/预测资产负债表!E52)</f>
        <v>0</v>
      </c>
      <c r="F84" s="400">
        <f>IF(ISERROR(预测利润表!F45/预测资产负债表!F52),0,预测利润表!F45/预测资产负债表!F52)</f>
        <v>0</v>
      </c>
      <c r="G84" s="400">
        <f>IF(ISERROR(预测利润表!G45/预测资产负债表!G52),0,预测利润表!G45/预测资产负债表!G52)</f>
        <v>0</v>
      </c>
      <c r="H84" s="400">
        <f>IF(ISERROR(预测利润表!H45/预测资产负债表!H52),0,预测利润表!H45/预测资产负债表!H52)</f>
        <v>0</v>
      </c>
      <c r="I84" s="400">
        <f>IF(ISERROR(预测利润表!I45/预测资产负债表!I52),0,预测利润表!I45/预测资产负债表!I52)</f>
        <v>0</v>
      </c>
      <c r="J84" s="400">
        <f>IF(ISERROR(预测利润表!J45/预测资产负债表!J52),0,预测利润表!J45/预测资产负债表!J52)</f>
        <v>0</v>
      </c>
    </row>
    <row r="85" spans="1:10">
      <c r="A85" s="225"/>
      <c r="B85" s="225"/>
      <c r="C85" s="383"/>
      <c r="D85" s="106"/>
      <c r="E85" s="106"/>
      <c r="F85" s="106"/>
      <c r="G85" s="106"/>
      <c r="H85" s="106"/>
      <c r="I85" s="106"/>
      <c r="J85" s="106"/>
    </row>
    <row r="86" spans="1:10">
      <c r="A86" s="237" t="s">
        <v>1592</v>
      </c>
      <c r="B86" s="225"/>
      <c r="C86" s="383"/>
      <c r="D86" s="109"/>
      <c r="E86" s="109"/>
      <c r="F86" s="426"/>
      <c r="G86" s="426"/>
      <c r="H86" s="426"/>
      <c r="I86" s="426"/>
      <c r="J86" s="426"/>
    </row>
    <row r="87" spans="1:10">
      <c r="A87" s="378"/>
      <c r="B87" s="255" t="s">
        <v>1593</v>
      </c>
      <c r="C87" s="386"/>
      <c r="D87" s="171">
        <f ca="1">IF(ISERROR(目录!$E$8/财务分析!D77),0,目录!$E$8/财务分析!D77)</f>
        <v>0</v>
      </c>
      <c r="E87" s="171">
        <f ca="1">IF(ISERROR(目录!$E$8/财务分析!E77),0,目录!$E$8/财务分析!E77)</f>
        <v>0</v>
      </c>
      <c r="F87" s="171">
        <f ca="1">IF(ISERROR(目录!$E$8/财务分析!F77),0,目录!$E$8/财务分析!F77)</f>
        <v>0</v>
      </c>
      <c r="G87" s="171">
        <f ca="1">IF(ISERROR(目录!$E$8/财务分析!G77),0,目录!$E$8/财务分析!G77)</f>
        <v>0</v>
      </c>
      <c r="H87" s="171">
        <f ca="1">IF(ISERROR(目录!$E$8/财务分析!H77),0,目录!$E$8/财务分析!H77)</f>
        <v>0</v>
      </c>
      <c r="I87" s="171">
        <f ca="1">IF(ISERROR(目录!$E$8/财务分析!I77),0,目录!$E$8/财务分析!I77)</f>
        <v>0</v>
      </c>
      <c r="J87" s="171">
        <f ca="1">IF(ISERROR(目录!$E$8/财务分析!J77),0,目录!$E$8/财务分析!J77)</f>
        <v>0</v>
      </c>
    </row>
    <row r="88" spans="1:10">
      <c r="A88" s="378"/>
      <c r="B88" s="255" t="s">
        <v>1594</v>
      </c>
      <c r="C88" s="386"/>
      <c r="D88" s="171">
        <f ca="1">IF(ISERROR(目录!$E$8/财务分析!D79),0,目录!$E$8/财务分析!D79)</f>
        <v>0</v>
      </c>
      <c r="E88" s="171">
        <f ca="1">IF(ISERROR(目录!$E$8/财务分析!E79),0,目录!$E$8/财务分析!E79)</f>
        <v>0</v>
      </c>
      <c r="F88" s="171">
        <f ca="1">IF(ISERROR(目录!$E$8/财务分析!F79),0,目录!$E$8/财务分析!F79)</f>
        <v>0</v>
      </c>
      <c r="G88" s="171">
        <f ca="1">IF(ISERROR(目录!$E$8/财务分析!G79),0,目录!$E$8/财务分析!G79)</f>
        <v>0</v>
      </c>
      <c r="H88" s="171">
        <f ca="1">IF(ISERROR(目录!$E$8/财务分析!H79),0,目录!$E$8/财务分析!H79)</f>
        <v>0</v>
      </c>
      <c r="I88" s="171">
        <f ca="1">IF(ISERROR(目录!$E$8/财务分析!I79),0,目录!$E$8/财务分析!I79)</f>
        <v>0</v>
      </c>
      <c r="J88" s="171">
        <f ca="1">IF(ISERROR(目录!$E$8/财务分析!J79),0,目录!$E$8/财务分析!J79)</f>
        <v>0</v>
      </c>
    </row>
    <row r="89" spans="1:10">
      <c r="A89" s="378"/>
      <c r="B89" s="255" t="s">
        <v>1595</v>
      </c>
      <c r="C89" s="386"/>
      <c r="D89" s="171">
        <f ca="1">IF(ISERROR(目录!$E$8/D82),0,目录!$E$8/D82)</f>
        <v>0</v>
      </c>
      <c r="E89" s="171">
        <f ca="1">IF(ISERROR(目录!$E$8/E82),0,目录!$E$8/E82)</f>
        <v>0</v>
      </c>
      <c r="F89" s="171">
        <f ca="1">IF(ISERROR(目录!$E$8/F82),0,目录!$E$8/F82)</f>
        <v>0</v>
      </c>
      <c r="G89" s="171">
        <f ca="1">IF(ISERROR(目录!$E$8/G82),0,目录!$E$8/G82)</f>
        <v>0</v>
      </c>
      <c r="H89" s="171">
        <f ca="1">IF(ISERROR(目录!$E$8/H82),0,目录!$E$8/H82)</f>
        <v>0</v>
      </c>
      <c r="I89" s="171">
        <f ca="1">IF(ISERROR(目录!$E$8/I82),0,目录!$E$8/I82)</f>
        <v>0</v>
      </c>
      <c r="J89" s="171">
        <f ca="1">IF(ISERROR(目录!$E$8/J82),0,目录!$E$8/J82)</f>
        <v>0</v>
      </c>
    </row>
    <row r="90" spans="1:10">
      <c r="A90" s="387"/>
      <c r="B90" s="255" t="s">
        <v>1596</v>
      </c>
      <c r="C90" s="386"/>
      <c r="D90" s="171">
        <f ca="1">IF(ISERROR(目录!$E$8/财务分析!D80),0,目录!$E$8/财务分析!D80)</f>
        <v>0</v>
      </c>
      <c r="E90" s="171">
        <f ca="1">IF(ISERROR(目录!$E$8/财务分析!E80),0,目录!$E$8/财务分析!E80)</f>
        <v>0</v>
      </c>
      <c r="F90" s="171">
        <f ca="1">IF(ISERROR(目录!$E$8/财务分析!F80),0,目录!$E$8/财务分析!F80)</f>
        <v>0</v>
      </c>
      <c r="G90" s="171">
        <f ca="1">IF(ISERROR(目录!$E$8/财务分析!G80),0,目录!$E$8/财务分析!G80)</f>
        <v>0</v>
      </c>
      <c r="H90" s="171">
        <f ca="1">IF(ISERROR(目录!$E$8/财务分析!H80),0,目录!$E$8/财务分析!H80)</f>
        <v>0</v>
      </c>
      <c r="I90" s="171">
        <f ca="1">IF(ISERROR(目录!$E$8/财务分析!I80),0,目录!$E$8/财务分析!I80)</f>
        <v>0</v>
      </c>
      <c r="J90" s="171">
        <f ca="1">IF(ISERROR(目录!$E$8/财务分析!J80),0,目录!$E$8/财务分析!J80)</f>
        <v>0</v>
      </c>
    </row>
    <row r="91" spans="1:10">
      <c r="A91" s="378"/>
      <c r="B91" s="376" t="s">
        <v>1597</v>
      </c>
      <c r="C91" s="386"/>
      <c r="D91" s="171">
        <f ca="1">IF(ISERROR(D78/目录!$E$8),0,D78/目录!$E$8)*100</f>
        <v>0</v>
      </c>
      <c r="E91" s="171">
        <f ca="1">IF(ISERROR(E78/目录!$E$8),0,E78/目录!$E$8)*100</f>
        <v>0</v>
      </c>
      <c r="F91" s="171">
        <f ca="1">IF(ISERROR(F78/目录!$E$8),0,F78/目录!$E$8)*100</f>
        <v>0</v>
      </c>
      <c r="G91" s="171">
        <f ca="1">IF(ISERROR(G78/目录!$E$8),0,G78/目录!$E$8)*100</f>
        <v>0</v>
      </c>
      <c r="H91" s="171">
        <f ca="1">IF(ISERROR(H78/目录!$E$8),0,H78/目录!$E$8)*100</f>
        <v>0</v>
      </c>
      <c r="I91" s="171">
        <f ca="1">IF(ISERROR(I78/目录!$E$8),0,I78/目录!$E$8)*100</f>
        <v>0</v>
      </c>
      <c r="J91" s="171">
        <f ca="1">IF(ISERROR(J78/目录!$E$8),0,J78/目录!$E$8)*100</f>
        <v>0</v>
      </c>
    </row>
    <row r="92" spans="1:10">
      <c r="A92" s="378"/>
      <c r="B92" s="376" t="s">
        <v>1598</v>
      </c>
      <c r="C92" s="386"/>
      <c r="D92" s="171">
        <f>IF(ISERROR(预测资产负债表!D52*目录!$E$8),0,预测资产负债表!D52*目录!$E$8)</f>
        <v>0</v>
      </c>
      <c r="E92" s="171">
        <f>IF(ISERROR(预测资产负债表!E52*目录!$E$8),0,预测资产负债表!E52*目录!$E$8)</f>
        <v>0</v>
      </c>
      <c r="F92" s="171">
        <f>IF(ISERROR(预测资产负债表!F52*目录!$E$8),0,预测资产负债表!F52*目录!$E$8)</f>
        <v>0</v>
      </c>
      <c r="G92" s="171">
        <f>IF(ISERROR(预测资产负债表!G52*目录!$E$8),0,预测资产负债表!G52*目录!$E$8)</f>
        <v>0</v>
      </c>
      <c r="H92" s="171">
        <f>IF(ISERROR(预测资产负债表!H52*目录!$E$8),0,预测资产负债表!H52*目录!$E$8)</f>
        <v>0</v>
      </c>
      <c r="I92" s="171">
        <f>IF(ISERROR(预测资产负债表!I52*目录!$E$8),0,预测资产负债表!I52*目录!$E$8)</f>
        <v>0</v>
      </c>
      <c r="J92" s="171">
        <f>IF(ISERROR(预测资产负债表!J52*目录!$E$8),0,预测资产负债表!J52*目录!$E$8)</f>
        <v>0</v>
      </c>
    </row>
    <row r="93" spans="1:10">
      <c r="A93" s="378"/>
      <c r="B93" s="376" t="s">
        <v>1545</v>
      </c>
      <c r="C93" s="386"/>
      <c r="D93" s="171">
        <f>IF(ISERROR(D92+预测资产负债表!D90+预测资产负债表!D91-预测资产负债表!D92-预测资产负债表!D93),0,D92+预测资产负债表!D90+预测资产负债表!D91-预测资产负债表!D92-预测资产负债表!D93)</f>
        <v>1.1455305742490001</v>
      </c>
      <c r="E93" s="171">
        <f>IF(ISERROR(E92+预测资产负债表!E90+预测资产负债表!E91-预测资产负债表!E92-预测资产负债表!E93),0,E92+预测资产负债表!E90+预测资产负债表!E91-预测资产负债表!E92-预测资产负债表!E93)</f>
        <v>5.216708614349999</v>
      </c>
      <c r="F93" s="171">
        <f>IF(ISERROR(F92+预测资产负债表!F90+预测资产负债表!F91-预测资产负债表!F92-预测资产负债表!F93),0,F92+预测资产负债表!F90+预测资产负债表!F91-预测资产负债表!F92-预测资产负债表!F93)</f>
        <v>-2.09005112992</v>
      </c>
      <c r="G93" s="171">
        <f>IF(ISERROR(G92+预测资产负债表!G90+预测资产负债表!G91-预测资产负债表!G92-预测资产负债表!G93),0,G92+预测资产负债表!G90+预测资产负债表!G91-预测资产负债表!G92-预测资产负债表!G93)</f>
        <v>-1.1361336229379995</v>
      </c>
      <c r="H93" s="171">
        <f>IF(ISERROR(H92+预测资产负债表!H90+预测资产负债表!H91-预测资产负债表!H92-预测资产负债表!H93),0,H92+预测资产负债表!H90+预测资产负债表!H91-预测资产负债表!H92-预测资产负债表!H93)</f>
        <v>0</v>
      </c>
      <c r="I93" s="171">
        <f>IF(ISERROR(I92+预测资产负债表!I90+预测资产负债表!I91-预测资产负债表!I92-预测资产负债表!I93),0,I92+预测资产负债表!I90+预测资产负债表!I91-预测资产负债表!I92-预测资产负债表!I93)</f>
        <v>0</v>
      </c>
      <c r="J93" s="171">
        <f>IF(ISERROR(J92+预测资产负债表!J90+预测资产负债表!J91-预测资产负债表!J92-预测资产负债表!J93),0,J92+预测资产负债表!J90+预测资产负债表!J91-预测资产负债表!J92-预测资产负债表!J93)</f>
        <v>0</v>
      </c>
    </row>
    <row r="94" spans="1:10">
      <c r="A94" s="378"/>
      <c r="B94" s="255" t="s">
        <v>1599</v>
      </c>
      <c r="C94" s="386"/>
      <c r="D94" s="171">
        <f>IF(ISERROR(D93/预测利润表!D54),0,D93/预测利润表!D54)</f>
        <v>0</v>
      </c>
      <c r="E94" s="171">
        <f>IF(ISERROR(E93/预测利润表!E54),0,E93/预测利润表!E54)</f>
        <v>0</v>
      </c>
      <c r="F94" s="171">
        <f>IF(ISERROR(F93/预测利润表!F54),0,F93/预测利润表!F54)</f>
        <v>0</v>
      </c>
      <c r="G94" s="171">
        <f>IF(ISERROR(G93/预测利润表!G54),0,G93/预测利润表!G54)</f>
        <v>0</v>
      </c>
      <c r="H94" s="171">
        <f>IF(ISERROR(H93/预测利润表!H54),0,H93/预测利润表!H54)</f>
        <v>0</v>
      </c>
      <c r="I94" s="171">
        <f>IF(ISERROR(I93/预测利润表!I54),0,I93/预测利润表!I54)</f>
        <v>0</v>
      </c>
      <c r="J94" s="171">
        <f>IF(ISERROR(J93/预测利润表!J54),0,J93/预测利润表!J54)</f>
        <v>0</v>
      </c>
    </row>
    <row r="95" spans="1:10">
      <c r="A95" s="378"/>
      <c r="B95" s="255" t="s">
        <v>1600</v>
      </c>
      <c r="C95" s="386"/>
      <c r="D95" s="171">
        <f>IF(ISERROR(D93/预测利润表!D56),0,D93/预测利润表!D56)</f>
        <v>0</v>
      </c>
      <c r="E95" s="171">
        <f>IF(ISERROR(E93/预测利润表!E56),0,E93/预测利润表!E56)</f>
        <v>0</v>
      </c>
      <c r="F95" s="171">
        <f>IF(ISERROR(F93/预测利润表!F56),0,F93/预测利润表!F56)</f>
        <v>0</v>
      </c>
      <c r="G95" s="171">
        <f>IF(ISERROR(G93/预测利润表!G56),0,G93/预测利润表!G56)</f>
        <v>0</v>
      </c>
      <c r="H95" s="171">
        <f>IF(ISERROR(H93/预测利润表!H56),0,H93/预测利润表!H56)</f>
        <v>0</v>
      </c>
      <c r="I95" s="171">
        <f>IF(ISERROR(I93/预测利润表!I56),0,I93/预测利润表!I56)</f>
        <v>0</v>
      </c>
      <c r="J95" s="171">
        <f>IF(ISERROR(J93/预测利润表!J56),0,J93/预测利润表!J56)</f>
        <v>0</v>
      </c>
    </row>
    <row r="96" spans="1:10">
      <c r="A96" s="378"/>
      <c r="B96" s="255" t="s">
        <v>1601</v>
      </c>
      <c r="C96" s="386"/>
      <c r="D96" s="171">
        <f>IF(ISERROR(D93/预测利润表!D77),0,D93/预测利润表!D77)</f>
        <v>0</v>
      </c>
      <c r="E96" s="171">
        <f>IF(ISERROR(E93/预测利润表!E77),0,E93/预测利润表!E77)</f>
        <v>0</v>
      </c>
      <c r="F96" s="171">
        <f>IF(ISERROR(F93/预测利润表!F77),0,F93/预测利润表!F77)</f>
        <v>0</v>
      </c>
      <c r="G96" s="171">
        <f>IF(ISERROR(G93/预测利润表!G77),0,G93/预测利润表!G77)</f>
        <v>0</v>
      </c>
      <c r="H96" s="171">
        <f>IF(ISERROR(H93/预测利润表!H77),0,H93/预测利润表!H77)</f>
        <v>0</v>
      </c>
      <c r="I96" s="171">
        <f>IF(ISERROR(I93/预测利润表!I77),0,I93/预测利润表!I77)</f>
        <v>0</v>
      </c>
      <c r="J96" s="171">
        <f>IF(ISERROR(J93/预测利润表!J77),0,J93/预测利润表!J77)</f>
        <v>0</v>
      </c>
    </row>
    <row r="97" spans="1:10">
      <c r="A97" s="387"/>
      <c r="B97" s="255" t="s">
        <v>1602</v>
      </c>
      <c r="C97" s="386"/>
      <c r="D97" s="171">
        <f>IF(ISERROR(D93/预测资产负债表!D94),0,D93/预测资产负债表!D94)</f>
        <v>4.5390637771139122E-2</v>
      </c>
      <c r="E97" s="171">
        <f>IF(ISERROR(E93/预测资产负债表!E94),0,E93/预测资产负债表!E94)</f>
        <v>0.1636003883839002</v>
      </c>
      <c r="F97" s="171">
        <f>IF(ISERROR(F93/预测资产负债表!F94),0,F93/预测资产负债表!F94)</f>
        <v>-5.5081273084254687E-2</v>
      </c>
      <c r="G97" s="171">
        <f>IF(ISERROR(G93/预测资产负债表!G94),0,G93/预测资产负债表!G94)</f>
        <v>-2.7149988894356776E-2</v>
      </c>
      <c r="H97" s="171">
        <f>IF(ISERROR(H93/预测资产负债表!H94),0,H93/预测资产负债表!H94)</f>
        <v>0</v>
      </c>
      <c r="I97" s="171">
        <f>IF(ISERROR(I93/预测资产负债表!I94),0,I93/预测资产负债表!I94)</f>
        <v>0</v>
      </c>
      <c r="J97" s="171">
        <f>IF(ISERROR(J93/预测资产负债表!J94),0,J93/预测资产负债表!J94)</f>
        <v>0</v>
      </c>
    </row>
    <row r="98" spans="1:10">
      <c r="A98" s="378"/>
      <c r="B98" s="255" t="s">
        <v>1603</v>
      </c>
      <c r="C98" s="386"/>
      <c r="D98" s="171">
        <f>IF(ISERROR(D93/预测利润表!D7),0,D93/预测利润表!D7)</f>
        <v>8.6830242920297257E-2</v>
      </c>
      <c r="E98" s="171">
        <f>IF(ISERROR(E93/预测利润表!E7),0,E93/预测利润表!E7)</f>
        <v>0.30045686247943265</v>
      </c>
      <c r="F98" s="171">
        <f>IF(ISERROR(F93/预测利润表!F7),0,F93/预测利润表!F7)</f>
        <v>-0.10515674111473028</v>
      </c>
      <c r="G98" s="171">
        <f>IF(ISERROR(G93/预测利润表!G7),0,G93/预测利润表!G7)</f>
        <v>-4.8099619697023706E-2</v>
      </c>
      <c r="H98" s="171">
        <f>IF(ISERROR(H93/预测利润表!H7),0,H93/预测利润表!H7)</f>
        <v>0</v>
      </c>
      <c r="I98" s="171">
        <f>IF(ISERROR(I93/预测利润表!I7),0,I93/预测利润表!I7)</f>
        <v>0</v>
      </c>
      <c r="J98" s="171">
        <f>IF(ISERROR(J93/预测利润表!J7),0,J93/预测利润表!J7)</f>
        <v>0</v>
      </c>
    </row>
    <row r="99" spans="1:10">
      <c r="A99" s="5"/>
      <c r="B99" s="5"/>
      <c r="C99" s="5"/>
      <c r="D99" s="5"/>
      <c r="E99" s="5"/>
      <c r="F99" s="5"/>
      <c r="G99" s="5"/>
      <c r="H99" s="5"/>
      <c r="I99" s="5"/>
      <c r="J99" s="5"/>
    </row>
    <row r="100" spans="1:10">
      <c r="A100" s="5"/>
      <c r="B100" s="5"/>
      <c r="C100" s="5"/>
      <c r="D100" s="5"/>
      <c r="E100" s="5"/>
      <c r="F100" s="5"/>
      <c r="G100" s="5"/>
      <c r="H100" s="5"/>
      <c r="I100" s="5"/>
      <c r="J100" s="5"/>
    </row>
    <row r="101" spans="1:10">
      <c r="A101" s="5"/>
      <c r="B101" s="5"/>
      <c r="C101" s="5"/>
      <c r="D101" s="5"/>
      <c r="E101" s="5"/>
      <c r="F101" s="5"/>
      <c r="G101" s="5"/>
      <c r="H101" s="5"/>
      <c r="I101" s="5"/>
      <c r="J101" s="5"/>
    </row>
    <row r="102" spans="1:10">
      <c r="A102" s="5"/>
      <c r="B102" s="5"/>
      <c r="C102" s="5"/>
      <c r="D102" s="5"/>
      <c r="E102" s="5"/>
      <c r="F102" s="5"/>
      <c r="G102" s="5"/>
      <c r="H102" s="5"/>
      <c r="I102" s="5"/>
      <c r="J102" s="5"/>
    </row>
    <row r="103" spans="1:10">
      <c r="A103" s="5"/>
      <c r="B103" s="5"/>
      <c r="C103" s="5"/>
      <c r="D103" s="5"/>
      <c r="E103" s="5"/>
      <c r="F103" s="5"/>
      <c r="G103" s="5"/>
      <c r="H103" s="5"/>
      <c r="I103" s="5"/>
      <c r="J103" s="5"/>
    </row>
    <row r="104" spans="1:10">
      <c r="A104" s="5"/>
      <c r="B104" s="5"/>
      <c r="C104" s="5"/>
      <c r="D104" s="5"/>
      <c r="E104" s="5"/>
      <c r="F104" s="5"/>
      <c r="G104" s="5"/>
      <c r="H104" s="5"/>
      <c r="I104" s="5"/>
      <c r="J104" s="5"/>
    </row>
    <row r="105" spans="1:10">
      <c r="A105" s="5"/>
      <c r="B105" s="5"/>
      <c r="C105" s="5"/>
      <c r="D105" s="5"/>
      <c r="E105" s="5"/>
      <c r="F105" s="5"/>
      <c r="G105" s="5"/>
      <c r="H105" s="5"/>
      <c r="I105" s="5"/>
      <c r="J105" s="5"/>
    </row>
    <row r="106" spans="1:10">
      <c r="A106" s="5"/>
      <c r="B106" s="5"/>
      <c r="C106" s="5"/>
      <c r="D106" s="5"/>
      <c r="E106" s="5"/>
      <c r="F106" s="5"/>
      <c r="G106" s="5"/>
      <c r="H106" s="5"/>
      <c r="I106" s="5"/>
      <c r="J106" s="5"/>
    </row>
    <row r="107" spans="1:10">
      <c r="A107" s="5"/>
      <c r="B107" s="5"/>
      <c r="C107" s="5"/>
      <c r="D107" s="5"/>
      <c r="E107" s="5"/>
      <c r="F107" s="5"/>
      <c r="G107" s="5"/>
      <c r="H107" s="5"/>
      <c r="I107" s="5"/>
      <c r="J107" s="5"/>
    </row>
    <row r="108" spans="1:10">
      <c r="A108" s="5"/>
      <c r="B108" s="5"/>
      <c r="C108" s="5"/>
      <c r="D108" s="5"/>
      <c r="E108" s="5"/>
      <c r="F108" s="5"/>
      <c r="G108" s="5"/>
      <c r="H108" s="5"/>
      <c r="I108" s="5"/>
      <c r="J108" s="5"/>
    </row>
    <row r="109" spans="1:10">
      <c r="A109" s="5"/>
      <c r="B109" s="5"/>
      <c r="C109" s="5"/>
      <c r="D109" s="5"/>
      <c r="E109" s="5"/>
      <c r="F109" s="5"/>
      <c r="G109" s="5"/>
      <c r="H109" s="5"/>
      <c r="I109" s="5"/>
      <c r="J109" s="5"/>
    </row>
    <row r="110" spans="1:10">
      <c r="A110" s="5"/>
      <c r="B110" s="5"/>
      <c r="C110" s="5"/>
      <c r="D110" s="5"/>
      <c r="E110" s="5"/>
      <c r="F110" s="5"/>
      <c r="G110" s="5"/>
      <c r="H110" s="5"/>
      <c r="I110" s="5"/>
      <c r="J110" s="5"/>
    </row>
    <row r="111" spans="1:10">
      <c r="A111" s="5"/>
      <c r="B111" s="5"/>
      <c r="C111" s="5"/>
      <c r="D111" s="5"/>
      <c r="E111" s="5"/>
      <c r="F111" s="5"/>
      <c r="G111" s="5"/>
      <c r="H111" s="5"/>
      <c r="I111" s="5"/>
      <c r="J111" s="5"/>
    </row>
    <row r="112" spans="1:10">
      <c r="A112" s="5"/>
      <c r="B112" s="5"/>
      <c r="C112" s="5"/>
      <c r="D112" s="5"/>
      <c r="E112" s="5"/>
      <c r="F112" s="5"/>
      <c r="G112" s="5"/>
      <c r="H112" s="5"/>
      <c r="I112" s="5"/>
      <c r="J112" s="5"/>
    </row>
    <row r="113" spans="1:10">
      <c r="A113" s="5"/>
      <c r="B113" s="5"/>
      <c r="C113" s="5"/>
      <c r="D113" s="5"/>
      <c r="E113" s="5"/>
      <c r="F113" s="5"/>
      <c r="G113" s="5"/>
      <c r="H113" s="5"/>
      <c r="I113" s="5"/>
      <c r="J113" s="5"/>
    </row>
    <row r="114" spans="1:10">
      <c r="A114" s="5"/>
      <c r="B114" s="5"/>
      <c r="C114" s="5"/>
      <c r="D114" s="5"/>
      <c r="E114" s="5"/>
      <c r="F114" s="5"/>
      <c r="G114" s="5"/>
      <c r="H114" s="5"/>
      <c r="I114" s="5"/>
      <c r="J114" s="5"/>
    </row>
    <row r="115" spans="1:10">
      <c r="A115" s="5"/>
      <c r="B115" s="5"/>
      <c r="C115" s="5"/>
      <c r="D115" s="5"/>
      <c r="E115" s="5"/>
      <c r="F115" s="5"/>
      <c r="G115" s="5"/>
      <c r="H115" s="5"/>
      <c r="I115" s="5"/>
      <c r="J115" s="5"/>
    </row>
    <row r="116" spans="1:10">
      <c r="A116" s="5"/>
      <c r="B116" s="5"/>
      <c r="C116" s="5"/>
      <c r="D116" s="5"/>
      <c r="E116" s="5"/>
      <c r="F116" s="5"/>
      <c r="G116" s="5"/>
      <c r="H116" s="5"/>
      <c r="I116" s="5"/>
      <c r="J116" s="5"/>
    </row>
    <row r="117" spans="1:10">
      <c r="A117" s="5"/>
      <c r="B117" s="5"/>
      <c r="C117" s="5"/>
      <c r="D117" s="5"/>
      <c r="E117" s="5"/>
      <c r="F117" s="5"/>
      <c r="G117" s="5"/>
      <c r="H117" s="5"/>
      <c r="I117" s="5"/>
      <c r="J117" s="5"/>
    </row>
    <row r="118" spans="1:10">
      <c r="A118" s="5"/>
      <c r="B118" s="5"/>
      <c r="C118" s="5"/>
      <c r="D118" s="5"/>
      <c r="E118" s="5"/>
      <c r="F118" s="5"/>
      <c r="G118" s="5"/>
      <c r="H118" s="5"/>
      <c r="I118" s="5"/>
      <c r="J118" s="5"/>
    </row>
    <row r="119" spans="1:10">
      <c r="A119" s="5"/>
      <c r="B119" s="5"/>
      <c r="C119" s="5"/>
      <c r="D119" s="5"/>
      <c r="E119" s="5"/>
      <c r="F119" s="5"/>
      <c r="G119" s="5"/>
      <c r="H119" s="5"/>
      <c r="I119" s="5"/>
      <c r="J119" s="5"/>
    </row>
    <row r="120" spans="1:10">
      <c r="A120" s="5"/>
      <c r="B120" s="5"/>
      <c r="C120" s="5"/>
      <c r="D120" s="5"/>
      <c r="E120" s="5"/>
      <c r="F120" s="5"/>
      <c r="G120" s="5"/>
      <c r="H120" s="5"/>
      <c r="I120" s="5"/>
      <c r="J120" s="5"/>
    </row>
    <row r="121" spans="1:10">
      <c r="A121" s="5"/>
      <c r="B121" s="5"/>
      <c r="C121" s="5"/>
      <c r="D121" s="5"/>
      <c r="E121" s="5"/>
      <c r="F121" s="5"/>
      <c r="G121" s="5"/>
      <c r="H121" s="5"/>
      <c r="I121" s="5"/>
      <c r="J121" s="5"/>
    </row>
    <row r="122" spans="1:10">
      <c r="A122" s="5"/>
      <c r="B122" s="5"/>
      <c r="C122" s="5"/>
      <c r="D122" s="5"/>
      <c r="E122" s="5"/>
      <c r="F122" s="5"/>
      <c r="G122" s="5"/>
      <c r="H122" s="5"/>
      <c r="I122" s="5"/>
      <c r="J122" s="5"/>
    </row>
    <row r="123" spans="1:10">
      <c r="A123" s="5"/>
      <c r="B123" s="5"/>
      <c r="C123" s="5"/>
      <c r="D123" s="5"/>
      <c r="E123" s="5"/>
      <c r="F123" s="5"/>
      <c r="G123" s="5"/>
      <c r="H123" s="5"/>
      <c r="I123" s="5"/>
      <c r="J123" s="5"/>
    </row>
    <row r="124" spans="1:10">
      <c r="A124" s="5"/>
      <c r="B124" s="5"/>
      <c r="C124" s="5"/>
      <c r="D124" s="5"/>
      <c r="E124" s="5"/>
      <c r="F124" s="5"/>
      <c r="G124" s="5"/>
      <c r="H124" s="5"/>
      <c r="I124" s="5"/>
      <c r="J124" s="5"/>
    </row>
    <row r="125" spans="1:10">
      <c r="A125" s="5"/>
      <c r="B125" s="5"/>
      <c r="C125" s="5"/>
      <c r="D125" s="5"/>
      <c r="E125" s="5"/>
      <c r="F125" s="5"/>
      <c r="G125" s="5"/>
      <c r="H125" s="5"/>
      <c r="I125" s="5"/>
      <c r="J125" s="5"/>
    </row>
    <row r="126" spans="1:10">
      <c r="A126" s="5"/>
      <c r="B126" s="5"/>
      <c r="C126" s="5"/>
      <c r="D126" s="5"/>
      <c r="E126" s="5"/>
      <c r="F126" s="5"/>
      <c r="G126" s="5"/>
      <c r="H126" s="5"/>
      <c r="I126" s="5"/>
      <c r="J126" s="5"/>
    </row>
    <row r="127" spans="1:10">
      <c r="A127" s="5"/>
      <c r="B127" s="5"/>
      <c r="C127" s="5"/>
      <c r="D127" s="5"/>
      <c r="E127" s="5"/>
      <c r="F127" s="5"/>
      <c r="G127" s="5"/>
      <c r="H127" s="5"/>
      <c r="I127" s="5"/>
      <c r="J127" s="5"/>
    </row>
    <row r="128" spans="1:10">
      <c r="A128" s="5"/>
      <c r="B128" s="5"/>
      <c r="C128" s="5"/>
      <c r="D128" s="5"/>
      <c r="E128" s="5"/>
      <c r="F128" s="5"/>
      <c r="G128" s="5"/>
      <c r="H128" s="5"/>
      <c r="I128" s="5"/>
      <c r="J128" s="5"/>
    </row>
    <row r="129" spans="1:10">
      <c r="A129" s="5"/>
      <c r="B129" s="5"/>
      <c r="C129" s="5"/>
      <c r="D129" s="5"/>
      <c r="E129" s="5"/>
      <c r="F129" s="5"/>
      <c r="G129" s="5"/>
      <c r="H129" s="5"/>
      <c r="I129" s="5"/>
      <c r="J129" s="5"/>
    </row>
    <row r="130" spans="1:10">
      <c r="A130" s="5"/>
      <c r="B130" s="5"/>
      <c r="C130" s="5"/>
      <c r="D130" s="5"/>
      <c r="E130" s="5"/>
      <c r="F130" s="5"/>
      <c r="G130" s="5"/>
      <c r="H130" s="5"/>
      <c r="I130" s="5"/>
      <c r="J130" s="5"/>
    </row>
    <row r="131" spans="1:10">
      <c r="A131" s="5"/>
      <c r="B131" s="5"/>
      <c r="C131" s="5"/>
      <c r="D131" s="5"/>
      <c r="E131" s="5"/>
      <c r="F131" s="5"/>
      <c r="G131" s="5"/>
      <c r="H131" s="5"/>
      <c r="I131" s="5"/>
      <c r="J131" s="5"/>
    </row>
    <row r="132" spans="1:10">
      <c r="A132" s="5"/>
      <c r="B132" s="5"/>
      <c r="C132" s="5"/>
      <c r="D132" s="5"/>
      <c r="E132" s="5"/>
      <c r="F132" s="5"/>
      <c r="G132" s="5"/>
      <c r="H132" s="5"/>
      <c r="I132" s="5"/>
      <c r="J132" s="5"/>
    </row>
    <row r="133" spans="1:10">
      <c r="A133" s="5"/>
      <c r="B133" s="5"/>
      <c r="C133" s="5"/>
      <c r="D133" s="5"/>
      <c r="E133" s="5"/>
      <c r="F133" s="5"/>
      <c r="G133" s="5"/>
      <c r="H133" s="5"/>
      <c r="I133" s="5"/>
      <c r="J133" s="5"/>
    </row>
    <row r="134" spans="1:10">
      <c r="A134" s="5"/>
      <c r="B134" s="5"/>
      <c r="C134" s="5"/>
      <c r="D134" s="5"/>
      <c r="E134" s="5"/>
      <c r="F134" s="5"/>
      <c r="G134" s="5"/>
      <c r="H134" s="5"/>
      <c r="I134" s="5"/>
      <c r="J134" s="5"/>
    </row>
    <row r="135" spans="1:10">
      <c r="A135" s="5"/>
      <c r="B135" s="5"/>
      <c r="C135" s="5"/>
      <c r="D135" s="5"/>
      <c r="E135" s="5"/>
      <c r="F135" s="5"/>
      <c r="G135" s="5"/>
      <c r="H135" s="5"/>
      <c r="I135" s="5"/>
      <c r="J135" s="5"/>
    </row>
    <row r="136" spans="1:10">
      <c r="A136" s="5"/>
      <c r="B136" s="5"/>
      <c r="C136" s="5"/>
      <c r="D136" s="5"/>
      <c r="E136" s="5"/>
      <c r="F136" s="5"/>
      <c r="G136" s="5"/>
      <c r="H136" s="5"/>
      <c r="I136" s="5"/>
      <c r="J136" s="5"/>
    </row>
    <row r="137" spans="1:10">
      <c r="A137" s="5"/>
      <c r="B137" s="5"/>
      <c r="C137" s="5"/>
      <c r="D137" s="5"/>
      <c r="E137" s="5"/>
      <c r="F137" s="5"/>
      <c r="G137" s="5"/>
      <c r="H137" s="5"/>
      <c r="I137" s="5"/>
      <c r="J137" s="5"/>
    </row>
    <row r="138" spans="1:10">
      <c r="A138" s="5"/>
      <c r="B138" s="5"/>
      <c r="C138" s="5"/>
      <c r="D138" s="5"/>
      <c r="E138" s="5"/>
      <c r="F138" s="5"/>
      <c r="G138" s="5"/>
      <c r="H138" s="5"/>
      <c r="I138" s="5"/>
      <c r="J138" s="5"/>
    </row>
    <row r="139" spans="1:10">
      <c r="A139" s="5"/>
      <c r="B139" s="5"/>
      <c r="C139" s="5"/>
      <c r="D139" s="5"/>
      <c r="E139" s="5"/>
      <c r="F139" s="5"/>
      <c r="G139" s="5"/>
      <c r="H139" s="5"/>
      <c r="I139" s="5"/>
      <c r="J139" s="5"/>
    </row>
    <row r="140" spans="1:10">
      <c r="A140" s="5"/>
      <c r="B140" s="5"/>
      <c r="C140" s="5"/>
      <c r="D140" s="5"/>
      <c r="E140" s="5"/>
      <c r="F140" s="5"/>
      <c r="G140" s="5"/>
      <c r="H140" s="5"/>
      <c r="I140" s="5"/>
      <c r="J140" s="5"/>
    </row>
    <row r="141" spans="1:10">
      <c r="A141" s="5"/>
      <c r="B141" s="5"/>
      <c r="C141" s="5"/>
      <c r="D141" s="5"/>
      <c r="E141" s="5"/>
      <c r="F141" s="5"/>
      <c r="G141" s="5"/>
      <c r="H141" s="5"/>
      <c r="I141" s="5"/>
      <c r="J141" s="5"/>
    </row>
    <row r="142" spans="1:10">
      <c r="A142" s="5"/>
      <c r="B142" s="5"/>
      <c r="C142" s="5"/>
      <c r="D142" s="5"/>
      <c r="E142" s="5"/>
      <c r="F142" s="5"/>
      <c r="G142" s="5"/>
      <c r="H142" s="5"/>
      <c r="I142" s="5"/>
      <c r="J142" s="5"/>
    </row>
    <row r="143" spans="1:10">
      <c r="A143" s="5"/>
      <c r="B143" s="5"/>
      <c r="C143" s="5"/>
      <c r="D143" s="5"/>
      <c r="E143" s="5"/>
      <c r="F143" s="5"/>
      <c r="G143" s="5"/>
      <c r="H143" s="5"/>
      <c r="I143" s="5"/>
      <c r="J143" s="5"/>
    </row>
    <row r="144" spans="1:10">
      <c r="A144" s="5"/>
      <c r="B144" s="5"/>
      <c r="C144" s="5"/>
      <c r="D144" s="5"/>
      <c r="E144" s="5"/>
      <c r="F144" s="5"/>
      <c r="G144" s="5"/>
      <c r="H144" s="5"/>
      <c r="I144" s="5"/>
      <c r="J144" s="5"/>
    </row>
    <row r="145" spans="1:10">
      <c r="A145" s="5"/>
      <c r="B145" s="5"/>
      <c r="C145" s="5"/>
      <c r="D145" s="5"/>
      <c r="E145" s="5"/>
      <c r="F145" s="5"/>
      <c r="G145" s="5"/>
      <c r="H145" s="5"/>
      <c r="I145" s="5"/>
      <c r="J145" s="5"/>
    </row>
    <row r="146" spans="1:10">
      <c r="A146" s="5"/>
      <c r="B146" s="5"/>
      <c r="C146" s="5"/>
      <c r="D146" s="5"/>
      <c r="E146" s="5"/>
      <c r="F146" s="5"/>
      <c r="G146" s="5"/>
      <c r="H146" s="5"/>
      <c r="I146" s="5"/>
      <c r="J146" s="5"/>
    </row>
    <row r="147" spans="1:10">
      <c r="A147" s="5"/>
      <c r="B147" s="5"/>
      <c r="C147" s="5"/>
      <c r="D147" s="5"/>
      <c r="E147" s="5"/>
      <c r="F147" s="5"/>
      <c r="G147" s="5"/>
      <c r="H147" s="5"/>
      <c r="I147" s="5"/>
      <c r="J147" s="5"/>
    </row>
    <row r="148" spans="1:10">
      <c r="A148" s="5"/>
      <c r="B148" s="5"/>
      <c r="C148" s="5"/>
      <c r="D148" s="5"/>
      <c r="E148" s="5"/>
      <c r="F148" s="5"/>
      <c r="G148" s="5"/>
      <c r="H148" s="5"/>
      <c r="I148" s="5"/>
      <c r="J148" s="5"/>
    </row>
    <row r="149" spans="1:10">
      <c r="A149" s="5"/>
      <c r="B149" s="5"/>
      <c r="C149" s="5"/>
      <c r="D149" s="5"/>
      <c r="E149" s="5"/>
      <c r="F149" s="5"/>
      <c r="G149" s="5"/>
      <c r="H149" s="5"/>
      <c r="I149" s="5"/>
      <c r="J149" s="5"/>
    </row>
    <row r="150" spans="1:10">
      <c r="A150" s="5"/>
      <c r="B150" s="5"/>
      <c r="C150" s="5"/>
      <c r="D150" s="5"/>
      <c r="E150" s="5"/>
      <c r="F150" s="5"/>
      <c r="G150" s="5"/>
      <c r="H150" s="5"/>
      <c r="I150" s="5"/>
      <c r="J150" s="5"/>
    </row>
    <row r="151" spans="1:10">
      <c r="A151" s="5"/>
      <c r="B151" s="5"/>
      <c r="C151" s="5"/>
      <c r="D151" s="5"/>
      <c r="E151" s="5"/>
      <c r="F151" s="5"/>
      <c r="G151" s="5"/>
      <c r="H151" s="5"/>
      <c r="I151" s="5"/>
      <c r="J151" s="5"/>
    </row>
    <row r="152" spans="1:10">
      <c r="A152" s="5"/>
      <c r="B152" s="5"/>
      <c r="C152" s="5"/>
      <c r="D152" s="5"/>
      <c r="E152" s="5"/>
      <c r="F152" s="5"/>
      <c r="G152" s="5"/>
      <c r="H152" s="5"/>
      <c r="I152" s="5"/>
      <c r="J152" s="5"/>
    </row>
    <row r="153" spans="1:10">
      <c r="A153" s="5"/>
      <c r="B153" s="5"/>
      <c r="C153" s="5"/>
      <c r="D153" s="5"/>
      <c r="E153" s="5"/>
      <c r="F153" s="5"/>
      <c r="G153" s="5"/>
      <c r="H153" s="5"/>
      <c r="I153" s="5"/>
      <c r="J153" s="5"/>
    </row>
    <row r="154" spans="1:10">
      <c r="A154" s="5"/>
      <c r="B154" s="5"/>
      <c r="C154" s="5"/>
      <c r="D154" s="5"/>
      <c r="E154" s="5"/>
      <c r="F154" s="5"/>
      <c r="G154" s="5"/>
      <c r="H154" s="5"/>
      <c r="I154" s="5"/>
      <c r="J154" s="5"/>
    </row>
    <row r="155" spans="1:10">
      <c r="A155" s="5"/>
      <c r="B155" s="5"/>
      <c r="C155" s="5"/>
      <c r="D155" s="5"/>
      <c r="E155" s="5"/>
      <c r="F155" s="5"/>
      <c r="G155" s="5"/>
      <c r="H155" s="5"/>
      <c r="I155" s="5"/>
      <c r="J155" s="5"/>
    </row>
    <row r="156" spans="1:10">
      <c r="A156" s="5"/>
      <c r="B156" s="5"/>
      <c r="C156" s="5"/>
      <c r="D156" s="5"/>
      <c r="E156" s="5"/>
      <c r="F156" s="5"/>
      <c r="G156" s="5"/>
      <c r="H156" s="5"/>
      <c r="I156" s="5"/>
      <c r="J156" s="5"/>
    </row>
    <row r="157" spans="1:10">
      <c r="A157" s="5"/>
      <c r="B157" s="5"/>
      <c r="C157" s="5"/>
      <c r="D157" s="5"/>
      <c r="E157" s="5"/>
      <c r="F157" s="5"/>
      <c r="G157" s="5"/>
      <c r="H157" s="5"/>
      <c r="I157" s="5"/>
      <c r="J157" s="5"/>
    </row>
    <row r="158" spans="1:10">
      <c r="A158" s="5"/>
      <c r="B158" s="5"/>
      <c r="C158" s="5"/>
      <c r="D158" s="5"/>
      <c r="E158" s="5"/>
      <c r="F158" s="5"/>
      <c r="G158" s="5"/>
      <c r="H158" s="5"/>
      <c r="I158" s="5"/>
      <c r="J158" s="5"/>
    </row>
    <row r="159" spans="1:10">
      <c r="A159" s="5"/>
      <c r="B159" s="5"/>
      <c r="C159" s="5"/>
      <c r="D159" s="5"/>
      <c r="E159" s="5"/>
      <c r="F159" s="5"/>
      <c r="G159" s="5"/>
      <c r="H159" s="5"/>
      <c r="I159" s="5"/>
      <c r="J159" s="5"/>
    </row>
    <row r="160" spans="1:10">
      <c r="A160" s="5"/>
      <c r="B160" s="5"/>
      <c r="C160" s="5"/>
      <c r="D160" s="5"/>
      <c r="E160" s="5"/>
      <c r="F160" s="5"/>
      <c r="G160" s="5"/>
      <c r="H160" s="5"/>
      <c r="I160" s="5"/>
      <c r="J160" s="5"/>
    </row>
    <row r="161" spans="1:10">
      <c r="A161" s="5"/>
      <c r="B161" s="5"/>
      <c r="C161" s="5"/>
      <c r="D161" s="5"/>
      <c r="E161" s="5"/>
      <c r="F161" s="5"/>
      <c r="G161" s="5"/>
      <c r="H161" s="5"/>
      <c r="I161" s="5"/>
      <c r="J161" s="5"/>
    </row>
    <row r="162" spans="1:10">
      <c r="A162" s="5"/>
      <c r="B162" s="5"/>
      <c r="C162" s="5"/>
      <c r="D162" s="5"/>
      <c r="E162" s="5"/>
      <c r="F162" s="5"/>
      <c r="G162" s="5"/>
      <c r="H162" s="5"/>
      <c r="I162" s="5"/>
      <c r="J162" s="5"/>
    </row>
    <row r="163" spans="1:10">
      <c r="A163" s="5"/>
      <c r="B163" s="5"/>
      <c r="C163" s="5"/>
      <c r="D163" s="5"/>
      <c r="E163" s="5"/>
      <c r="F163" s="5"/>
      <c r="G163" s="5"/>
      <c r="H163" s="5"/>
      <c r="I163" s="5"/>
      <c r="J163" s="5"/>
    </row>
    <row r="164" spans="1:10">
      <c r="A164" s="5"/>
      <c r="B164" s="5"/>
      <c r="C164" s="5"/>
      <c r="D164" s="5"/>
      <c r="E164" s="5"/>
      <c r="F164" s="5"/>
      <c r="G164" s="5"/>
      <c r="H164" s="5"/>
      <c r="I164" s="5"/>
      <c r="J164" s="5"/>
    </row>
    <row r="165" spans="1:10">
      <c r="A165" s="5"/>
      <c r="B165" s="5"/>
      <c r="C165" s="5"/>
      <c r="D165" s="5"/>
      <c r="E165" s="5"/>
      <c r="F165" s="5"/>
      <c r="G165" s="5"/>
      <c r="H165" s="5"/>
      <c r="I165" s="5"/>
      <c r="J165" s="5"/>
    </row>
    <row r="166" spans="1:10">
      <c r="A166" s="5"/>
      <c r="B166" s="5"/>
      <c r="C166" s="5"/>
      <c r="D166" s="5"/>
      <c r="E166" s="5"/>
      <c r="F166" s="5"/>
      <c r="G166" s="5"/>
      <c r="H166" s="5"/>
      <c r="I166" s="5"/>
      <c r="J166" s="5"/>
    </row>
    <row r="167" spans="1:10">
      <c r="A167" s="5"/>
      <c r="B167" s="5"/>
      <c r="C167" s="5"/>
      <c r="D167" s="5"/>
      <c r="E167" s="5"/>
      <c r="F167" s="5"/>
      <c r="G167" s="5"/>
      <c r="H167" s="5"/>
      <c r="I167" s="5"/>
      <c r="J167" s="5"/>
    </row>
    <row r="168" spans="1:10">
      <c r="A168" s="5"/>
      <c r="B168" s="5"/>
      <c r="C168" s="5"/>
      <c r="D168" s="5"/>
      <c r="E168" s="5"/>
      <c r="F168" s="5"/>
      <c r="G168" s="5"/>
      <c r="H168" s="5"/>
      <c r="I168" s="5"/>
      <c r="J168" s="5"/>
    </row>
    <row r="169" spans="1:10">
      <c r="A169" s="5"/>
      <c r="B169" s="5"/>
      <c r="C169" s="5"/>
      <c r="D169" s="5"/>
      <c r="E169" s="5"/>
      <c r="F169" s="5"/>
      <c r="G169" s="5"/>
      <c r="H169" s="5"/>
      <c r="I169" s="5"/>
      <c r="J169" s="5"/>
    </row>
    <row r="170" spans="1:10">
      <c r="A170" s="5"/>
      <c r="B170" s="5"/>
      <c r="C170" s="5"/>
      <c r="D170" s="5"/>
      <c r="E170" s="5"/>
      <c r="F170" s="5"/>
      <c r="G170" s="5"/>
      <c r="H170" s="5"/>
      <c r="I170" s="5"/>
      <c r="J170" s="5"/>
    </row>
    <row r="171" spans="1:10">
      <c r="A171" s="5"/>
      <c r="B171" s="5"/>
      <c r="C171" s="5"/>
      <c r="D171" s="5"/>
      <c r="E171" s="5"/>
      <c r="F171" s="5"/>
      <c r="G171" s="5"/>
      <c r="H171" s="5"/>
      <c r="I171" s="5"/>
      <c r="J171" s="5"/>
    </row>
    <row r="172" spans="1:10">
      <c r="A172" s="5"/>
      <c r="B172" s="5"/>
      <c r="C172" s="5"/>
      <c r="D172" s="5"/>
      <c r="E172" s="5"/>
      <c r="F172" s="5"/>
      <c r="G172" s="5"/>
      <c r="H172" s="5"/>
      <c r="I172" s="5"/>
      <c r="J172" s="5"/>
    </row>
    <row r="173" spans="1:10">
      <c r="A173" s="5"/>
      <c r="B173" s="5"/>
      <c r="C173" s="5"/>
      <c r="D173" s="5"/>
      <c r="E173" s="5"/>
      <c r="F173" s="5"/>
      <c r="G173" s="5"/>
      <c r="H173" s="5"/>
      <c r="I173" s="5"/>
      <c r="J173" s="5"/>
    </row>
    <row r="174" spans="1:10">
      <c r="A174" s="5"/>
      <c r="B174" s="5"/>
      <c r="C174" s="5"/>
      <c r="D174" s="5"/>
      <c r="E174" s="5"/>
      <c r="F174" s="5"/>
      <c r="G174" s="5"/>
      <c r="H174" s="5"/>
      <c r="I174" s="5"/>
      <c r="J174" s="5"/>
    </row>
    <row r="175" spans="1:10">
      <c r="A175" s="5"/>
      <c r="B175" s="5"/>
      <c r="C175" s="5"/>
      <c r="D175" s="5"/>
      <c r="E175" s="5"/>
      <c r="F175" s="5"/>
      <c r="G175" s="5"/>
      <c r="H175" s="5"/>
      <c r="I175" s="5"/>
      <c r="J175" s="5"/>
    </row>
    <row r="176" spans="1:10">
      <c r="A176" s="5"/>
      <c r="B176" s="5"/>
      <c r="C176" s="5"/>
      <c r="D176" s="5"/>
      <c r="E176" s="5"/>
      <c r="F176" s="5"/>
      <c r="G176" s="5"/>
      <c r="H176" s="5"/>
      <c r="I176" s="5"/>
      <c r="J176" s="5"/>
    </row>
    <row r="177" spans="1:10">
      <c r="A177" s="5"/>
      <c r="B177" s="5"/>
      <c r="C177" s="5"/>
      <c r="D177" s="5"/>
      <c r="E177" s="5"/>
      <c r="F177" s="5"/>
      <c r="G177" s="5"/>
      <c r="H177" s="5"/>
      <c r="I177" s="5"/>
      <c r="J177" s="5"/>
    </row>
    <row r="178" spans="1:10">
      <c r="A178" s="5"/>
      <c r="B178" s="5"/>
      <c r="C178" s="5"/>
      <c r="D178" s="5"/>
      <c r="E178" s="5"/>
      <c r="F178" s="5"/>
      <c r="G178" s="5"/>
      <c r="H178" s="5"/>
      <c r="I178" s="5"/>
      <c r="J178" s="5"/>
    </row>
    <row r="179" spans="1:10">
      <c r="A179" s="5"/>
      <c r="B179" s="5"/>
      <c r="C179" s="5"/>
      <c r="D179" s="5"/>
      <c r="E179" s="5"/>
      <c r="F179" s="5"/>
      <c r="G179" s="5"/>
      <c r="H179" s="5"/>
      <c r="I179" s="5"/>
      <c r="J179" s="5"/>
    </row>
    <row r="180" spans="1:10">
      <c r="A180" s="5"/>
      <c r="B180" s="5"/>
      <c r="C180" s="5"/>
      <c r="D180" s="5"/>
      <c r="E180" s="5"/>
      <c r="F180" s="5"/>
      <c r="G180" s="5"/>
      <c r="H180" s="5"/>
      <c r="I180" s="5"/>
      <c r="J180" s="5"/>
    </row>
    <row r="181" spans="1:10">
      <c r="A181" s="5"/>
      <c r="B181" s="5"/>
      <c r="C181" s="5"/>
      <c r="D181" s="5"/>
      <c r="E181" s="5"/>
      <c r="F181" s="5"/>
      <c r="G181" s="5"/>
      <c r="H181" s="5"/>
      <c r="I181" s="5"/>
      <c r="J181" s="5"/>
    </row>
    <row r="182" spans="1:10">
      <c r="A182" s="5"/>
      <c r="B182" s="5"/>
      <c r="C182" s="5"/>
      <c r="D182" s="5"/>
      <c r="E182" s="5"/>
      <c r="F182" s="5"/>
      <c r="G182" s="5"/>
      <c r="H182" s="5"/>
      <c r="I182" s="5"/>
      <c r="J182" s="5"/>
    </row>
    <row r="183" spans="1:10">
      <c r="A183" s="5"/>
      <c r="B183" s="5"/>
      <c r="C183" s="5"/>
      <c r="D183" s="5"/>
      <c r="E183" s="5"/>
      <c r="F183" s="5"/>
      <c r="G183" s="5"/>
      <c r="H183" s="5"/>
      <c r="I183" s="5"/>
      <c r="J183" s="5"/>
    </row>
    <row r="184" spans="1:10">
      <c r="A184" s="5"/>
      <c r="B184" s="5"/>
      <c r="C184" s="5"/>
      <c r="D184" s="5"/>
      <c r="E184" s="5"/>
      <c r="F184" s="5"/>
      <c r="G184" s="5"/>
      <c r="H184" s="5"/>
      <c r="I184" s="5"/>
      <c r="J184" s="5"/>
    </row>
    <row r="185" spans="1:10">
      <c r="A185" s="5"/>
      <c r="B185" s="5"/>
      <c r="C185" s="5"/>
      <c r="D185" s="5"/>
      <c r="E185" s="5"/>
      <c r="F185" s="5"/>
      <c r="G185" s="5"/>
      <c r="H185" s="5"/>
      <c r="I185" s="5"/>
      <c r="J185" s="5"/>
    </row>
    <row r="186" spans="1:10">
      <c r="A186" s="5"/>
      <c r="B186" s="5"/>
      <c r="C186" s="5"/>
      <c r="D186" s="5"/>
      <c r="E186" s="5"/>
      <c r="F186" s="5"/>
      <c r="G186" s="5"/>
      <c r="H186" s="5"/>
      <c r="I186" s="5"/>
      <c r="J186" s="5"/>
    </row>
    <row r="187" spans="1:10">
      <c r="A187" s="5"/>
      <c r="B187" s="5"/>
      <c r="C187" s="5"/>
      <c r="D187" s="5"/>
      <c r="E187" s="5"/>
      <c r="F187" s="5"/>
      <c r="G187" s="5"/>
      <c r="H187" s="5"/>
      <c r="I187" s="5"/>
      <c r="J187" s="5"/>
    </row>
    <row r="188" spans="1:10">
      <c r="A188" s="5"/>
      <c r="B188" s="5"/>
      <c r="C188" s="5"/>
      <c r="D188" s="5"/>
      <c r="E188" s="5"/>
      <c r="F188" s="5"/>
      <c r="G188" s="5"/>
      <c r="H188" s="5"/>
      <c r="I188" s="5"/>
      <c r="J188" s="5"/>
    </row>
    <row r="189" spans="1:10">
      <c r="A189" s="5"/>
      <c r="B189" s="5"/>
      <c r="C189" s="5"/>
      <c r="D189" s="5"/>
      <c r="E189" s="5"/>
      <c r="F189" s="5"/>
      <c r="G189" s="5"/>
      <c r="H189" s="5"/>
      <c r="I189" s="5"/>
      <c r="J189" s="5"/>
    </row>
    <row r="190" spans="1:10">
      <c r="A190" s="5"/>
      <c r="B190" s="5"/>
      <c r="C190" s="5"/>
      <c r="D190" s="5"/>
      <c r="E190" s="5"/>
      <c r="F190" s="5"/>
      <c r="G190" s="5"/>
      <c r="H190" s="5"/>
      <c r="I190" s="5"/>
      <c r="J190" s="5"/>
    </row>
    <row r="191" spans="1:10">
      <c r="A191" s="5"/>
      <c r="B191" s="5"/>
      <c r="C191" s="5"/>
      <c r="D191" s="5"/>
      <c r="E191" s="5"/>
      <c r="F191" s="5"/>
      <c r="G191" s="5"/>
      <c r="H191" s="5"/>
      <c r="I191" s="5"/>
      <c r="J191" s="5"/>
    </row>
    <row r="192" spans="1:10">
      <c r="A192" s="5"/>
      <c r="B192" s="5"/>
      <c r="C192" s="5"/>
      <c r="D192" s="5"/>
      <c r="E192" s="5"/>
      <c r="F192" s="5"/>
      <c r="G192" s="5"/>
      <c r="H192" s="5"/>
      <c r="I192" s="5"/>
      <c r="J192" s="5"/>
    </row>
    <row r="193" spans="1:10">
      <c r="A193" s="5"/>
      <c r="B193" s="5"/>
      <c r="C193" s="5"/>
      <c r="D193" s="5"/>
      <c r="E193" s="5"/>
      <c r="F193" s="5"/>
      <c r="G193" s="5"/>
      <c r="H193" s="5"/>
      <c r="I193" s="5"/>
      <c r="J193" s="5"/>
    </row>
    <row r="194" spans="1:10">
      <c r="A194" s="5"/>
      <c r="B194" s="5"/>
      <c r="C194" s="5"/>
      <c r="D194" s="5"/>
      <c r="E194" s="5"/>
      <c r="F194" s="5"/>
      <c r="G194" s="5"/>
      <c r="H194" s="5"/>
      <c r="I194" s="5"/>
      <c r="J194" s="5"/>
    </row>
    <row r="195" spans="1:10">
      <c r="A195" s="5"/>
      <c r="B195" s="5"/>
      <c r="C195" s="5"/>
      <c r="D195" s="5"/>
      <c r="E195" s="5"/>
      <c r="F195" s="5"/>
      <c r="G195" s="5"/>
      <c r="H195" s="5"/>
      <c r="I195" s="5"/>
      <c r="J195" s="5"/>
    </row>
    <row r="196" spans="1:10">
      <c r="A196" s="5"/>
      <c r="B196" s="5"/>
      <c r="C196" s="5"/>
      <c r="D196" s="5"/>
      <c r="E196" s="5"/>
      <c r="F196" s="5"/>
      <c r="G196" s="5"/>
      <c r="H196" s="5"/>
      <c r="I196" s="5"/>
      <c r="J196" s="5"/>
    </row>
    <row r="197" spans="1:10">
      <c r="A197" s="5"/>
      <c r="B197" s="5"/>
      <c r="C197" s="5"/>
      <c r="D197" s="5"/>
      <c r="E197" s="5"/>
      <c r="F197" s="5"/>
      <c r="G197" s="5"/>
      <c r="H197" s="5"/>
      <c r="I197" s="5"/>
      <c r="J197" s="5"/>
    </row>
    <row r="198" spans="1:10">
      <c r="A198" s="5"/>
      <c r="B198" s="5"/>
      <c r="C198" s="5"/>
      <c r="D198" s="5"/>
      <c r="E198" s="5"/>
      <c r="F198" s="5"/>
      <c r="G198" s="5"/>
      <c r="H198" s="5"/>
      <c r="I198" s="5"/>
      <c r="J198" s="5"/>
    </row>
    <row r="199" spans="1:10">
      <c r="A199" s="5"/>
      <c r="B199" s="5"/>
      <c r="C199" s="5"/>
      <c r="D199" s="5"/>
      <c r="E199" s="5"/>
      <c r="F199" s="5"/>
      <c r="G199" s="5"/>
      <c r="H199" s="5"/>
      <c r="I199" s="5"/>
      <c r="J199" s="5"/>
    </row>
    <row r="200" spans="1:10">
      <c r="A200" s="5"/>
      <c r="B200" s="5"/>
      <c r="C200" s="5"/>
      <c r="D200" s="5"/>
      <c r="E200" s="5"/>
      <c r="F200" s="5"/>
      <c r="G200" s="5"/>
      <c r="H200" s="5"/>
      <c r="I200" s="5"/>
      <c r="J200" s="5"/>
    </row>
    <row r="201" spans="1:10">
      <c r="A201" s="5"/>
      <c r="B201" s="5"/>
      <c r="C201" s="5"/>
      <c r="D201" s="5"/>
      <c r="E201" s="5"/>
      <c r="F201" s="5"/>
      <c r="G201" s="5"/>
      <c r="H201" s="5"/>
      <c r="I201" s="5"/>
      <c r="J201" s="5"/>
    </row>
    <row r="202" spans="1:10">
      <c r="A202" s="5"/>
      <c r="B202" s="5"/>
      <c r="C202" s="5"/>
      <c r="D202" s="5"/>
      <c r="E202" s="5"/>
      <c r="F202" s="5"/>
      <c r="G202" s="5"/>
      <c r="H202" s="5"/>
      <c r="I202" s="5"/>
      <c r="J202" s="5"/>
    </row>
    <row r="203" spans="1:10">
      <c r="A203" s="5"/>
      <c r="B203" s="5"/>
      <c r="C203" s="5"/>
      <c r="D203" s="5"/>
      <c r="E203" s="5"/>
      <c r="F203" s="5"/>
      <c r="G203" s="5"/>
      <c r="H203" s="5"/>
      <c r="I203" s="5"/>
      <c r="J203" s="5"/>
    </row>
    <row r="204" spans="1:10">
      <c r="A204" s="5"/>
      <c r="B204" s="5"/>
      <c r="C204" s="5"/>
      <c r="D204" s="5"/>
      <c r="E204" s="5"/>
      <c r="F204" s="5"/>
      <c r="G204" s="5"/>
      <c r="H204" s="5"/>
      <c r="I204" s="5"/>
      <c r="J204" s="5"/>
    </row>
    <row r="205" spans="1:10">
      <c r="A205" s="5"/>
      <c r="B205" s="5"/>
      <c r="C205" s="5"/>
      <c r="D205" s="5"/>
      <c r="E205" s="5"/>
      <c r="F205" s="5"/>
      <c r="G205" s="5"/>
      <c r="H205" s="5"/>
      <c r="I205" s="5"/>
      <c r="J205" s="5"/>
    </row>
    <row r="206" spans="1:10">
      <c r="A206" s="5"/>
      <c r="B206" s="5"/>
      <c r="C206" s="5"/>
      <c r="D206" s="5"/>
      <c r="E206" s="5"/>
      <c r="F206" s="5"/>
      <c r="G206" s="5"/>
      <c r="H206" s="5"/>
      <c r="I206" s="5"/>
      <c r="J206" s="5"/>
    </row>
    <row r="207" spans="1:10">
      <c r="A207" s="5"/>
      <c r="B207" s="5"/>
      <c r="C207" s="5"/>
      <c r="D207" s="5"/>
      <c r="E207" s="5"/>
      <c r="F207" s="5"/>
      <c r="G207" s="5"/>
      <c r="H207" s="5"/>
      <c r="I207" s="5"/>
      <c r="J207" s="5"/>
    </row>
    <row r="208" spans="1:10">
      <c r="A208" s="5"/>
      <c r="B208" s="5"/>
      <c r="C208" s="5"/>
      <c r="D208" s="5"/>
      <c r="E208" s="5"/>
      <c r="F208" s="5"/>
      <c r="G208" s="5"/>
      <c r="H208" s="5"/>
      <c r="I208" s="5"/>
      <c r="J208" s="5"/>
    </row>
    <row r="209" spans="1:10">
      <c r="A209" s="5"/>
      <c r="B209" s="5"/>
      <c r="C209" s="5"/>
      <c r="D209" s="5"/>
      <c r="E209" s="5"/>
      <c r="F209" s="5"/>
      <c r="G209" s="5"/>
      <c r="H209" s="5"/>
      <c r="I209" s="5"/>
      <c r="J209" s="5"/>
    </row>
    <row r="210" spans="1:10">
      <c r="A210" s="5"/>
      <c r="B210" s="5"/>
      <c r="C210" s="5"/>
      <c r="D210" s="5"/>
      <c r="E210" s="5"/>
      <c r="F210" s="5"/>
      <c r="G210" s="5"/>
      <c r="H210" s="5"/>
      <c r="I210" s="5"/>
      <c r="J210" s="5"/>
    </row>
    <row r="211" spans="1:10">
      <c r="A211" s="5"/>
      <c r="B211" s="5"/>
      <c r="C211" s="5"/>
      <c r="D211" s="5"/>
      <c r="E211" s="5"/>
      <c r="F211" s="5"/>
      <c r="G211" s="5"/>
      <c r="H211" s="5"/>
      <c r="I211" s="5"/>
      <c r="J211" s="5"/>
    </row>
    <row r="212" spans="1:10">
      <c r="A212" s="5"/>
      <c r="B212" s="5"/>
      <c r="C212" s="5"/>
      <c r="D212" s="5"/>
      <c r="E212" s="5"/>
      <c r="F212" s="5"/>
      <c r="G212" s="5"/>
      <c r="H212" s="5"/>
      <c r="I212" s="5"/>
      <c r="J212" s="5"/>
    </row>
    <row r="213" spans="1:10">
      <c r="A213" s="5"/>
      <c r="B213" s="5"/>
      <c r="C213" s="5"/>
      <c r="D213" s="5"/>
      <c r="E213" s="5"/>
      <c r="F213" s="5"/>
      <c r="G213" s="5"/>
      <c r="H213" s="5"/>
      <c r="I213" s="5"/>
      <c r="J213" s="5"/>
    </row>
    <row r="214" spans="1:10">
      <c r="A214" s="5"/>
      <c r="B214" s="5"/>
      <c r="C214" s="5"/>
      <c r="D214" s="5"/>
      <c r="E214" s="5"/>
      <c r="F214" s="5"/>
      <c r="G214" s="5"/>
      <c r="H214" s="5"/>
      <c r="I214" s="5"/>
      <c r="J214" s="5"/>
    </row>
    <row r="215" spans="1:10">
      <c r="A215" s="5"/>
      <c r="B215" s="5"/>
      <c r="C215" s="5"/>
      <c r="D215" s="5"/>
      <c r="E215" s="5"/>
      <c r="F215" s="5"/>
      <c r="G215" s="5"/>
      <c r="H215" s="5"/>
      <c r="I215" s="5"/>
      <c r="J215" s="5"/>
    </row>
    <row r="216" spans="1:10">
      <c r="A216" s="5"/>
      <c r="B216" s="5"/>
      <c r="C216" s="5"/>
      <c r="D216" s="5"/>
      <c r="E216" s="5"/>
      <c r="F216" s="5"/>
      <c r="G216" s="5"/>
      <c r="H216" s="5"/>
      <c r="I216" s="5"/>
      <c r="J216" s="5"/>
    </row>
    <row r="217" spans="1:10">
      <c r="A217" s="5"/>
      <c r="B217" s="5"/>
      <c r="C217" s="5"/>
      <c r="D217" s="5"/>
      <c r="E217" s="5"/>
      <c r="F217" s="5"/>
      <c r="G217" s="5"/>
      <c r="H217" s="5"/>
      <c r="I217" s="5"/>
      <c r="J217" s="5"/>
    </row>
    <row r="218" spans="1:10">
      <c r="A218" s="5"/>
      <c r="B218" s="5"/>
      <c r="C218" s="5"/>
      <c r="D218" s="5"/>
      <c r="E218" s="5"/>
      <c r="F218" s="5"/>
      <c r="G218" s="5"/>
      <c r="H218" s="5"/>
      <c r="I218" s="5"/>
      <c r="J218" s="5"/>
    </row>
    <row r="219" spans="1:10">
      <c r="A219" s="5"/>
      <c r="B219" s="5"/>
      <c r="C219" s="5"/>
      <c r="D219" s="5"/>
      <c r="E219" s="5"/>
      <c r="F219" s="5"/>
      <c r="G219" s="5"/>
      <c r="H219" s="5"/>
      <c r="I219" s="5"/>
      <c r="J219" s="5"/>
    </row>
    <row r="220" spans="1:10">
      <c r="A220" s="5"/>
      <c r="B220" s="5"/>
      <c r="C220" s="5"/>
      <c r="D220" s="5"/>
      <c r="E220" s="5"/>
      <c r="F220" s="5"/>
      <c r="G220" s="5"/>
      <c r="H220" s="5"/>
      <c r="I220" s="5"/>
      <c r="J220" s="5"/>
    </row>
    <row r="221" spans="1:10">
      <c r="A221" s="5"/>
      <c r="B221" s="5"/>
      <c r="C221" s="5"/>
      <c r="D221" s="5"/>
      <c r="E221" s="5"/>
      <c r="F221" s="5"/>
      <c r="G221" s="5"/>
      <c r="H221" s="5"/>
      <c r="I221" s="5"/>
      <c r="J221" s="5"/>
    </row>
    <row r="222" spans="1:10">
      <c r="A222" s="5"/>
      <c r="B222" s="5"/>
      <c r="C222" s="5"/>
      <c r="D222" s="5"/>
      <c r="E222" s="5"/>
      <c r="F222" s="5"/>
      <c r="G222" s="5"/>
      <c r="H222" s="5"/>
      <c r="I222" s="5"/>
      <c r="J222" s="5"/>
    </row>
    <row r="223" spans="1:10">
      <c r="A223" s="5"/>
      <c r="B223" s="5"/>
      <c r="C223" s="5"/>
      <c r="D223" s="5"/>
      <c r="E223" s="5"/>
      <c r="F223" s="5"/>
      <c r="G223" s="5"/>
      <c r="H223" s="5"/>
      <c r="I223" s="5"/>
      <c r="J223" s="5"/>
    </row>
    <row r="224" spans="1:10">
      <c r="A224" s="5"/>
      <c r="B224" s="5"/>
      <c r="C224" s="5"/>
      <c r="D224" s="5"/>
      <c r="E224" s="5"/>
      <c r="F224" s="5"/>
      <c r="G224" s="5"/>
      <c r="H224" s="5"/>
      <c r="I224" s="5"/>
      <c r="J224" s="5"/>
    </row>
    <row r="225" spans="1:10">
      <c r="A225" s="5"/>
      <c r="B225" s="5"/>
      <c r="C225" s="5"/>
      <c r="D225" s="5"/>
      <c r="E225" s="5"/>
      <c r="F225" s="5"/>
      <c r="G225" s="5"/>
      <c r="H225" s="5"/>
      <c r="I225" s="5"/>
      <c r="J225" s="5"/>
    </row>
    <row r="226" spans="1:10">
      <c r="A226" s="5"/>
      <c r="B226" s="5"/>
      <c r="C226" s="5"/>
      <c r="D226" s="5"/>
      <c r="E226" s="5"/>
      <c r="F226" s="5"/>
      <c r="G226" s="5"/>
      <c r="H226" s="5"/>
      <c r="I226" s="5"/>
      <c r="J226" s="5"/>
    </row>
    <row r="227" spans="1:10">
      <c r="A227" s="5"/>
      <c r="B227" s="5"/>
      <c r="C227" s="5"/>
      <c r="D227" s="5"/>
      <c r="E227" s="5"/>
      <c r="F227" s="5"/>
      <c r="G227" s="5"/>
      <c r="H227" s="5"/>
      <c r="I227" s="5"/>
      <c r="J227" s="5"/>
    </row>
    <row r="228" spans="1:10">
      <c r="A228" s="5"/>
      <c r="B228" s="5"/>
      <c r="C228" s="5"/>
      <c r="D228" s="5"/>
      <c r="E228" s="5"/>
      <c r="F228" s="5"/>
      <c r="G228" s="5"/>
      <c r="H228" s="5"/>
      <c r="I228" s="5"/>
      <c r="J228" s="5"/>
    </row>
    <row r="229" spans="1:10">
      <c r="A229" s="5"/>
      <c r="B229" s="5"/>
      <c r="C229" s="5"/>
      <c r="D229" s="5"/>
      <c r="E229" s="5"/>
      <c r="F229" s="5"/>
      <c r="G229" s="5"/>
      <c r="H229" s="5"/>
      <c r="I229" s="5"/>
      <c r="J229" s="5"/>
    </row>
    <row r="230" spans="1:10">
      <c r="A230" s="5"/>
      <c r="B230" s="5"/>
      <c r="C230" s="5"/>
      <c r="D230" s="5"/>
      <c r="E230" s="5"/>
      <c r="F230" s="5"/>
      <c r="G230" s="5"/>
      <c r="H230" s="5"/>
      <c r="I230" s="5"/>
      <c r="J230" s="5"/>
    </row>
    <row r="231" spans="1:10">
      <c r="A231" s="5"/>
      <c r="B231" s="5"/>
      <c r="C231" s="5"/>
      <c r="D231" s="5"/>
      <c r="E231" s="5"/>
      <c r="F231" s="5"/>
      <c r="G231" s="5"/>
      <c r="H231" s="5"/>
      <c r="I231" s="5"/>
      <c r="J231" s="5"/>
    </row>
    <row r="232" spans="1:10">
      <c r="A232" s="5"/>
      <c r="B232" s="5"/>
      <c r="C232" s="5"/>
      <c r="D232" s="5"/>
      <c r="E232" s="5"/>
      <c r="F232" s="5"/>
      <c r="G232" s="5"/>
      <c r="H232" s="5"/>
      <c r="I232" s="5"/>
      <c r="J232" s="5"/>
    </row>
    <row r="233" spans="1:10">
      <c r="A233" s="5"/>
      <c r="B233" s="5"/>
      <c r="C233" s="5"/>
      <c r="D233" s="5"/>
      <c r="E233" s="5"/>
      <c r="F233" s="5"/>
      <c r="G233" s="5"/>
      <c r="H233" s="5"/>
      <c r="I233" s="5"/>
      <c r="J233" s="5"/>
    </row>
    <row r="234" spans="1:10">
      <c r="A234" s="5"/>
      <c r="B234" s="5"/>
      <c r="C234" s="5"/>
      <c r="D234" s="5"/>
      <c r="E234" s="5"/>
      <c r="F234" s="5"/>
      <c r="G234" s="5"/>
      <c r="H234" s="5"/>
      <c r="I234" s="5"/>
      <c r="J234" s="5"/>
    </row>
    <row r="235" spans="1:10">
      <c r="A235" s="5"/>
      <c r="B235" s="5"/>
      <c r="C235" s="5"/>
      <c r="D235" s="5"/>
      <c r="E235" s="5"/>
      <c r="F235" s="5"/>
      <c r="G235" s="5"/>
      <c r="H235" s="5"/>
      <c r="I235" s="5"/>
      <c r="J235" s="5"/>
    </row>
    <row r="236" spans="1:10">
      <c r="A236" s="5"/>
      <c r="B236" s="5"/>
      <c r="C236" s="5"/>
      <c r="D236" s="5"/>
      <c r="E236" s="5"/>
      <c r="F236" s="5"/>
      <c r="G236" s="5"/>
      <c r="H236" s="5"/>
      <c r="I236" s="5"/>
      <c r="J236" s="5"/>
    </row>
    <row r="237" spans="1:10">
      <c r="A237" s="5"/>
      <c r="B237" s="5"/>
      <c r="C237" s="5"/>
      <c r="D237" s="5"/>
      <c r="E237" s="5"/>
      <c r="F237" s="5"/>
      <c r="G237" s="5"/>
      <c r="H237" s="5"/>
      <c r="I237" s="5"/>
      <c r="J237" s="5"/>
    </row>
    <row r="238" spans="1:10">
      <c r="A238" s="5"/>
      <c r="B238" s="5"/>
      <c r="C238" s="5"/>
      <c r="D238" s="5"/>
      <c r="E238" s="5"/>
      <c r="F238" s="5"/>
      <c r="G238" s="5"/>
      <c r="H238" s="5"/>
      <c r="I238" s="5"/>
      <c r="J238" s="5"/>
    </row>
    <row r="239" spans="1:10">
      <c r="A239" s="5"/>
      <c r="B239" s="5"/>
      <c r="C239" s="5"/>
      <c r="D239" s="5"/>
      <c r="E239" s="5"/>
      <c r="F239" s="5"/>
      <c r="G239" s="5"/>
      <c r="H239" s="5"/>
      <c r="I239" s="5"/>
      <c r="J239" s="5"/>
    </row>
    <row r="240" spans="1:10">
      <c r="A240" s="5"/>
      <c r="B240" s="5"/>
      <c r="C240" s="5"/>
      <c r="D240" s="5"/>
      <c r="E240" s="5"/>
      <c r="F240" s="5"/>
      <c r="G240" s="5"/>
      <c r="H240" s="5"/>
      <c r="I240" s="5"/>
      <c r="J240" s="5"/>
    </row>
    <row r="241" spans="1:10">
      <c r="A241" s="5"/>
      <c r="B241" s="5"/>
      <c r="C241" s="5"/>
      <c r="D241" s="5"/>
      <c r="E241" s="5"/>
      <c r="F241" s="5"/>
      <c r="G241" s="5"/>
      <c r="H241" s="5"/>
      <c r="I241" s="5"/>
      <c r="J241" s="5"/>
    </row>
    <row r="242" spans="1:10">
      <c r="A242" s="5"/>
      <c r="B242" s="5"/>
      <c r="C242" s="5"/>
      <c r="D242" s="5"/>
      <c r="E242" s="5"/>
      <c r="F242" s="5"/>
      <c r="G242" s="5"/>
      <c r="H242" s="5"/>
      <c r="I242" s="5"/>
      <c r="J242" s="5"/>
    </row>
    <row r="243" spans="1:10">
      <c r="A243" s="5"/>
      <c r="B243" s="5"/>
      <c r="C243" s="5"/>
      <c r="D243" s="5"/>
      <c r="E243" s="5"/>
      <c r="F243" s="5"/>
      <c r="G243" s="5"/>
      <c r="H243" s="5"/>
      <c r="I243" s="5"/>
      <c r="J243" s="5"/>
    </row>
    <row r="244" spans="1:10">
      <c r="A244" s="5"/>
      <c r="B244" s="5"/>
      <c r="C244" s="5"/>
      <c r="D244" s="5"/>
      <c r="E244" s="5"/>
      <c r="F244" s="5"/>
      <c r="G244" s="5"/>
      <c r="H244" s="5"/>
      <c r="I244" s="5"/>
      <c r="J244" s="5"/>
    </row>
    <row r="245" spans="1:10">
      <c r="A245" s="5"/>
      <c r="B245" s="5"/>
      <c r="C245" s="5"/>
      <c r="D245" s="5"/>
      <c r="E245" s="5"/>
      <c r="F245" s="5"/>
      <c r="G245" s="5"/>
      <c r="H245" s="5"/>
      <c r="I245" s="5"/>
      <c r="J245" s="5"/>
    </row>
    <row r="246" spans="1:10">
      <c r="A246" s="5"/>
      <c r="B246" s="5"/>
      <c r="C246" s="5"/>
      <c r="D246" s="5"/>
      <c r="E246" s="5"/>
      <c r="F246" s="5"/>
      <c r="G246" s="5"/>
      <c r="H246" s="5"/>
      <c r="I246" s="5"/>
      <c r="J246" s="5"/>
    </row>
    <row r="247" spans="1:10">
      <c r="A247" s="5"/>
      <c r="B247" s="5"/>
      <c r="C247" s="5"/>
      <c r="D247" s="5"/>
      <c r="E247" s="5"/>
      <c r="F247" s="5"/>
      <c r="G247" s="5"/>
      <c r="H247" s="5"/>
      <c r="I247" s="5"/>
      <c r="J247" s="5"/>
    </row>
    <row r="248" spans="1:10">
      <c r="A248" s="5"/>
      <c r="B248" s="5"/>
      <c r="C248" s="5"/>
      <c r="D248" s="5"/>
      <c r="E248" s="5"/>
      <c r="F248" s="5"/>
      <c r="G248" s="5"/>
      <c r="H248" s="5"/>
      <c r="I248" s="5"/>
      <c r="J248" s="5"/>
    </row>
    <row r="249" spans="1:10">
      <c r="A249" s="5"/>
      <c r="B249" s="5"/>
      <c r="C249" s="5"/>
      <c r="D249" s="5"/>
      <c r="E249" s="5"/>
      <c r="F249" s="5"/>
      <c r="G249" s="5"/>
      <c r="H249" s="5"/>
      <c r="I249" s="5"/>
      <c r="J249" s="5"/>
    </row>
    <row r="250" spans="1:10">
      <c r="A250" s="5"/>
      <c r="B250" s="5"/>
      <c r="C250" s="5"/>
      <c r="D250" s="5"/>
      <c r="E250" s="5"/>
      <c r="F250" s="5"/>
      <c r="G250" s="5"/>
      <c r="H250" s="5"/>
      <c r="I250" s="5"/>
      <c r="J250" s="5"/>
    </row>
    <row r="251" spans="1:10">
      <c r="A251" s="5"/>
      <c r="B251" s="5"/>
      <c r="C251" s="5"/>
      <c r="D251" s="5"/>
      <c r="E251" s="5"/>
      <c r="F251" s="5"/>
      <c r="G251" s="5"/>
      <c r="H251" s="5"/>
      <c r="I251" s="5"/>
      <c r="J251" s="5"/>
    </row>
    <row r="252" spans="1:10">
      <c r="A252" s="5"/>
      <c r="B252" s="5"/>
      <c r="C252" s="5"/>
      <c r="D252" s="5"/>
      <c r="E252" s="5"/>
      <c r="F252" s="5"/>
      <c r="G252" s="5"/>
      <c r="H252" s="5"/>
      <c r="I252" s="5"/>
      <c r="J252" s="5"/>
    </row>
    <row r="253" spans="1:10">
      <c r="A253" s="5"/>
      <c r="B253" s="5"/>
      <c r="C253" s="5"/>
      <c r="D253" s="5"/>
      <c r="E253" s="5"/>
      <c r="F253" s="5"/>
      <c r="G253" s="5"/>
      <c r="H253" s="5"/>
      <c r="I253" s="5"/>
      <c r="J253" s="5"/>
    </row>
    <row r="254" spans="1:10">
      <c r="A254" s="5"/>
      <c r="B254" s="5"/>
      <c r="C254" s="5"/>
      <c r="D254" s="5"/>
      <c r="E254" s="5"/>
      <c r="F254" s="5"/>
      <c r="G254" s="5"/>
      <c r="H254" s="5"/>
      <c r="I254" s="5"/>
      <c r="J254" s="5"/>
    </row>
    <row r="255" spans="1:10">
      <c r="A255" s="5"/>
      <c r="B255" s="5"/>
      <c r="C255" s="5"/>
      <c r="D255" s="5"/>
      <c r="E255" s="5"/>
      <c r="F255" s="5"/>
      <c r="G255" s="5"/>
      <c r="H255" s="5"/>
      <c r="I255" s="5"/>
      <c r="J255" s="5"/>
    </row>
    <row r="256" spans="1:10">
      <c r="A256" s="5"/>
      <c r="B256" s="5"/>
      <c r="C256" s="5"/>
      <c r="D256" s="5"/>
      <c r="E256" s="5"/>
      <c r="F256" s="5"/>
      <c r="G256" s="5"/>
      <c r="H256" s="5"/>
      <c r="I256" s="5"/>
      <c r="J256" s="5"/>
    </row>
    <row r="257" spans="1:10">
      <c r="A257" s="5"/>
      <c r="B257" s="5"/>
      <c r="C257" s="5"/>
      <c r="D257" s="5"/>
      <c r="E257" s="5"/>
      <c r="F257" s="5"/>
      <c r="G257" s="5"/>
      <c r="H257" s="5"/>
      <c r="I257" s="5"/>
      <c r="J257" s="5"/>
    </row>
    <row r="258" spans="1:10">
      <c r="A258" s="5"/>
      <c r="B258" s="5"/>
      <c r="C258" s="5"/>
      <c r="D258" s="5"/>
      <c r="E258" s="5"/>
      <c r="F258" s="5"/>
      <c r="G258" s="5"/>
      <c r="H258" s="5"/>
      <c r="I258" s="5"/>
      <c r="J258" s="5"/>
    </row>
    <row r="259" spans="1:10">
      <c r="A259" s="5"/>
      <c r="B259" s="5"/>
      <c r="C259" s="5"/>
      <c r="D259" s="5"/>
      <c r="E259" s="5"/>
      <c r="F259" s="5"/>
      <c r="G259" s="5"/>
      <c r="H259" s="5"/>
      <c r="I259" s="5"/>
      <c r="J259" s="5"/>
    </row>
    <row r="260" spans="1:10">
      <c r="A260" s="5"/>
      <c r="B260" s="5"/>
      <c r="C260" s="5"/>
      <c r="D260" s="5"/>
      <c r="E260" s="5"/>
      <c r="F260" s="5"/>
      <c r="G260" s="5"/>
      <c r="H260" s="5"/>
      <c r="I260" s="5"/>
      <c r="J260" s="5"/>
    </row>
    <row r="261" spans="1:10">
      <c r="A261" s="5"/>
      <c r="B261" s="5"/>
      <c r="C261" s="5"/>
      <c r="D261" s="5"/>
      <c r="E261" s="5"/>
      <c r="F261" s="5"/>
      <c r="G261" s="5"/>
      <c r="H261" s="5"/>
      <c r="I261" s="5"/>
      <c r="J261" s="5"/>
    </row>
    <row r="262" spans="1:10">
      <c r="A262" s="5"/>
      <c r="B262" s="5"/>
      <c r="C262" s="5"/>
      <c r="D262" s="5"/>
      <c r="E262" s="5"/>
      <c r="F262" s="5"/>
      <c r="G262" s="5"/>
      <c r="H262" s="5"/>
      <c r="I262" s="5"/>
      <c r="J262" s="5"/>
    </row>
    <row r="263" spans="1:10">
      <c r="A263" s="5"/>
      <c r="B263" s="5"/>
      <c r="C263" s="5"/>
      <c r="D263" s="5"/>
      <c r="E263" s="5"/>
      <c r="F263" s="5"/>
      <c r="G263" s="5"/>
      <c r="H263" s="5"/>
      <c r="I263" s="5"/>
      <c r="J263" s="5"/>
    </row>
    <row r="264" spans="1:10">
      <c r="A264" s="5"/>
      <c r="B264" s="5"/>
      <c r="C264" s="5"/>
      <c r="D264" s="5"/>
      <c r="E264" s="5"/>
      <c r="F264" s="5"/>
      <c r="G264" s="5"/>
      <c r="H264" s="5"/>
      <c r="I264" s="5"/>
      <c r="J264" s="5"/>
    </row>
    <row r="265" spans="1:10">
      <c r="A265" s="5"/>
      <c r="B265" s="5"/>
      <c r="C265" s="5"/>
      <c r="D265" s="5"/>
      <c r="E265" s="5"/>
      <c r="F265" s="5"/>
      <c r="G265" s="5"/>
      <c r="H265" s="5"/>
      <c r="I265" s="5"/>
      <c r="J265" s="5"/>
    </row>
    <row r="266" spans="1:10">
      <c r="A266" s="5"/>
      <c r="B266" s="5"/>
      <c r="C266" s="5"/>
      <c r="D266" s="5"/>
      <c r="E266" s="5"/>
      <c r="F266" s="5"/>
      <c r="G266" s="5"/>
      <c r="H266" s="5"/>
      <c r="I266" s="5"/>
      <c r="J266" s="5"/>
    </row>
    <row r="267" spans="1:10">
      <c r="A267" s="5"/>
      <c r="B267" s="5"/>
      <c r="C267" s="5"/>
      <c r="D267" s="5"/>
      <c r="E267" s="5"/>
      <c r="F267" s="5"/>
      <c r="G267" s="5"/>
      <c r="H267" s="5"/>
      <c r="I267" s="5"/>
      <c r="J267" s="5"/>
    </row>
    <row r="268" spans="1:10">
      <c r="A268" s="5"/>
      <c r="B268" s="5"/>
      <c r="C268" s="5"/>
      <c r="D268" s="5"/>
      <c r="E268" s="5"/>
      <c r="F268" s="5"/>
      <c r="G268" s="5"/>
      <c r="H268" s="5"/>
      <c r="I268" s="5"/>
      <c r="J268" s="5"/>
    </row>
    <row r="269" spans="1:10">
      <c r="A269" s="5"/>
      <c r="B269" s="5"/>
      <c r="C269" s="5"/>
      <c r="D269" s="5"/>
      <c r="E269" s="5"/>
      <c r="F269" s="5"/>
      <c r="G269" s="5"/>
      <c r="H269" s="5"/>
      <c r="I269" s="5"/>
      <c r="J269" s="5"/>
    </row>
    <row r="270" spans="1:10">
      <c r="A270" s="5"/>
      <c r="B270" s="5"/>
      <c r="C270" s="5"/>
      <c r="D270" s="5"/>
      <c r="E270" s="5"/>
      <c r="F270" s="5"/>
      <c r="G270" s="5"/>
      <c r="H270" s="5"/>
      <c r="I270" s="5"/>
      <c r="J270" s="5"/>
    </row>
    <row r="271" spans="1:10">
      <c r="A271" s="5"/>
      <c r="B271" s="5"/>
      <c r="C271" s="5"/>
      <c r="D271" s="5"/>
      <c r="E271" s="5"/>
      <c r="F271" s="5"/>
      <c r="G271" s="5"/>
      <c r="H271" s="5"/>
      <c r="I271" s="5"/>
      <c r="J271" s="5"/>
    </row>
    <row r="272" spans="1:10">
      <c r="A272" s="5"/>
      <c r="B272" s="5"/>
      <c r="C272" s="5"/>
      <c r="D272" s="5"/>
      <c r="E272" s="5"/>
      <c r="F272" s="5"/>
      <c r="G272" s="5"/>
      <c r="H272" s="5"/>
      <c r="I272" s="5"/>
      <c r="J272" s="5"/>
    </row>
    <row r="273" spans="1:10">
      <c r="A273" s="5"/>
      <c r="B273" s="5"/>
      <c r="C273" s="5"/>
      <c r="D273" s="5"/>
      <c r="E273" s="5"/>
      <c r="F273" s="5"/>
      <c r="G273" s="5"/>
      <c r="H273" s="5"/>
      <c r="I273" s="5"/>
      <c r="J273" s="5"/>
    </row>
    <row r="274" spans="1:10">
      <c r="A274" s="5"/>
      <c r="B274" s="5"/>
      <c r="C274" s="5"/>
      <c r="D274" s="5"/>
      <c r="E274" s="5"/>
      <c r="F274" s="5"/>
      <c r="G274" s="5"/>
      <c r="H274" s="5"/>
      <c r="I274" s="5"/>
      <c r="J274" s="5"/>
    </row>
    <row r="275" spans="1:10">
      <c r="A275" s="5"/>
      <c r="B275" s="5"/>
      <c r="C275" s="5"/>
      <c r="D275" s="5"/>
      <c r="E275" s="5"/>
      <c r="F275" s="5"/>
      <c r="G275" s="5"/>
      <c r="H275" s="5"/>
      <c r="I275" s="5"/>
      <c r="J275" s="5"/>
    </row>
    <row r="276" spans="1:10">
      <c r="A276" s="5"/>
      <c r="B276" s="5"/>
      <c r="C276" s="5"/>
      <c r="D276" s="5"/>
      <c r="E276" s="5"/>
      <c r="F276" s="5"/>
      <c r="G276" s="5"/>
      <c r="H276" s="5"/>
      <c r="I276" s="5"/>
      <c r="J276" s="5"/>
    </row>
    <row r="277" spans="1:10">
      <c r="A277" s="5"/>
      <c r="B277" s="5"/>
      <c r="C277" s="5"/>
      <c r="D277" s="5"/>
      <c r="E277" s="5"/>
      <c r="F277" s="5"/>
      <c r="G277" s="5"/>
      <c r="H277" s="5"/>
      <c r="I277" s="5"/>
      <c r="J277" s="5"/>
    </row>
    <row r="278" spans="1:10">
      <c r="A278" s="5"/>
      <c r="B278" s="5"/>
      <c r="C278" s="5"/>
      <c r="D278" s="5"/>
      <c r="E278" s="5"/>
      <c r="F278" s="5"/>
      <c r="G278" s="5"/>
      <c r="H278" s="5"/>
      <c r="I278" s="5"/>
      <c r="J278" s="5"/>
    </row>
    <row r="279" spans="1:10">
      <c r="A279" s="5"/>
      <c r="B279" s="5"/>
      <c r="C279" s="5"/>
      <c r="D279" s="5"/>
      <c r="E279" s="5"/>
      <c r="F279" s="5"/>
      <c r="G279" s="5"/>
      <c r="H279" s="5"/>
      <c r="I279" s="5"/>
      <c r="J279" s="5"/>
    </row>
    <row r="280" spans="1:10">
      <c r="A280" s="5"/>
      <c r="B280" s="5"/>
      <c r="C280" s="5"/>
      <c r="D280" s="5"/>
      <c r="E280" s="5"/>
      <c r="F280" s="5"/>
      <c r="G280" s="5"/>
      <c r="H280" s="5"/>
      <c r="I280" s="5"/>
      <c r="J280" s="5"/>
    </row>
    <row r="281" spans="1:10">
      <c r="A281" s="5"/>
      <c r="B281" s="5"/>
      <c r="C281" s="5"/>
      <c r="D281" s="5"/>
      <c r="E281" s="5"/>
      <c r="F281" s="5"/>
      <c r="G281" s="5"/>
      <c r="H281" s="5"/>
      <c r="I281" s="5"/>
      <c r="J281" s="5"/>
    </row>
    <row r="282" spans="1:10">
      <c r="A282" s="5"/>
      <c r="B282" s="5"/>
      <c r="C282" s="5"/>
      <c r="D282" s="5"/>
      <c r="E282" s="5"/>
      <c r="F282" s="5"/>
      <c r="G282" s="5"/>
      <c r="H282" s="5"/>
      <c r="I282" s="5"/>
      <c r="J282" s="5"/>
    </row>
    <row r="283" spans="1:10">
      <c r="A283" s="5"/>
      <c r="B283" s="5"/>
      <c r="C283" s="5"/>
      <c r="D283" s="5"/>
      <c r="E283" s="5"/>
      <c r="F283" s="5"/>
      <c r="G283" s="5"/>
      <c r="H283" s="5"/>
      <c r="I283" s="5"/>
      <c r="J283" s="5"/>
    </row>
    <row r="284" spans="1:10">
      <c r="A284" s="5"/>
      <c r="B284" s="5"/>
      <c r="C284" s="5"/>
      <c r="D284" s="5"/>
      <c r="E284" s="5"/>
      <c r="F284" s="5"/>
      <c r="G284" s="5"/>
      <c r="H284" s="5"/>
      <c r="I284" s="5"/>
      <c r="J284" s="5"/>
    </row>
    <row r="285" spans="1:10">
      <c r="A285" s="5"/>
      <c r="B285" s="5"/>
      <c r="C285" s="5"/>
      <c r="D285" s="5"/>
      <c r="E285" s="5"/>
      <c r="F285" s="5"/>
      <c r="G285" s="5"/>
      <c r="H285" s="5"/>
      <c r="I285" s="5"/>
      <c r="J285" s="5"/>
    </row>
    <row r="286" spans="1:10">
      <c r="A286" s="5"/>
      <c r="B286" s="5"/>
      <c r="C286" s="5"/>
      <c r="D286" s="5"/>
      <c r="E286" s="5"/>
      <c r="F286" s="5"/>
      <c r="G286" s="5"/>
      <c r="H286" s="5"/>
      <c r="I286" s="5"/>
      <c r="J286" s="5"/>
    </row>
    <row r="287" spans="1:10">
      <c r="A287" s="5"/>
      <c r="B287" s="5"/>
      <c r="C287" s="5"/>
      <c r="D287" s="5"/>
      <c r="E287" s="5"/>
      <c r="F287" s="5"/>
      <c r="G287" s="5"/>
      <c r="H287" s="5"/>
      <c r="I287" s="5"/>
      <c r="J287" s="5"/>
    </row>
    <row r="288" spans="1:10">
      <c r="A288" s="5"/>
      <c r="B288" s="5"/>
      <c r="C288" s="5"/>
      <c r="D288" s="5"/>
      <c r="E288" s="5"/>
      <c r="F288" s="5"/>
      <c r="G288" s="5"/>
      <c r="H288" s="5"/>
      <c r="I288" s="5"/>
      <c r="J288" s="5"/>
    </row>
    <row r="289" spans="1:10">
      <c r="A289" s="5"/>
      <c r="B289" s="5"/>
      <c r="C289" s="5"/>
      <c r="D289" s="5"/>
      <c r="E289" s="5"/>
      <c r="F289" s="5"/>
      <c r="G289" s="5"/>
      <c r="H289" s="5"/>
      <c r="I289" s="5"/>
      <c r="J289" s="5"/>
    </row>
    <row r="290" spans="1:10">
      <c r="A290" s="5"/>
      <c r="B290" s="5"/>
      <c r="C290" s="5"/>
      <c r="D290" s="5"/>
      <c r="E290" s="5"/>
      <c r="F290" s="5"/>
      <c r="G290" s="5"/>
      <c r="H290" s="5"/>
      <c r="I290" s="5"/>
      <c r="J290" s="5"/>
    </row>
    <row r="291" spans="1:10">
      <c r="A291" s="5"/>
      <c r="B291" s="5"/>
      <c r="C291" s="5"/>
      <c r="D291" s="5"/>
      <c r="E291" s="5"/>
      <c r="F291" s="5"/>
      <c r="G291" s="5"/>
      <c r="H291" s="5"/>
      <c r="I291" s="5"/>
      <c r="J291" s="5"/>
    </row>
    <row r="292" spans="1:10">
      <c r="A292" s="5"/>
      <c r="B292" s="5"/>
      <c r="C292" s="5"/>
      <c r="D292" s="5"/>
      <c r="E292" s="5"/>
      <c r="F292" s="5"/>
      <c r="G292" s="5"/>
      <c r="H292" s="5"/>
      <c r="I292" s="5"/>
      <c r="J292" s="5"/>
    </row>
    <row r="293" spans="1:10">
      <c r="A293" s="5"/>
      <c r="B293" s="5"/>
      <c r="C293" s="5"/>
      <c r="D293" s="5"/>
      <c r="E293" s="5"/>
      <c r="F293" s="5"/>
      <c r="G293" s="5"/>
      <c r="H293" s="5"/>
      <c r="I293" s="5"/>
      <c r="J293" s="5"/>
    </row>
    <row r="294" spans="1:10">
      <c r="A294" s="5"/>
      <c r="B294" s="5"/>
      <c r="C294" s="5"/>
      <c r="D294" s="5"/>
      <c r="E294" s="5"/>
      <c r="F294" s="5"/>
      <c r="G294" s="5"/>
      <c r="H294" s="5"/>
      <c r="I294" s="5"/>
      <c r="J294" s="5"/>
    </row>
    <row r="295" spans="1:10">
      <c r="A295" s="5"/>
      <c r="B295" s="5"/>
      <c r="C295" s="5"/>
      <c r="D295" s="5"/>
      <c r="E295" s="5"/>
      <c r="F295" s="5"/>
      <c r="G295" s="5"/>
      <c r="H295" s="5"/>
      <c r="I295" s="5"/>
      <c r="J295" s="5"/>
    </row>
    <row r="296" spans="1:10">
      <c r="A296" s="5"/>
      <c r="B296" s="5"/>
      <c r="C296" s="5"/>
      <c r="D296" s="5"/>
      <c r="E296" s="5"/>
      <c r="F296" s="5"/>
      <c r="G296" s="5"/>
      <c r="H296" s="5"/>
      <c r="I296" s="5"/>
      <c r="J296" s="5"/>
    </row>
    <row r="297" spans="1:10">
      <c r="A297" s="5"/>
      <c r="B297" s="5"/>
      <c r="C297" s="5"/>
      <c r="D297" s="5"/>
      <c r="E297" s="5"/>
      <c r="F297" s="5"/>
      <c r="G297" s="5"/>
      <c r="H297" s="5"/>
      <c r="I297" s="5"/>
      <c r="J297" s="5"/>
    </row>
    <row r="298" spans="1:10">
      <c r="A298" s="5"/>
      <c r="B298" s="5"/>
      <c r="C298" s="5"/>
      <c r="D298" s="5"/>
      <c r="E298" s="5"/>
      <c r="F298" s="5"/>
      <c r="G298" s="5"/>
      <c r="H298" s="5"/>
      <c r="I298" s="5"/>
      <c r="J298" s="5"/>
    </row>
    <row r="299" spans="1:10">
      <c r="A299" s="5"/>
      <c r="B299" s="5"/>
      <c r="C299" s="5"/>
      <c r="D299" s="5"/>
      <c r="E299" s="5"/>
      <c r="F299" s="5"/>
      <c r="G299" s="5"/>
      <c r="H299" s="5"/>
      <c r="I299" s="5"/>
      <c r="J299" s="5"/>
    </row>
    <row r="300" spans="1:10">
      <c r="A300" s="5"/>
      <c r="B300" s="5"/>
      <c r="C300" s="5"/>
      <c r="D300" s="5"/>
      <c r="E300" s="5"/>
      <c r="F300" s="5"/>
      <c r="G300" s="5"/>
      <c r="H300" s="5"/>
      <c r="I300" s="5"/>
      <c r="J300" s="5"/>
    </row>
    <row r="301" spans="1:10">
      <c r="A301" s="5"/>
      <c r="B301" s="5"/>
      <c r="C301" s="5"/>
      <c r="D301" s="5"/>
      <c r="E301" s="5"/>
      <c r="F301" s="5"/>
      <c r="G301" s="5"/>
      <c r="H301" s="5"/>
      <c r="I301" s="5"/>
      <c r="J301" s="5"/>
    </row>
    <row r="302" spans="1:10">
      <c r="A302" s="5"/>
      <c r="B302" s="5"/>
      <c r="C302" s="5"/>
      <c r="D302" s="5"/>
      <c r="E302" s="5"/>
      <c r="F302" s="5"/>
      <c r="G302" s="5"/>
      <c r="H302" s="5"/>
      <c r="I302" s="5"/>
      <c r="J302" s="5"/>
    </row>
    <row r="303" spans="1:10">
      <c r="A303" s="5"/>
      <c r="B303" s="5"/>
      <c r="C303" s="5"/>
      <c r="D303" s="5"/>
      <c r="E303" s="5"/>
      <c r="F303" s="5"/>
      <c r="G303" s="5"/>
      <c r="H303" s="5"/>
      <c r="I303" s="5"/>
      <c r="J303" s="5"/>
    </row>
    <row r="304" spans="1:10">
      <c r="A304" s="5"/>
      <c r="B304" s="5"/>
      <c r="C304" s="5"/>
      <c r="D304" s="5"/>
      <c r="E304" s="5"/>
      <c r="F304" s="5"/>
      <c r="G304" s="5"/>
      <c r="H304" s="5"/>
      <c r="I304" s="5"/>
      <c r="J304" s="5"/>
    </row>
    <row r="305" spans="1:10">
      <c r="A305" s="5"/>
      <c r="B305" s="5"/>
      <c r="C305" s="5"/>
      <c r="D305" s="5"/>
      <c r="E305" s="5"/>
      <c r="F305" s="5"/>
      <c r="G305" s="5"/>
      <c r="H305" s="5"/>
      <c r="I305" s="5"/>
      <c r="J305" s="5"/>
    </row>
    <row r="306" spans="1:10">
      <c r="A306" s="5"/>
      <c r="B306" s="5"/>
      <c r="C306" s="5"/>
      <c r="D306" s="5"/>
      <c r="E306" s="5"/>
      <c r="F306" s="5"/>
      <c r="G306" s="5"/>
      <c r="H306" s="5"/>
      <c r="I306" s="5"/>
      <c r="J306" s="5"/>
    </row>
    <row r="307" spans="1:10">
      <c r="A307" s="5"/>
      <c r="B307" s="5"/>
      <c r="C307" s="5"/>
      <c r="D307" s="5"/>
      <c r="E307" s="5"/>
      <c r="F307" s="5"/>
      <c r="G307" s="5"/>
      <c r="H307" s="5"/>
      <c r="I307" s="5"/>
      <c r="J307" s="5"/>
    </row>
    <row r="308" spans="1:10">
      <c r="A308" s="5"/>
      <c r="B308" s="5"/>
      <c r="C308" s="5"/>
      <c r="D308" s="5"/>
      <c r="E308" s="5"/>
      <c r="F308" s="5"/>
      <c r="G308" s="5"/>
      <c r="H308" s="5"/>
      <c r="I308" s="5"/>
      <c r="J308" s="5"/>
    </row>
    <row r="309" spans="1:10">
      <c r="A309" s="5"/>
      <c r="B309" s="5"/>
      <c r="C309" s="5"/>
      <c r="D309" s="5"/>
      <c r="E309" s="5"/>
      <c r="F309" s="5"/>
      <c r="G309" s="5"/>
      <c r="H309" s="5"/>
      <c r="I309" s="5"/>
      <c r="J309" s="5"/>
    </row>
    <row r="310" spans="1:10">
      <c r="A310" s="5"/>
      <c r="B310" s="5"/>
      <c r="C310" s="5"/>
      <c r="D310" s="5"/>
      <c r="E310" s="5"/>
      <c r="F310" s="5"/>
      <c r="G310" s="5"/>
      <c r="H310" s="5"/>
      <c r="I310" s="5"/>
      <c r="J310" s="5"/>
    </row>
    <row r="311" spans="1:10">
      <c r="A311" s="5"/>
      <c r="B311" s="5"/>
      <c r="C311" s="5"/>
      <c r="D311" s="5"/>
      <c r="E311" s="5"/>
      <c r="F311" s="5"/>
      <c r="G311" s="5"/>
      <c r="H311" s="5"/>
      <c r="I311" s="5"/>
      <c r="J311" s="5"/>
    </row>
    <row r="312" spans="1:10">
      <c r="A312" s="5"/>
      <c r="B312" s="5"/>
      <c r="C312" s="5"/>
      <c r="D312" s="5"/>
      <c r="E312" s="5"/>
      <c r="F312" s="5"/>
      <c r="G312" s="5"/>
      <c r="H312" s="5"/>
      <c r="I312" s="5"/>
      <c r="J312" s="5"/>
    </row>
    <row r="313" spans="1:10">
      <c r="A313" s="5"/>
      <c r="B313" s="5"/>
      <c r="C313" s="5"/>
      <c r="D313" s="5"/>
      <c r="E313" s="5"/>
      <c r="F313" s="5"/>
      <c r="G313" s="5"/>
      <c r="H313" s="5"/>
      <c r="I313" s="5"/>
      <c r="J313" s="5"/>
    </row>
    <row r="314" spans="1:10">
      <c r="A314" s="5"/>
      <c r="B314" s="5"/>
      <c r="C314" s="5"/>
      <c r="D314" s="5"/>
      <c r="E314" s="5"/>
      <c r="F314" s="5"/>
      <c r="G314" s="5"/>
      <c r="H314" s="5"/>
      <c r="I314" s="5"/>
      <c r="J314" s="5"/>
    </row>
    <row r="315" spans="1:10">
      <c r="A315" s="5"/>
      <c r="B315" s="5"/>
      <c r="C315" s="5"/>
      <c r="D315" s="5"/>
      <c r="E315" s="5"/>
      <c r="F315" s="5"/>
      <c r="G315" s="5"/>
      <c r="H315" s="5"/>
      <c r="I315" s="5"/>
      <c r="J315" s="5"/>
    </row>
    <row r="316" spans="1:10">
      <c r="A316" s="5"/>
      <c r="B316" s="5"/>
      <c r="C316" s="5"/>
      <c r="D316" s="5"/>
      <c r="E316" s="5"/>
      <c r="F316" s="5"/>
      <c r="G316" s="5"/>
      <c r="H316" s="5"/>
      <c r="I316" s="5"/>
      <c r="J316" s="5"/>
    </row>
    <row r="317" spans="1:10">
      <c r="A317" s="5"/>
      <c r="B317" s="5"/>
      <c r="C317" s="5"/>
      <c r="D317" s="5"/>
      <c r="E317" s="5"/>
      <c r="F317" s="5"/>
      <c r="G317" s="5"/>
      <c r="H317" s="5"/>
      <c r="I317" s="5"/>
      <c r="J317" s="5"/>
    </row>
    <row r="318" spans="1:10">
      <c r="A318" s="5"/>
      <c r="B318" s="5"/>
      <c r="C318" s="5"/>
      <c r="D318" s="5"/>
      <c r="E318" s="5"/>
      <c r="F318" s="5"/>
      <c r="G318" s="5"/>
      <c r="H318" s="5"/>
      <c r="I318" s="5"/>
      <c r="J318" s="5"/>
    </row>
    <row r="319" spans="1:10">
      <c r="A319" s="5"/>
      <c r="B319" s="5"/>
      <c r="C319" s="5"/>
      <c r="D319" s="5"/>
      <c r="E319" s="5"/>
      <c r="F319" s="5"/>
      <c r="G319" s="5"/>
      <c r="H319" s="5"/>
      <c r="I319" s="5"/>
      <c r="J319" s="5"/>
    </row>
    <row r="320" spans="1:10">
      <c r="A320" s="5"/>
      <c r="B320" s="5"/>
      <c r="C320" s="5"/>
      <c r="D320" s="5"/>
      <c r="E320" s="5"/>
      <c r="F320" s="5"/>
      <c r="G320" s="5"/>
      <c r="H320" s="5"/>
      <c r="I320" s="5"/>
      <c r="J320" s="5"/>
    </row>
    <row r="321" spans="1:10">
      <c r="A321" s="5"/>
      <c r="B321" s="5"/>
      <c r="C321" s="5"/>
      <c r="D321" s="5"/>
      <c r="E321" s="5"/>
      <c r="F321" s="5"/>
      <c r="G321" s="5"/>
      <c r="H321" s="5"/>
      <c r="I321" s="5"/>
      <c r="J321" s="5"/>
    </row>
    <row r="322" spans="1:10">
      <c r="A322" s="5"/>
      <c r="B322" s="5"/>
      <c r="C322" s="5"/>
      <c r="D322" s="5"/>
      <c r="E322" s="5"/>
      <c r="F322" s="5"/>
      <c r="G322" s="5"/>
      <c r="H322" s="5"/>
      <c r="I322" s="5"/>
      <c r="J322" s="5"/>
    </row>
    <row r="323" spans="1:10">
      <c r="A323" s="5"/>
      <c r="B323" s="5"/>
      <c r="C323" s="5"/>
      <c r="D323" s="5"/>
      <c r="E323" s="5"/>
      <c r="F323" s="5"/>
      <c r="G323" s="5"/>
      <c r="H323" s="5"/>
      <c r="I323" s="5"/>
      <c r="J323" s="5"/>
    </row>
    <row r="324" spans="1:10">
      <c r="A324" s="5"/>
      <c r="B324" s="5"/>
      <c r="C324" s="5"/>
      <c r="D324" s="5"/>
      <c r="E324" s="5"/>
      <c r="F324" s="5"/>
      <c r="G324" s="5"/>
      <c r="H324" s="5"/>
      <c r="I324" s="5"/>
      <c r="J324" s="5"/>
    </row>
    <row r="325" spans="1:10">
      <c r="A325" s="5"/>
      <c r="B325" s="5"/>
      <c r="C325" s="5"/>
      <c r="D325" s="5"/>
      <c r="E325" s="5"/>
      <c r="F325" s="5"/>
      <c r="G325" s="5"/>
      <c r="H325" s="5"/>
      <c r="I325" s="5"/>
      <c r="J325" s="5"/>
    </row>
    <row r="326" spans="1:10">
      <c r="A326" s="5"/>
      <c r="B326" s="5"/>
      <c r="C326" s="5"/>
      <c r="D326" s="5"/>
      <c r="E326" s="5"/>
      <c r="F326" s="5"/>
      <c r="G326" s="5"/>
      <c r="H326" s="5"/>
      <c r="I326" s="5"/>
      <c r="J326" s="5"/>
    </row>
    <row r="327" spans="1:10">
      <c r="A327" s="5"/>
      <c r="B327" s="5"/>
      <c r="C327" s="5"/>
      <c r="D327" s="5"/>
      <c r="E327" s="5"/>
      <c r="F327" s="5"/>
      <c r="G327" s="5"/>
      <c r="H327" s="5"/>
      <c r="I327" s="5"/>
      <c r="J327" s="5"/>
    </row>
    <row r="328" spans="1:10">
      <c r="A328" s="5"/>
      <c r="B328" s="5"/>
      <c r="C328" s="5"/>
      <c r="D328" s="5"/>
      <c r="E328" s="5"/>
      <c r="F328" s="5"/>
      <c r="G328" s="5"/>
      <c r="H328" s="5"/>
      <c r="I328" s="5"/>
      <c r="J328" s="5"/>
    </row>
    <row r="329" spans="1:10">
      <c r="A329" s="5"/>
      <c r="B329" s="5"/>
      <c r="C329" s="5"/>
      <c r="D329" s="5"/>
      <c r="E329" s="5"/>
      <c r="F329" s="5"/>
      <c r="G329" s="5"/>
      <c r="H329" s="5"/>
      <c r="I329" s="5"/>
      <c r="J329" s="5"/>
    </row>
    <row r="330" spans="1:10">
      <c r="A330" s="5"/>
      <c r="B330" s="5"/>
      <c r="C330" s="5"/>
      <c r="D330" s="5"/>
      <c r="E330" s="5"/>
      <c r="F330" s="5"/>
      <c r="G330" s="5"/>
      <c r="H330" s="5"/>
      <c r="I330" s="5"/>
      <c r="J330" s="5"/>
    </row>
    <row r="331" spans="1:10">
      <c r="A331" s="5"/>
      <c r="B331" s="5"/>
      <c r="C331" s="5"/>
      <c r="D331" s="5"/>
      <c r="E331" s="5"/>
      <c r="F331" s="5"/>
      <c r="G331" s="5"/>
      <c r="H331" s="5"/>
      <c r="I331" s="5"/>
      <c r="J331" s="5"/>
    </row>
    <row r="332" spans="1:10">
      <c r="A332" s="5"/>
      <c r="B332" s="5"/>
      <c r="C332" s="5"/>
      <c r="D332" s="5"/>
      <c r="E332" s="5"/>
      <c r="F332" s="5"/>
      <c r="G332" s="5"/>
      <c r="H332" s="5"/>
      <c r="I332" s="5"/>
      <c r="J332" s="5"/>
    </row>
    <row r="333" spans="1:10">
      <c r="A333" s="5"/>
      <c r="B333" s="5"/>
      <c r="C333" s="5"/>
      <c r="D333" s="5"/>
      <c r="E333" s="5"/>
      <c r="F333" s="5"/>
      <c r="G333" s="5"/>
      <c r="H333" s="5"/>
      <c r="I333" s="5"/>
      <c r="J333" s="5"/>
    </row>
    <row r="334" spans="1:10">
      <c r="A334" s="5"/>
      <c r="B334" s="5"/>
      <c r="C334" s="5"/>
      <c r="D334" s="5"/>
      <c r="E334" s="5"/>
      <c r="F334" s="5"/>
      <c r="G334" s="5"/>
      <c r="H334" s="5"/>
      <c r="I334" s="5"/>
      <c r="J334" s="5"/>
    </row>
    <row r="335" spans="1:10">
      <c r="A335" s="5"/>
      <c r="B335" s="5"/>
      <c r="C335" s="5"/>
      <c r="D335" s="5"/>
      <c r="E335" s="5"/>
      <c r="F335" s="5"/>
      <c r="G335" s="5"/>
      <c r="H335" s="5"/>
      <c r="I335" s="5"/>
      <c r="J335" s="5"/>
    </row>
    <row r="336" spans="1:10">
      <c r="A336" s="5"/>
      <c r="B336" s="5"/>
      <c r="C336" s="5"/>
      <c r="D336" s="5"/>
      <c r="E336" s="5"/>
      <c r="F336" s="5"/>
      <c r="G336" s="5"/>
      <c r="H336" s="5"/>
      <c r="I336" s="5"/>
      <c r="J336" s="5"/>
    </row>
    <row r="337" spans="1:10">
      <c r="A337" s="5"/>
      <c r="B337" s="5"/>
      <c r="C337" s="5"/>
      <c r="D337" s="5"/>
      <c r="E337" s="5"/>
      <c r="F337" s="5"/>
      <c r="G337" s="5"/>
      <c r="H337" s="5"/>
      <c r="I337" s="5"/>
      <c r="J337" s="5"/>
    </row>
    <row r="338" spans="1:10">
      <c r="A338" s="5"/>
      <c r="B338" s="5"/>
      <c r="C338" s="5"/>
      <c r="D338" s="5"/>
      <c r="E338" s="5"/>
      <c r="F338" s="5"/>
      <c r="G338" s="5"/>
      <c r="H338" s="5"/>
      <c r="I338" s="5"/>
      <c r="J338" s="5"/>
    </row>
    <row r="339" spans="1:10">
      <c r="A339" s="5"/>
      <c r="B339" s="5"/>
      <c r="C339" s="5"/>
      <c r="D339" s="5"/>
      <c r="E339" s="5"/>
      <c r="F339" s="5"/>
      <c r="G339" s="5"/>
      <c r="H339" s="5"/>
      <c r="I339" s="5"/>
      <c r="J339" s="5"/>
    </row>
    <row r="340" spans="1:10">
      <c r="A340" s="5"/>
      <c r="B340" s="5"/>
      <c r="C340" s="5"/>
      <c r="D340" s="5"/>
      <c r="E340" s="5"/>
      <c r="F340" s="5"/>
      <c r="G340" s="5"/>
      <c r="H340" s="5"/>
      <c r="I340" s="5"/>
      <c r="J340" s="5"/>
    </row>
    <row r="341" spans="1:10">
      <c r="A341" s="5"/>
      <c r="B341" s="5"/>
      <c r="C341" s="5"/>
      <c r="D341" s="5"/>
      <c r="E341" s="5"/>
      <c r="F341" s="5"/>
      <c r="G341" s="5"/>
      <c r="H341" s="5"/>
      <c r="I341" s="5"/>
      <c r="J341" s="5"/>
    </row>
    <row r="342" spans="1:10">
      <c r="A342" s="5"/>
      <c r="B342" s="5"/>
      <c r="C342" s="5"/>
      <c r="D342" s="5"/>
      <c r="E342" s="5"/>
      <c r="F342" s="5"/>
      <c r="G342" s="5"/>
      <c r="H342" s="5"/>
      <c r="I342" s="5"/>
      <c r="J342" s="5"/>
    </row>
    <row r="343" spans="1:10">
      <c r="A343" s="5"/>
      <c r="B343" s="5"/>
      <c r="C343" s="5"/>
      <c r="D343" s="5"/>
      <c r="E343" s="5"/>
      <c r="F343" s="5"/>
      <c r="G343" s="5"/>
      <c r="H343" s="5"/>
      <c r="I343" s="5"/>
      <c r="J343" s="5"/>
    </row>
    <row r="344" spans="1:10">
      <c r="A344" s="5"/>
      <c r="B344" s="5"/>
      <c r="C344" s="5"/>
      <c r="D344" s="5"/>
      <c r="E344" s="5"/>
      <c r="F344" s="5"/>
      <c r="G344" s="5"/>
      <c r="H344" s="5"/>
      <c r="I344" s="5"/>
      <c r="J344" s="5"/>
    </row>
    <row r="345" spans="1:10">
      <c r="A345" s="5"/>
      <c r="B345" s="5"/>
      <c r="C345" s="5"/>
      <c r="D345" s="5"/>
      <c r="E345" s="5"/>
      <c r="F345" s="5"/>
      <c r="G345" s="5"/>
      <c r="H345" s="5"/>
      <c r="I345" s="5"/>
      <c r="J345" s="5"/>
    </row>
    <row r="346" spans="1:10">
      <c r="A346" s="5"/>
      <c r="B346" s="5"/>
      <c r="C346" s="5"/>
      <c r="D346" s="5"/>
      <c r="E346" s="5"/>
      <c r="F346" s="5"/>
      <c r="G346" s="5"/>
      <c r="H346" s="5"/>
      <c r="I346" s="5"/>
      <c r="J346" s="5"/>
    </row>
    <row r="347" spans="1:10">
      <c r="A347" s="5"/>
      <c r="B347" s="5"/>
      <c r="C347" s="5"/>
      <c r="D347" s="5"/>
      <c r="E347" s="5"/>
      <c r="F347" s="5"/>
      <c r="G347" s="5"/>
      <c r="H347" s="5"/>
      <c r="I347" s="5"/>
      <c r="J347" s="5"/>
    </row>
    <row r="348" spans="1:10">
      <c r="A348" s="5"/>
      <c r="B348" s="5"/>
      <c r="C348" s="5"/>
      <c r="D348" s="5"/>
      <c r="E348" s="5"/>
      <c r="F348" s="5"/>
      <c r="G348" s="5"/>
      <c r="H348" s="5"/>
      <c r="I348" s="5"/>
      <c r="J348" s="5"/>
    </row>
    <row r="349" spans="1:10">
      <c r="A349" s="5"/>
      <c r="B349" s="5"/>
      <c r="C349" s="5"/>
      <c r="D349" s="5"/>
      <c r="E349" s="5"/>
      <c r="F349" s="5"/>
      <c r="G349" s="5"/>
      <c r="H349" s="5"/>
      <c r="I349" s="5"/>
      <c r="J349" s="5"/>
    </row>
    <row r="350" spans="1:10">
      <c r="A350" s="5"/>
      <c r="B350" s="5"/>
      <c r="C350" s="5"/>
      <c r="D350" s="5"/>
      <c r="E350" s="5"/>
      <c r="F350" s="5"/>
      <c r="G350" s="5"/>
      <c r="H350" s="5"/>
      <c r="I350" s="5"/>
      <c r="J350" s="5"/>
    </row>
    <row r="351" spans="1:10">
      <c r="A351" s="5"/>
      <c r="B351" s="5"/>
      <c r="C351" s="5"/>
      <c r="D351" s="5"/>
      <c r="E351" s="5"/>
      <c r="F351" s="5"/>
      <c r="G351" s="5"/>
      <c r="H351" s="5"/>
      <c r="I351" s="5"/>
      <c r="J351" s="5"/>
    </row>
    <row r="352" spans="1:10">
      <c r="A352" s="5"/>
      <c r="B352" s="5"/>
      <c r="C352" s="5"/>
      <c r="D352" s="5"/>
      <c r="E352" s="5"/>
      <c r="F352" s="5"/>
      <c r="G352" s="5"/>
      <c r="H352" s="5"/>
      <c r="I352" s="5"/>
      <c r="J352" s="5"/>
    </row>
    <row r="353" spans="1:10">
      <c r="A353" s="5"/>
      <c r="B353" s="5"/>
      <c r="C353" s="5"/>
      <c r="D353" s="5"/>
      <c r="E353" s="5"/>
      <c r="F353" s="5"/>
      <c r="G353" s="5"/>
      <c r="H353" s="5"/>
      <c r="I353" s="5"/>
      <c r="J353" s="5"/>
    </row>
    <row r="354" spans="1:10">
      <c r="A354" s="5"/>
      <c r="B354" s="5"/>
      <c r="C354" s="5"/>
      <c r="D354" s="5"/>
      <c r="E354" s="5"/>
      <c r="F354" s="5"/>
      <c r="G354" s="5"/>
      <c r="H354" s="5"/>
      <c r="I354" s="5"/>
      <c r="J354" s="5"/>
    </row>
    <row r="355" spans="1:10">
      <c r="A355" s="5"/>
      <c r="B355" s="5"/>
      <c r="C355" s="5"/>
      <c r="D355" s="5"/>
      <c r="E355" s="5"/>
      <c r="F355" s="5"/>
      <c r="G355" s="5"/>
      <c r="H355" s="5"/>
      <c r="I355" s="5"/>
      <c r="J355" s="5"/>
    </row>
    <row r="356" spans="1:10">
      <c r="A356" s="5"/>
      <c r="B356" s="5"/>
      <c r="C356" s="5"/>
      <c r="D356" s="5"/>
      <c r="E356" s="5"/>
      <c r="F356" s="5"/>
      <c r="G356" s="5"/>
      <c r="H356" s="5"/>
      <c r="I356" s="5"/>
      <c r="J356" s="5"/>
    </row>
    <row r="357" spans="1:10">
      <c r="A357" s="5"/>
      <c r="B357" s="5"/>
      <c r="C357" s="5"/>
      <c r="D357" s="5"/>
      <c r="E357" s="5"/>
      <c r="F357" s="5"/>
      <c r="G357" s="5"/>
      <c r="H357" s="5"/>
      <c r="I357" s="5"/>
      <c r="J357" s="5"/>
    </row>
    <row r="358" spans="1:10">
      <c r="A358" s="5"/>
      <c r="B358" s="5"/>
      <c r="C358" s="5"/>
      <c r="D358" s="5"/>
      <c r="E358" s="5"/>
      <c r="F358" s="5"/>
      <c r="G358" s="5"/>
      <c r="H358" s="5"/>
      <c r="I358" s="5"/>
      <c r="J358" s="5"/>
    </row>
    <row r="359" spans="1:10">
      <c r="A359" s="5"/>
      <c r="B359" s="5"/>
      <c r="C359" s="5"/>
      <c r="D359" s="5"/>
      <c r="E359" s="5"/>
      <c r="F359" s="5"/>
      <c r="G359" s="5"/>
      <c r="H359" s="5"/>
      <c r="I359" s="5"/>
      <c r="J359" s="5"/>
    </row>
    <row r="360" spans="1:10">
      <c r="A360" s="5"/>
      <c r="B360" s="5"/>
      <c r="C360" s="5"/>
      <c r="D360" s="5"/>
      <c r="E360" s="5"/>
      <c r="F360" s="5"/>
      <c r="G360" s="5"/>
      <c r="H360" s="5"/>
      <c r="I360" s="5"/>
      <c r="J360" s="5"/>
    </row>
    <row r="361" spans="1:10">
      <c r="A361" s="5"/>
      <c r="B361" s="5"/>
      <c r="C361" s="5"/>
      <c r="D361" s="5"/>
      <c r="E361" s="5"/>
      <c r="F361" s="5"/>
      <c r="G361" s="5"/>
      <c r="H361" s="5"/>
      <c r="I361" s="5"/>
      <c r="J361" s="5"/>
    </row>
    <row r="362" spans="1:10">
      <c r="A362" s="5"/>
      <c r="B362" s="5"/>
      <c r="C362" s="5"/>
      <c r="D362" s="5"/>
      <c r="E362" s="5"/>
      <c r="F362" s="5"/>
      <c r="G362" s="5"/>
      <c r="H362" s="5"/>
      <c r="I362" s="5"/>
      <c r="J362" s="5"/>
    </row>
    <row r="363" spans="1:10">
      <c r="A363" s="5"/>
      <c r="B363" s="5"/>
      <c r="C363" s="5"/>
      <c r="D363" s="5"/>
      <c r="E363" s="5"/>
      <c r="F363" s="5"/>
      <c r="G363" s="5"/>
      <c r="H363" s="5"/>
      <c r="I363" s="5"/>
      <c r="J363" s="5"/>
    </row>
    <row r="364" spans="1:10">
      <c r="A364" s="5"/>
      <c r="B364" s="5"/>
      <c r="C364" s="5"/>
      <c r="D364" s="5"/>
      <c r="E364" s="5"/>
      <c r="F364" s="5"/>
      <c r="G364" s="5"/>
      <c r="H364" s="5"/>
      <c r="I364" s="5"/>
      <c r="J364" s="5"/>
    </row>
    <row r="365" spans="1:10">
      <c r="A365" s="5"/>
      <c r="B365" s="5"/>
      <c r="C365" s="5"/>
      <c r="D365" s="5"/>
      <c r="E365" s="5"/>
      <c r="F365" s="5"/>
      <c r="G365" s="5"/>
      <c r="H365" s="5"/>
      <c r="I365" s="5"/>
      <c r="J365" s="5"/>
    </row>
    <row r="366" spans="1:10">
      <c r="A366" s="5"/>
      <c r="B366" s="5"/>
      <c r="C366" s="5"/>
      <c r="D366" s="5"/>
      <c r="E366" s="5"/>
      <c r="F366" s="5"/>
      <c r="G366" s="5"/>
      <c r="H366" s="5"/>
      <c r="I366" s="5"/>
      <c r="J366" s="5"/>
    </row>
    <row r="367" spans="1:10">
      <c r="A367" s="5"/>
      <c r="B367" s="5"/>
      <c r="C367" s="5"/>
      <c r="D367" s="5"/>
      <c r="E367" s="5"/>
      <c r="F367" s="5"/>
      <c r="G367" s="5"/>
      <c r="H367" s="5"/>
      <c r="I367" s="5"/>
      <c r="J367" s="5"/>
    </row>
    <row r="368" spans="1:10">
      <c r="A368" s="5"/>
      <c r="B368" s="5"/>
      <c r="C368" s="5"/>
      <c r="D368" s="5"/>
      <c r="E368" s="5"/>
      <c r="F368" s="5"/>
      <c r="G368" s="5"/>
      <c r="H368" s="5"/>
      <c r="I368" s="5"/>
      <c r="J368" s="5"/>
    </row>
    <row r="369" spans="1:10">
      <c r="A369" s="5"/>
      <c r="B369" s="5"/>
      <c r="C369" s="5"/>
      <c r="D369" s="5"/>
      <c r="E369" s="5"/>
      <c r="F369" s="5"/>
      <c r="G369" s="5"/>
      <c r="H369" s="5"/>
      <c r="I369" s="5"/>
      <c r="J369" s="5"/>
    </row>
    <row r="370" spans="1:10">
      <c r="A370" s="5"/>
      <c r="B370" s="5"/>
      <c r="C370" s="5"/>
      <c r="D370" s="5"/>
      <c r="E370" s="5"/>
      <c r="F370" s="5"/>
      <c r="G370" s="5"/>
      <c r="H370" s="5"/>
      <c r="I370" s="5"/>
      <c r="J370" s="5"/>
    </row>
    <row r="371" spans="1:10">
      <c r="A371" s="5"/>
      <c r="B371" s="5"/>
      <c r="C371" s="5"/>
      <c r="D371" s="5"/>
      <c r="E371" s="5"/>
      <c r="F371" s="5"/>
      <c r="G371" s="5"/>
      <c r="H371" s="5"/>
      <c r="I371" s="5"/>
      <c r="J371" s="5"/>
    </row>
    <row r="372" spans="1:10">
      <c r="A372" s="5"/>
      <c r="B372" s="5"/>
      <c r="C372" s="5"/>
      <c r="D372" s="5"/>
      <c r="E372" s="5"/>
      <c r="F372" s="5"/>
      <c r="G372" s="5"/>
      <c r="H372" s="5"/>
      <c r="I372" s="5"/>
      <c r="J372" s="5"/>
    </row>
    <row r="373" spans="1:10">
      <c r="A373" s="5"/>
      <c r="B373" s="5"/>
      <c r="C373" s="5"/>
      <c r="D373" s="5"/>
      <c r="E373" s="5"/>
      <c r="F373" s="5"/>
      <c r="G373" s="5"/>
      <c r="H373" s="5"/>
      <c r="I373" s="5"/>
      <c r="J373" s="5"/>
    </row>
    <row r="374" spans="1:10">
      <c r="A374" s="5"/>
      <c r="B374" s="5"/>
      <c r="C374" s="5"/>
      <c r="D374" s="5"/>
      <c r="E374" s="5"/>
      <c r="F374" s="5"/>
      <c r="G374" s="5"/>
      <c r="H374" s="5"/>
      <c r="I374" s="5"/>
      <c r="J374" s="5"/>
    </row>
    <row r="375" spans="1:10">
      <c r="A375" s="5"/>
      <c r="B375" s="5"/>
      <c r="C375" s="5"/>
      <c r="D375" s="5"/>
      <c r="E375" s="5"/>
      <c r="F375" s="5"/>
      <c r="G375" s="5"/>
      <c r="H375" s="5"/>
      <c r="I375" s="5"/>
      <c r="J375" s="5"/>
    </row>
    <row r="376" spans="1:10">
      <c r="A376" s="5"/>
      <c r="B376" s="5"/>
      <c r="C376" s="5"/>
      <c r="D376" s="5"/>
      <c r="E376" s="5"/>
      <c r="F376" s="5"/>
      <c r="G376" s="5"/>
      <c r="H376" s="5"/>
      <c r="I376" s="5"/>
      <c r="J376" s="5"/>
    </row>
    <row r="377" spans="1:10">
      <c r="A377" s="5"/>
      <c r="B377" s="5"/>
      <c r="C377" s="5"/>
      <c r="D377" s="5"/>
      <c r="E377" s="5"/>
      <c r="F377" s="5"/>
      <c r="G377" s="5"/>
      <c r="H377" s="5"/>
      <c r="I377" s="5"/>
      <c r="J377" s="5"/>
    </row>
    <row r="378" spans="1:10">
      <c r="A378" s="5"/>
      <c r="B378" s="5"/>
      <c r="C378" s="5"/>
      <c r="D378" s="5"/>
      <c r="E378" s="5"/>
      <c r="F378" s="5"/>
      <c r="G378" s="5"/>
      <c r="H378" s="5"/>
      <c r="I378" s="5"/>
      <c r="J378" s="5"/>
    </row>
    <row r="379" spans="1:10">
      <c r="A379" s="5"/>
      <c r="B379" s="5"/>
      <c r="C379" s="5"/>
      <c r="D379" s="5"/>
      <c r="E379" s="5"/>
      <c r="F379" s="5"/>
      <c r="G379" s="5"/>
      <c r="H379" s="5"/>
      <c r="I379" s="5"/>
      <c r="J379" s="5"/>
    </row>
    <row r="380" spans="1:10">
      <c r="A380" s="5"/>
      <c r="B380" s="5"/>
      <c r="C380" s="5"/>
      <c r="D380" s="5"/>
      <c r="E380" s="5"/>
      <c r="F380" s="5"/>
      <c r="G380" s="5"/>
      <c r="H380" s="5"/>
      <c r="I380" s="5"/>
      <c r="J380" s="5"/>
    </row>
    <row r="381" spans="1:10">
      <c r="A381" s="5"/>
      <c r="B381" s="5"/>
      <c r="C381" s="5"/>
      <c r="D381" s="5"/>
      <c r="E381" s="5"/>
      <c r="F381" s="5"/>
      <c r="G381" s="5"/>
      <c r="H381" s="5"/>
      <c r="I381" s="5"/>
      <c r="J381" s="5"/>
    </row>
    <row r="382" spans="1:10">
      <c r="A382" s="5"/>
      <c r="B382" s="5"/>
      <c r="C382" s="5"/>
      <c r="D382" s="5"/>
      <c r="E382" s="5"/>
      <c r="F382" s="5"/>
      <c r="G382" s="5"/>
      <c r="H382" s="5"/>
      <c r="I382" s="5"/>
      <c r="J382" s="5"/>
    </row>
    <row r="383" spans="1:10">
      <c r="A383" s="5"/>
      <c r="B383" s="5"/>
      <c r="C383" s="5"/>
      <c r="D383" s="5"/>
      <c r="E383" s="5"/>
      <c r="F383" s="5"/>
      <c r="G383" s="5"/>
      <c r="H383" s="5"/>
      <c r="I383" s="5"/>
      <c r="J383" s="5"/>
    </row>
    <row r="384" spans="1:10">
      <c r="A384" s="5"/>
      <c r="B384" s="5"/>
      <c r="C384" s="5"/>
      <c r="D384" s="5"/>
      <c r="E384" s="5"/>
      <c r="F384" s="5"/>
      <c r="G384" s="5"/>
      <c r="H384" s="5"/>
      <c r="I384" s="5"/>
      <c r="J384" s="5"/>
    </row>
    <row r="385" spans="1:10">
      <c r="A385" s="5"/>
      <c r="B385" s="5"/>
      <c r="C385" s="5"/>
      <c r="D385" s="5"/>
      <c r="E385" s="5"/>
      <c r="F385" s="5"/>
      <c r="G385" s="5"/>
      <c r="H385" s="5"/>
      <c r="I385" s="5"/>
      <c r="J385" s="5"/>
    </row>
    <row r="386" spans="1:10">
      <c r="A386" s="5"/>
      <c r="B386" s="5"/>
      <c r="C386" s="5"/>
      <c r="D386" s="5"/>
      <c r="E386" s="5"/>
      <c r="F386" s="5"/>
      <c r="G386" s="5"/>
      <c r="H386" s="5"/>
      <c r="I386" s="5"/>
      <c r="J386" s="5"/>
    </row>
    <row r="387" spans="1:10">
      <c r="A387" s="5"/>
      <c r="B387" s="5"/>
      <c r="C387" s="5"/>
      <c r="D387" s="5"/>
      <c r="E387" s="5"/>
      <c r="F387" s="5"/>
      <c r="G387" s="5"/>
      <c r="H387" s="5"/>
      <c r="I387" s="5"/>
      <c r="J387" s="5"/>
    </row>
    <row r="388" spans="1:10">
      <c r="A388" s="5"/>
      <c r="B388" s="5"/>
      <c r="C388" s="5"/>
      <c r="D388" s="5"/>
      <c r="E388" s="5"/>
      <c r="F388" s="5"/>
      <c r="G388" s="5"/>
      <c r="H388" s="5"/>
      <c r="I388" s="5"/>
      <c r="J388" s="5"/>
    </row>
    <row r="389" spans="1:10">
      <c r="A389" s="5"/>
      <c r="B389" s="5"/>
      <c r="C389" s="5"/>
      <c r="D389" s="5"/>
      <c r="E389" s="5"/>
      <c r="F389" s="5"/>
      <c r="G389" s="5"/>
      <c r="H389" s="5"/>
      <c r="I389" s="5"/>
      <c r="J389" s="5"/>
    </row>
    <row r="390" spans="1:10">
      <c r="A390" s="5"/>
      <c r="B390" s="5"/>
      <c r="C390" s="5"/>
      <c r="D390" s="5"/>
      <c r="E390" s="5"/>
      <c r="F390" s="5"/>
      <c r="G390" s="5"/>
      <c r="H390" s="5"/>
      <c r="I390" s="5"/>
      <c r="J390" s="5"/>
    </row>
    <row r="391" spans="1:10">
      <c r="A391" s="5"/>
      <c r="B391" s="5"/>
      <c r="C391" s="5"/>
      <c r="D391" s="5"/>
      <c r="E391" s="5"/>
      <c r="F391" s="5"/>
      <c r="G391" s="5"/>
      <c r="H391" s="5"/>
      <c r="I391" s="5"/>
      <c r="J391" s="5"/>
    </row>
    <row r="392" spans="1:10">
      <c r="A392" s="5"/>
      <c r="B392" s="5"/>
      <c r="C392" s="5"/>
      <c r="D392" s="5"/>
      <c r="E392" s="5"/>
      <c r="F392" s="5"/>
      <c r="G392" s="5"/>
      <c r="H392" s="5"/>
      <c r="I392" s="5"/>
      <c r="J392" s="5"/>
    </row>
    <row r="393" spans="1:10">
      <c r="A393" s="5"/>
      <c r="B393" s="5"/>
      <c r="C393" s="5"/>
      <c r="D393" s="5"/>
      <c r="E393" s="5"/>
      <c r="F393" s="5"/>
      <c r="G393" s="5"/>
      <c r="H393" s="5"/>
      <c r="I393" s="5"/>
      <c r="J393" s="5"/>
    </row>
    <row r="394" spans="1:10">
      <c r="A394" s="5"/>
      <c r="B394" s="5"/>
      <c r="C394" s="5"/>
      <c r="D394" s="5"/>
      <c r="E394" s="5"/>
      <c r="F394" s="5"/>
      <c r="G394" s="5"/>
      <c r="H394" s="5"/>
      <c r="I394" s="5"/>
      <c r="J394" s="5"/>
    </row>
    <row r="395" spans="1:10">
      <c r="A395" s="5"/>
      <c r="B395" s="5"/>
      <c r="C395" s="5"/>
      <c r="D395" s="5"/>
      <c r="E395" s="5"/>
      <c r="F395" s="5"/>
      <c r="G395" s="5"/>
      <c r="H395" s="5"/>
      <c r="I395" s="5"/>
      <c r="J395" s="5"/>
    </row>
    <row r="396" spans="1:10">
      <c r="A396" s="5"/>
      <c r="B396" s="5"/>
      <c r="C396" s="5"/>
      <c r="D396" s="5"/>
      <c r="E396" s="5"/>
      <c r="F396" s="5"/>
      <c r="G396" s="5"/>
      <c r="H396" s="5"/>
      <c r="I396" s="5"/>
      <c r="J396" s="5"/>
    </row>
    <row r="397" spans="1:10">
      <c r="A397" s="5"/>
      <c r="B397" s="5"/>
      <c r="C397" s="5"/>
      <c r="D397" s="5"/>
      <c r="E397" s="5"/>
      <c r="F397" s="5"/>
      <c r="G397" s="5"/>
      <c r="H397" s="5"/>
      <c r="I397" s="5"/>
      <c r="J397" s="5"/>
    </row>
    <row r="398" spans="1:10">
      <c r="A398" s="5"/>
      <c r="B398" s="5"/>
      <c r="C398" s="5"/>
      <c r="D398" s="5"/>
      <c r="E398" s="5"/>
      <c r="F398" s="5"/>
      <c r="G398" s="5"/>
      <c r="H398" s="5"/>
      <c r="I398" s="5"/>
      <c r="J398" s="5"/>
    </row>
    <row r="399" spans="1:10">
      <c r="A399" s="5"/>
      <c r="B399" s="5"/>
      <c r="C399" s="5"/>
      <c r="D399" s="5"/>
      <c r="E399" s="5"/>
      <c r="F399" s="5"/>
      <c r="G399" s="5"/>
      <c r="H399" s="5"/>
      <c r="I399" s="5"/>
      <c r="J399" s="5"/>
    </row>
    <row r="400" spans="1:10">
      <c r="A400" s="5"/>
      <c r="B400" s="5"/>
      <c r="C400" s="5"/>
      <c r="D400" s="5"/>
      <c r="E400" s="5"/>
      <c r="F400" s="5"/>
      <c r="G400" s="5"/>
      <c r="H400" s="5"/>
      <c r="I400" s="5"/>
      <c r="J400" s="5"/>
    </row>
    <row r="401" spans="1:10">
      <c r="A401" s="5"/>
      <c r="B401" s="5"/>
      <c r="C401" s="5"/>
      <c r="D401" s="5"/>
      <c r="E401" s="5"/>
      <c r="F401" s="5"/>
      <c r="G401" s="5"/>
      <c r="H401" s="5"/>
      <c r="I401" s="5"/>
      <c r="J401" s="5"/>
    </row>
    <row r="402" spans="1:10">
      <c r="A402" s="5"/>
      <c r="B402" s="5"/>
      <c r="C402" s="5"/>
      <c r="D402" s="5"/>
      <c r="E402" s="5"/>
      <c r="F402" s="5"/>
      <c r="G402" s="5"/>
      <c r="H402" s="5"/>
      <c r="I402" s="5"/>
      <c r="J402" s="5"/>
    </row>
    <row r="403" spans="1:10">
      <c r="A403" s="5"/>
      <c r="B403" s="5"/>
      <c r="C403" s="5"/>
      <c r="D403" s="5"/>
      <c r="E403" s="5"/>
      <c r="F403" s="5"/>
      <c r="G403" s="5"/>
      <c r="H403" s="5"/>
      <c r="I403" s="5"/>
      <c r="J403" s="5"/>
    </row>
    <row r="404" spans="1:10">
      <c r="A404" s="5"/>
      <c r="B404" s="5"/>
      <c r="C404" s="5"/>
      <c r="D404" s="5"/>
      <c r="E404" s="5"/>
      <c r="F404" s="5"/>
      <c r="G404" s="5"/>
      <c r="H404" s="5"/>
      <c r="I404" s="5"/>
      <c r="J404" s="5"/>
    </row>
    <row r="405" spans="1:10">
      <c r="A405" s="5"/>
      <c r="B405" s="5"/>
      <c r="C405" s="5"/>
      <c r="D405" s="5"/>
      <c r="E405" s="5"/>
      <c r="F405" s="5"/>
      <c r="G405" s="5"/>
      <c r="H405" s="5"/>
      <c r="I405" s="5"/>
      <c r="J405" s="5"/>
    </row>
    <row r="406" spans="1:10">
      <c r="A406" s="5"/>
      <c r="B406" s="5"/>
      <c r="C406" s="5"/>
      <c r="D406" s="5"/>
      <c r="E406" s="5"/>
      <c r="F406" s="5"/>
      <c r="G406" s="5"/>
      <c r="H406" s="5"/>
      <c r="I406" s="5"/>
      <c r="J406" s="5"/>
    </row>
    <row r="407" spans="1:10">
      <c r="A407" s="5"/>
      <c r="B407" s="5"/>
      <c r="C407" s="5"/>
      <c r="D407" s="5"/>
      <c r="E407" s="5"/>
      <c r="F407" s="5"/>
      <c r="G407" s="5"/>
      <c r="H407" s="5"/>
      <c r="I407" s="5"/>
      <c r="J407" s="5"/>
    </row>
    <row r="408" spans="1:10">
      <c r="A408" s="5"/>
      <c r="B408" s="5"/>
      <c r="C408" s="5"/>
      <c r="D408" s="5"/>
      <c r="E408" s="5"/>
      <c r="F408" s="5"/>
      <c r="G408" s="5"/>
      <c r="H408" s="5"/>
      <c r="I408" s="5"/>
      <c r="J408" s="5"/>
    </row>
    <row r="409" spans="1:10">
      <c r="A409" s="5"/>
      <c r="B409" s="5"/>
      <c r="C409" s="5"/>
      <c r="D409" s="5"/>
      <c r="E409" s="5"/>
      <c r="F409" s="5"/>
      <c r="G409" s="5"/>
      <c r="H409" s="5"/>
      <c r="I409" s="5"/>
      <c r="J409" s="5"/>
    </row>
    <row r="410" spans="1:10">
      <c r="A410" s="5"/>
      <c r="B410" s="5"/>
      <c r="C410" s="5"/>
      <c r="D410" s="5"/>
      <c r="E410" s="5"/>
      <c r="F410" s="5"/>
      <c r="G410" s="5"/>
      <c r="H410" s="5"/>
      <c r="I410" s="5"/>
      <c r="J410" s="5"/>
    </row>
    <row r="411" spans="1:10">
      <c r="A411" s="5"/>
      <c r="B411" s="5"/>
      <c r="C411" s="5"/>
      <c r="D411" s="5"/>
      <c r="E411" s="5"/>
      <c r="F411" s="5"/>
      <c r="G411" s="5"/>
      <c r="H411" s="5"/>
      <c r="I411" s="5"/>
      <c r="J411" s="5"/>
    </row>
    <row r="412" spans="1:10">
      <c r="A412" s="5"/>
      <c r="B412" s="5"/>
      <c r="C412" s="5"/>
      <c r="D412" s="5"/>
      <c r="E412" s="5"/>
      <c r="F412" s="5"/>
      <c r="G412" s="5"/>
      <c r="H412" s="5"/>
      <c r="I412" s="5"/>
      <c r="J412" s="5"/>
    </row>
    <row r="413" spans="1:10">
      <c r="A413" s="5"/>
      <c r="B413" s="5"/>
      <c r="C413" s="5"/>
      <c r="D413" s="5"/>
      <c r="E413" s="5"/>
      <c r="F413" s="5"/>
      <c r="G413" s="5"/>
      <c r="H413" s="5"/>
      <c r="I413" s="5"/>
      <c r="J413" s="5"/>
    </row>
    <row r="414" spans="1:10">
      <c r="A414" s="5"/>
      <c r="B414" s="5"/>
      <c r="C414" s="5"/>
      <c r="D414" s="5"/>
      <c r="E414" s="5"/>
      <c r="F414" s="5"/>
      <c r="G414" s="5"/>
      <c r="H414" s="5"/>
      <c r="I414" s="5"/>
      <c r="J414" s="5"/>
    </row>
    <row r="415" spans="1:10">
      <c r="A415" s="5"/>
      <c r="B415" s="5"/>
      <c r="C415" s="5"/>
      <c r="D415" s="5"/>
      <c r="E415" s="5"/>
      <c r="F415" s="5"/>
      <c r="G415" s="5"/>
      <c r="H415" s="5"/>
      <c r="I415" s="5"/>
      <c r="J415" s="5"/>
    </row>
    <row r="416" spans="1:10">
      <c r="A416" s="5"/>
      <c r="B416" s="5"/>
      <c r="C416" s="5"/>
      <c r="D416" s="5"/>
      <c r="E416" s="5"/>
      <c r="F416" s="5"/>
      <c r="G416" s="5"/>
      <c r="H416" s="5"/>
      <c r="I416" s="5"/>
      <c r="J416" s="5"/>
    </row>
    <row r="417" spans="1:10">
      <c r="A417" s="5"/>
      <c r="B417" s="5"/>
      <c r="C417" s="5"/>
      <c r="D417" s="5"/>
      <c r="E417" s="5"/>
      <c r="F417" s="5"/>
      <c r="G417" s="5"/>
      <c r="H417" s="5"/>
      <c r="I417" s="5"/>
      <c r="J417" s="5"/>
    </row>
    <row r="418" spans="1:10">
      <c r="A418" s="5"/>
      <c r="B418" s="5"/>
      <c r="C418" s="5"/>
      <c r="D418" s="5"/>
      <c r="E418" s="5"/>
      <c r="F418" s="5"/>
      <c r="G418" s="5"/>
      <c r="H418" s="5"/>
      <c r="I418" s="5"/>
      <c r="J418" s="5"/>
    </row>
    <row r="419" spans="1:10">
      <c r="A419" s="5"/>
      <c r="B419" s="5"/>
      <c r="C419" s="5"/>
      <c r="D419" s="5"/>
      <c r="E419" s="5"/>
      <c r="F419" s="5"/>
      <c r="G419" s="5"/>
      <c r="H419" s="5"/>
      <c r="I419" s="5"/>
      <c r="J419" s="5"/>
    </row>
    <row r="420" spans="1:10">
      <c r="A420" s="5"/>
      <c r="B420" s="5"/>
      <c r="C420" s="5"/>
      <c r="D420" s="5"/>
      <c r="E420" s="5"/>
      <c r="F420" s="5"/>
      <c r="G420" s="5"/>
      <c r="H420" s="5"/>
      <c r="I420" s="5"/>
      <c r="J420" s="5"/>
    </row>
    <row r="421" spans="1:10">
      <c r="A421" s="5"/>
      <c r="B421" s="5"/>
      <c r="C421" s="5"/>
      <c r="D421" s="5"/>
      <c r="E421" s="5"/>
      <c r="F421" s="5"/>
      <c r="G421" s="5"/>
      <c r="H421" s="5"/>
      <c r="I421" s="5"/>
      <c r="J421" s="5"/>
    </row>
    <row r="422" spans="1:10">
      <c r="A422" s="5"/>
      <c r="B422" s="5"/>
      <c r="C422" s="5"/>
      <c r="D422" s="5"/>
      <c r="E422" s="5"/>
      <c r="F422" s="5"/>
      <c r="G422" s="5"/>
      <c r="H422" s="5"/>
      <c r="I422" s="5"/>
      <c r="J422" s="5"/>
    </row>
    <row r="423" spans="1:10">
      <c r="A423" s="5"/>
      <c r="B423" s="5"/>
      <c r="C423" s="5"/>
      <c r="D423" s="5"/>
      <c r="E423" s="5"/>
      <c r="F423" s="5"/>
      <c r="G423" s="5"/>
      <c r="H423" s="5"/>
      <c r="I423" s="5"/>
      <c r="J423" s="5"/>
    </row>
    <row r="424" spans="1:10">
      <c r="A424" s="5"/>
      <c r="B424" s="5"/>
      <c r="C424" s="5"/>
      <c r="D424" s="5"/>
      <c r="E424" s="5"/>
      <c r="F424" s="5"/>
      <c r="G424" s="5"/>
      <c r="H424" s="5"/>
      <c r="I424" s="5"/>
      <c r="J424" s="5"/>
    </row>
    <row r="425" spans="1:10">
      <c r="A425" s="5"/>
      <c r="B425" s="5"/>
      <c r="C425" s="5"/>
      <c r="D425" s="5"/>
      <c r="E425" s="5"/>
      <c r="F425" s="5"/>
      <c r="G425" s="5"/>
      <c r="H425" s="5"/>
      <c r="I425" s="5"/>
      <c r="J425" s="5"/>
    </row>
    <row r="426" spans="1:10">
      <c r="A426" s="5"/>
      <c r="B426" s="5"/>
      <c r="C426" s="5"/>
      <c r="D426" s="5"/>
      <c r="E426" s="5"/>
      <c r="F426" s="5"/>
      <c r="G426" s="5"/>
      <c r="H426" s="5"/>
      <c r="I426" s="5"/>
      <c r="J426" s="5"/>
    </row>
    <row r="427" spans="1:10">
      <c r="A427" s="5"/>
      <c r="B427" s="5"/>
      <c r="C427" s="5"/>
      <c r="D427" s="5"/>
      <c r="E427" s="5"/>
      <c r="F427" s="5"/>
      <c r="G427" s="5"/>
      <c r="H427" s="5"/>
      <c r="I427" s="5"/>
      <c r="J427" s="5"/>
    </row>
    <row r="428" spans="1:10">
      <c r="A428" s="5"/>
      <c r="B428" s="5"/>
      <c r="C428" s="5"/>
      <c r="D428" s="5"/>
      <c r="E428" s="5"/>
      <c r="F428" s="5"/>
      <c r="G428" s="5"/>
      <c r="H428" s="5"/>
      <c r="I428" s="5"/>
      <c r="J428" s="5"/>
    </row>
    <row r="429" spans="1:10">
      <c r="A429" s="5"/>
      <c r="B429" s="5"/>
      <c r="C429" s="5"/>
      <c r="D429" s="5"/>
      <c r="E429" s="5"/>
      <c r="F429" s="5"/>
      <c r="G429" s="5"/>
      <c r="H429" s="5"/>
      <c r="I429" s="5"/>
      <c r="J429" s="5"/>
    </row>
    <row r="430" spans="1:10">
      <c r="A430" s="5"/>
      <c r="B430" s="5"/>
      <c r="C430" s="5"/>
      <c r="D430" s="5"/>
      <c r="E430" s="5"/>
      <c r="F430" s="5"/>
      <c r="G430" s="5"/>
      <c r="H430" s="5"/>
      <c r="I430" s="5"/>
      <c r="J430" s="5"/>
    </row>
    <row r="431" spans="1:10">
      <c r="A431" s="5"/>
      <c r="B431" s="5"/>
      <c r="C431" s="5"/>
      <c r="D431" s="5"/>
      <c r="E431" s="5"/>
      <c r="F431" s="5"/>
      <c r="G431" s="5"/>
      <c r="H431" s="5"/>
      <c r="I431" s="5"/>
      <c r="J431" s="5"/>
    </row>
    <row r="432" spans="1:10">
      <c r="A432" s="5"/>
      <c r="B432" s="5"/>
      <c r="C432" s="5"/>
      <c r="D432" s="5"/>
      <c r="E432" s="5"/>
      <c r="F432" s="5"/>
      <c r="G432" s="5"/>
      <c r="H432" s="5"/>
      <c r="I432" s="5"/>
      <c r="J432" s="5"/>
    </row>
    <row r="433" spans="1:10">
      <c r="A433" s="5"/>
      <c r="B433" s="5"/>
      <c r="C433" s="5"/>
      <c r="D433" s="5"/>
      <c r="E433" s="5"/>
      <c r="F433" s="5"/>
      <c r="G433" s="5"/>
      <c r="H433" s="5"/>
      <c r="I433" s="5"/>
      <c r="J433" s="5"/>
    </row>
    <row r="434" spans="1:10">
      <c r="A434" s="5"/>
      <c r="B434" s="5"/>
      <c r="C434" s="5"/>
      <c r="D434" s="5"/>
      <c r="E434" s="5"/>
      <c r="F434" s="5"/>
      <c r="G434" s="5"/>
      <c r="H434" s="5"/>
      <c r="I434" s="5"/>
      <c r="J434" s="5"/>
    </row>
    <row r="435" spans="1:10">
      <c r="A435" s="5"/>
      <c r="B435" s="5"/>
      <c r="C435" s="5"/>
      <c r="D435" s="5"/>
      <c r="E435" s="5"/>
      <c r="F435" s="5"/>
      <c r="G435" s="5"/>
      <c r="H435" s="5"/>
      <c r="I435" s="5"/>
      <c r="J435" s="5"/>
    </row>
    <row r="436" spans="1:10">
      <c r="A436" s="5"/>
      <c r="B436" s="5"/>
      <c r="C436" s="5"/>
      <c r="D436" s="5"/>
      <c r="E436" s="5"/>
      <c r="F436" s="5"/>
      <c r="G436" s="5"/>
      <c r="H436" s="5"/>
      <c r="I436" s="5"/>
      <c r="J436" s="5"/>
    </row>
    <row r="437" spans="1:10">
      <c r="A437" s="5"/>
      <c r="B437" s="5"/>
      <c r="C437" s="5"/>
      <c r="D437" s="5"/>
      <c r="E437" s="5"/>
      <c r="F437" s="5"/>
      <c r="G437" s="5"/>
      <c r="H437" s="5"/>
      <c r="I437" s="5"/>
      <c r="J437" s="5"/>
    </row>
    <row r="438" spans="1:10">
      <c r="A438" s="5"/>
      <c r="B438" s="5"/>
      <c r="C438" s="5"/>
      <c r="D438" s="5"/>
      <c r="E438" s="5"/>
      <c r="F438" s="5"/>
      <c r="G438" s="5"/>
      <c r="H438" s="5"/>
      <c r="I438" s="5"/>
      <c r="J438" s="5"/>
    </row>
    <row r="439" spans="1:10">
      <c r="A439" s="5"/>
      <c r="B439" s="5"/>
      <c r="C439" s="5"/>
      <c r="D439" s="5"/>
      <c r="E439" s="5"/>
      <c r="F439" s="5"/>
      <c r="G439" s="5"/>
      <c r="H439" s="5"/>
      <c r="I439" s="5"/>
      <c r="J439" s="5"/>
    </row>
    <row r="440" spans="1:10">
      <c r="A440" s="5"/>
      <c r="B440" s="5"/>
      <c r="C440" s="5"/>
      <c r="D440" s="5"/>
      <c r="E440" s="5"/>
      <c r="F440" s="5"/>
      <c r="G440" s="5"/>
      <c r="H440" s="5"/>
      <c r="I440" s="5"/>
      <c r="J440" s="5"/>
    </row>
    <row r="441" spans="1:10">
      <c r="A441" s="5"/>
      <c r="B441" s="5"/>
      <c r="C441" s="5"/>
      <c r="D441" s="5"/>
      <c r="E441" s="5"/>
      <c r="F441" s="5"/>
      <c r="G441" s="5"/>
      <c r="H441" s="5"/>
      <c r="I441" s="5"/>
      <c r="J441" s="5"/>
    </row>
    <row r="442" spans="1:10">
      <c r="A442" s="5"/>
      <c r="B442" s="5"/>
      <c r="C442" s="5"/>
      <c r="D442" s="5"/>
      <c r="E442" s="5"/>
      <c r="F442" s="5"/>
      <c r="G442" s="5"/>
      <c r="H442" s="5"/>
      <c r="I442" s="5"/>
      <c r="J442" s="5"/>
    </row>
    <row r="443" spans="1:10">
      <c r="A443" s="5"/>
      <c r="B443" s="5"/>
      <c r="C443" s="5"/>
      <c r="D443" s="5"/>
      <c r="E443" s="5"/>
      <c r="F443" s="5"/>
      <c r="G443" s="5"/>
      <c r="H443" s="5"/>
      <c r="I443" s="5"/>
      <c r="J443" s="5"/>
    </row>
    <row r="444" spans="1:10">
      <c r="A444" s="5"/>
      <c r="B444" s="5"/>
      <c r="C444" s="5"/>
      <c r="D444" s="5"/>
      <c r="E444" s="5"/>
      <c r="F444" s="5"/>
      <c r="G444" s="5"/>
      <c r="H444" s="5"/>
      <c r="I444" s="5"/>
      <c r="J444" s="5"/>
    </row>
    <row r="445" spans="1:10">
      <c r="A445" s="5"/>
      <c r="B445" s="5"/>
      <c r="C445" s="5"/>
      <c r="D445" s="5"/>
      <c r="E445" s="5"/>
      <c r="F445" s="5"/>
      <c r="G445" s="5"/>
      <c r="H445" s="5"/>
      <c r="I445" s="5"/>
      <c r="J445" s="5"/>
    </row>
    <row r="446" spans="1:10">
      <c r="A446" s="5"/>
      <c r="B446" s="5"/>
      <c r="C446" s="5"/>
      <c r="D446" s="5"/>
      <c r="E446" s="5"/>
      <c r="F446" s="5"/>
      <c r="G446" s="5"/>
      <c r="H446" s="5"/>
      <c r="I446" s="5"/>
      <c r="J446" s="5"/>
    </row>
    <row r="447" spans="1:10">
      <c r="A447" s="5"/>
      <c r="B447" s="5"/>
      <c r="C447" s="5"/>
      <c r="D447" s="5"/>
      <c r="E447" s="5"/>
      <c r="F447" s="5"/>
      <c r="G447" s="5"/>
      <c r="H447" s="5"/>
      <c r="I447" s="5"/>
      <c r="J447" s="5"/>
    </row>
    <row r="448" spans="1:10">
      <c r="A448" s="5"/>
      <c r="B448" s="5"/>
      <c r="C448" s="5"/>
      <c r="D448" s="5"/>
      <c r="E448" s="5"/>
      <c r="F448" s="5"/>
      <c r="G448" s="5"/>
      <c r="H448" s="5"/>
      <c r="I448" s="5"/>
      <c r="J448" s="5"/>
    </row>
    <row r="449" spans="1:10">
      <c r="A449" s="5"/>
      <c r="B449" s="5"/>
      <c r="C449" s="5"/>
      <c r="D449" s="5"/>
      <c r="E449" s="5"/>
      <c r="F449" s="5"/>
      <c r="G449" s="5"/>
      <c r="H449" s="5"/>
      <c r="I449" s="5"/>
      <c r="J449" s="5"/>
    </row>
    <row r="450" spans="1:10">
      <c r="A450" s="5"/>
      <c r="B450" s="5"/>
      <c r="C450" s="5"/>
      <c r="D450" s="5"/>
      <c r="E450" s="5"/>
      <c r="F450" s="5"/>
      <c r="G450" s="5"/>
      <c r="H450" s="5"/>
      <c r="I450" s="5"/>
      <c r="J450" s="5"/>
    </row>
    <row r="451" spans="1:10">
      <c r="A451" s="5"/>
      <c r="B451" s="5"/>
      <c r="C451" s="5"/>
      <c r="D451" s="5"/>
      <c r="E451" s="5"/>
      <c r="F451" s="5"/>
      <c r="G451" s="5"/>
      <c r="H451" s="5"/>
      <c r="I451" s="5"/>
      <c r="J451" s="5"/>
    </row>
    <row r="452" spans="1:10">
      <c r="A452" s="5"/>
      <c r="B452" s="5"/>
      <c r="C452" s="5"/>
      <c r="D452" s="5"/>
      <c r="E452" s="5"/>
      <c r="F452" s="5"/>
      <c r="G452" s="5"/>
      <c r="H452" s="5"/>
      <c r="I452" s="5"/>
      <c r="J452" s="5"/>
    </row>
    <row r="453" spans="1:10">
      <c r="A453" s="5"/>
      <c r="B453" s="5"/>
      <c r="C453" s="5"/>
      <c r="D453" s="5"/>
      <c r="E453" s="5"/>
      <c r="F453" s="5"/>
      <c r="G453" s="5"/>
      <c r="H453" s="5"/>
      <c r="I453" s="5"/>
      <c r="J453" s="5"/>
    </row>
    <row r="454" spans="1:10">
      <c r="A454" s="5"/>
      <c r="B454" s="5"/>
      <c r="C454" s="5"/>
      <c r="D454" s="5"/>
      <c r="E454" s="5"/>
      <c r="F454" s="5"/>
      <c r="G454" s="5"/>
      <c r="H454" s="5"/>
      <c r="I454" s="5"/>
      <c r="J454" s="5"/>
    </row>
    <row r="455" spans="1:10">
      <c r="A455" s="5"/>
      <c r="B455" s="5"/>
      <c r="C455" s="5"/>
      <c r="D455" s="5"/>
      <c r="E455" s="5"/>
      <c r="F455" s="5"/>
      <c r="G455" s="5"/>
      <c r="H455" s="5"/>
      <c r="I455" s="5"/>
      <c r="J455" s="5"/>
    </row>
    <row r="456" spans="1:10">
      <c r="A456" s="5"/>
      <c r="B456" s="5"/>
      <c r="C456" s="5"/>
      <c r="D456" s="5"/>
      <c r="E456" s="5"/>
      <c r="F456" s="5"/>
      <c r="G456" s="5"/>
      <c r="H456" s="5"/>
      <c r="I456" s="5"/>
      <c r="J456" s="5"/>
    </row>
    <row r="457" spans="1:10">
      <c r="A457" s="5"/>
      <c r="B457" s="5"/>
      <c r="C457" s="5"/>
      <c r="D457" s="5"/>
      <c r="E457" s="5"/>
      <c r="F457" s="5"/>
      <c r="G457" s="5"/>
      <c r="H457" s="5"/>
      <c r="I457" s="5"/>
      <c r="J457" s="5"/>
    </row>
    <row r="458" spans="1:10">
      <c r="A458" s="5"/>
      <c r="B458" s="5"/>
      <c r="C458" s="5"/>
      <c r="D458" s="5"/>
      <c r="E458" s="5"/>
      <c r="F458" s="5"/>
      <c r="G458" s="5"/>
      <c r="H458" s="5"/>
      <c r="I458" s="5"/>
      <c r="J458" s="5"/>
    </row>
    <row r="459" spans="1:10">
      <c r="A459" s="5"/>
      <c r="B459" s="5"/>
      <c r="C459" s="5"/>
      <c r="D459" s="5"/>
      <c r="E459" s="5"/>
      <c r="F459" s="5"/>
      <c r="G459" s="5"/>
      <c r="H459" s="5"/>
      <c r="I459" s="5"/>
      <c r="J459" s="5"/>
    </row>
    <row r="460" spans="1:10">
      <c r="A460" s="5"/>
      <c r="B460" s="5"/>
      <c r="C460" s="5"/>
      <c r="D460" s="5"/>
      <c r="E460" s="5"/>
      <c r="F460" s="5"/>
      <c r="G460" s="5"/>
      <c r="H460" s="5"/>
      <c r="I460" s="5"/>
      <c r="J460" s="5"/>
    </row>
    <row r="461" spans="1:10">
      <c r="A461" s="5"/>
      <c r="B461" s="5"/>
      <c r="C461" s="5"/>
      <c r="D461" s="5"/>
      <c r="E461" s="5"/>
      <c r="F461" s="5"/>
      <c r="G461" s="5"/>
      <c r="H461" s="5"/>
      <c r="I461" s="5"/>
      <c r="J461" s="5"/>
    </row>
    <row r="462" spans="1:10">
      <c r="A462" s="5"/>
      <c r="B462" s="5"/>
      <c r="C462" s="5"/>
      <c r="D462" s="5"/>
      <c r="E462" s="5"/>
      <c r="F462" s="5"/>
      <c r="G462" s="5"/>
      <c r="H462" s="5"/>
      <c r="I462" s="5"/>
      <c r="J462" s="5"/>
    </row>
    <row r="463" spans="1:10">
      <c r="A463" s="5"/>
      <c r="B463" s="5"/>
      <c r="C463" s="5"/>
      <c r="D463" s="5"/>
      <c r="E463" s="5"/>
      <c r="F463" s="5"/>
      <c r="G463" s="5"/>
      <c r="H463" s="5"/>
      <c r="I463" s="5"/>
      <c r="J463" s="5"/>
    </row>
    <row r="464" spans="1:10">
      <c r="A464" s="5"/>
      <c r="B464" s="5"/>
      <c r="C464" s="5"/>
      <c r="D464" s="5"/>
      <c r="E464" s="5"/>
      <c r="F464" s="5"/>
      <c r="G464" s="5"/>
      <c r="H464" s="5"/>
      <c r="I464" s="5"/>
      <c r="J464" s="5"/>
    </row>
    <row r="465" spans="1:10">
      <c r="A465" s="5"/>
      <c r="B465" s="5"/>
      <c r="C465" s="5"/>
      <c r="D465" s="5"/>
      <c r="E465" s="5"/>
      <c r="F465" s="5"/>
      <c r="G465" s="5"/>
      <c r="H465" s="5"/>
      <c r="I465" s="5"/>
      <c r="J465" s="5"/>
    </row>
    <row r="466" spans="1:10">
      <c r="A466" s="5"/>
      <c r="B466" s="5"/>
      <c r="C466" s="5"/>
      <c r="D466" s="5"/>
      <c r="E466" s="5"/>
      <c r="F466" s="5"/>
      <c r="G466" s="5"/>
      <c r="H466" s="5"/>
      <c r="I466" s="5"/>
      <c r="J466" s="5"/>
    </row>
    <row r="467" spans="1:10">
      <c r="A467" s="5"/>
      <c r="B467" s="5"/>
      <c r="C467" s="5"/>
      <c r="D467" s="5"/>
      <c r="E467" s="5"/>
      <c r="F467" s="5"/>
      <c r="G467" s="5"/>
      <c r="H467" s="5"/>
      <c r="I467" s="5"/>
      <c r="J467" s="5"/>
    </row>
    <row r="468" spans="1:10">
      <c r="A468" s="5"/>
      <c r="B468" s="5"/>
      <c r="C468" s="5"/>
      <c r="D468" s="5"/>
      <c r="E468" s="5"/>
      <c r="F468" s="5"/>
      <c r="G468" s="5"/>
      <c r="H468" s="5"/>
      <c r="I468" s="5"/>
      <c r="J468" s="5"/>
    </row>
    <row r="469" spans="1:10">
      <c r="A469" s="5"/>
      <c r="B469" s="5"/>
      <c r="C469" s="5"/>
      <c r="D469" s="5"/>
      <c r="E469" s="5"/>
      <c r="F469" s="5"/>
      <c r="G469" s="5"/>
      <c r="H469" s="5"/>
      <c r="I469" s="5"/>
      <c r="J469" s="5"/>
    </row>
    <row r="470" spans="1:10">
      <c r="A470" s="5"/>
      <c r="B470" s="5"/>
      <c r="C470" s="5"/>
      <c r="D470" s="5"/>
      <c r="E470" s="5"/>
      <c r="F470" s="5"/>
      <c r="G470" s="5"/>
      <c r="H470" s="5"/>
      <c r="I470" s="5"/>
      <c r="J470" s="5"/>
    </row>
    <row r="471" spans="1:10">
      <c r="A471" s="5"/>
      <c r="B471" s="5"/>
      <c r="C471" s="5"/>
      <c r="D471" s="5"/>
      <c r="E471" s="5"/>
      <c r="F471" s="5"/>
      <c r="G471" s="5"/>
      <c r="H471" s="5"/>
      <c r="I471" s="5"/>
      <c r="J471" s="5"/>
    </row>
    <row r="472" spans="1:10">
      <c r="A472" s="5"/>
      <c r="B472" s="5"/>
      <c r="C472" s="5"/>
      <c r="D472" s="5"/>
      <c r="E472" s="5"/>
      <c r="F472" s="5"/>
      <c r="G472" s="5"/>
      <c r="H472" s="5"/>
      <c r="I472" s="5"/>
      <c r="J472" s="5"/>
    </row>
    <row r="473" spans="1:10">
      <c r="A473" s="5"/>
      <c r="B473" s="5"/>
      <c r="C473" s="5"/>
      <c r="D473" s="5"/>
      <c r="E473" s="5"/>
      <c r="F473" s="5"/>
      <c r="G473" s="5"/>
      <c r="H473" s="5"/>
      <c r="I473" s="5"/>
      <c r="J473" s="5"/>
    </row>
    <row r="474" spans="1:10">
      <c r="A474" s="5"/>
      <c r="B474" s="5"/>
      <c r="C474" s="5"/>
      <c r="D474" s="5"/>
      <c r="E474" s="5"/>
      <c r="F474" s="5"/>
      <c r="G474" s="5"/>
      <c r="H474" s="5"/>
      <c r="I474" s="5"/>
      <c r="J474" s="5"/>
    </row>
    <row r="475" spans="1:10">
      <c r="A475" s="5"/>
      <c r="B475" s="5"/>
      <c r="C475" s="5"/>
      <c r="D475" s="5"/>
      <c r="E475" s="5"/>
      <c r="F475" s="5"/>
      <c r="G475" s="5"/>
      <c r="H475" s="5"/>
      <c r="I475" s="5"/>
      <c r="J475" s="5"/>
    </row>
    <row r="476" spans="1:10">
      <c r="A476" s="5"/>
      <c r="B476" s="5"/>
      <c r="C476" s="5"/>
      <c r="D476" s="5"/>
      <c r="E476" s="5"/>
      <c r="F476" s="5"/>
      <c r="G476" s="5"/>
      <c r="H476" s="5"/>
      <c r="I476" s="5"/>
      <c r="J476" s="5"/>
    </row>
    <row r="477" spans="1:10">
      <c r="A477" s="5"/>
      <c r="B477" s="5"/>
      <c r="C477" s="5"/>
      <c r="D477" s="5"/>
      <c r="E477" s="5"/>
      <c r="F477" s="5"/>
      <c r="G477" s="5"/>
      <c r="H477" s="5"/>
      <c r="I477" s="5"/>
      <c r="J477" s="5"/>
    </row>
    <row r="478" spans="1:10">
      <c r="A478" s="5"/>
      <c r="B478" s="5"/>
      <c r="C478" s="5"/>
      <c r="D478" s="5"/>
      <c r="E478" s="5"/>
      <c r="F478" s="5"/>
      <c r="G478" s="5"/>
      <c r="H478" s="5"/>
      <c r="I478" s="5"/>
      <c r="J478" s="5"/>
    </row>
    <row r="479" spans="1:10">
      <c r="A479" s="5"/>
      <c r="B479" s="5"/>
      <c r="C479" s="5"/>
      <c r="D479" s="5"/>
      <c r="E479" s="5"/>
      <c r="F479" s="5"/>
      <c r="G479" s="5"/>
      <c r="H479" s="5"/>
      <c r="I479" s="5"/>
      <c r="J479" s="5"/>
    </row>
    <row r="480" spans="1:10">
      <c r="A480" s="5"/>
      <c r="B480" s="5"/>
      <c r="C480" s="5"/>
      <c r="D480" s="5"/>
      <c r="E480" s="5"/>
      <c r="F480" s="5"/>
      <c r="G480" s="5"/>
      <c r="H480" s="5"/>
      <c r="I480" s="5"/>
      <c r="J480" s="5"/>
    </row>
    <row r="481" spans="1:10">
      <c r="A481" s="5"/>
      <c r="B481" s="5"/>
      <c r="C481" s="5"/>
      <c r="D481" s="5"/>
      <c r="E481" s="5"/>
      <c r="F481" s="5"/>
      <c r="G481" s="5"/>
      <c r="H481" s="5"/>
      <c r="I481" s="5"/>
      <c r="J481" s="5"/>
    </row>
    <row r="482" spans="1:10">
      <c r="A482" s="5"/>
      <c r="B482" s="5"/>
      <c r="C482" s="5"/>
      <c r="D482" s="5"/>
      <c r="E482" s="5"/>
      <c r="F482" s="5"/>
      <c r="G482" s="5"/>
      <c r="H482" s="5"/>
      <c r="I482" s="5"/>
      <c r="J482" s="5"/>
    </row>
    <row r="483" spans="1:10">
      <c r="A483" s="5"/>
      <c r="B483" s="5"/>
      <c r="C483" s="5"/>
      <c r="D483" s="5"/>
      <c r="E483" s="5"/>
      <c r="F483" s="5"/>
      <c r="G483" s="5"/>
      <c r="H483" s="5"/>
      <c r="I483" s="5"/>
      <c r="J483" s="5"/>
    </row>
    <row r="484" spans="1:10">
      <c r="A484" s="5"/>
      <c r="B484" s="5"/>
      <c r="C484" s="5"/>
      <c r="D484" s="5"/>
      <c r="E484" s="5"/>
      <c r="F484" s="5"/>
      <c r="G484" s="5"/>
      <c r="H484" s="5"/>
      <c r="I484" s="5"/>
      <c r="J484" s="5"/>
    </row>
    <row r="485" spans="1:10">
      <c r="A485" s="5"/>
      <c r="B485" s="5"/>
      <c r="C485" s="5"/>
      <c r="D485" s="5"/>
      <c r="E485" s="5"/>
      <c r="F485" s="5"/>
      <c r="G485" s="5"/>
      <c r="H485" s="5"/>
      <c r="I485" s="5"/>
      <c r="J485" s="5"/>
    </row>
    <row r="486" spans="1:10">
      <c r="A486" s="5"/>
      <c r="B486" s="5"/>
      <c r="C486" s="5"/>
      <c r="D486" s="5"/>
      <c r="E486" s="5"/>
      <c r="F486" s="5"/>
      <c r="G486" s="5"/>
      <c r="H486" s="5"/>
      <c r="I486" s="5"/>
      <c r="J486" s="5"/>
    </row>
    <row r="487" spans="1:10">
      <c r="A487" s="5"/>
      <c r="B487" s="5"/>
      <c r="C487" s="5"/>
      <c r="D487" s="5"/>
      <c r="E487" s="5"/>
      <c r="F487" s="5"/>
      <c r="G487" s="5"/>
      <c r="H487" s="5"/>
      <c r="I487" s="5"/>
      <c r="J487" s="5"/>
    </row>
    <row r="488" spans="1:10">
      <c r="A488" s="5"/>
      <c r="B488" s="5"/>
      <c r="C488" s="5"/>
      <c r="D488" s="5"/>
      <c r="E488" s="5"/>
      <c r="F488" s="5"/>
      <c r="G488" s="5"/>
      <c r="H488" s="5"/>
      <c r="I488" s="5"/>
      <c r="J488" s="5"/>
    </row>
    <row r="489" spans="1:10">
      <c r="A489" s="5"/>
      <c r="B489" s="5"/>
      <c r="C489" s="5"/>
      <c r="D489" s="5"/>
      <c r="E489" s="5"/>
      <c r="F489" s="5"/>
      <c r="G489" s="5"/>
      <c r="H489" s="5"/>
      <c r="I489" s="5"/>
      <c r="J489" s="5"/>
    </row>
    <row r="490" spans="1:10">
      <c r="A490" s="5"/>
      <c r="B490" s="5"/>
      <c r="C490" s="5"/>
      <c r="D490" s="5"/>
      <c r="E490" s="5"/>
      <c r="F490" s="5"/>
      <c r="G490" s="5"/>
      <c r="H490" s="5"/>
      <c r="I490" s="5"/>
      <c r="J490" s="5"/>
    </row>
    <row r="491" spans="1:10">
      <c r="A491" s="5"/>
      <c r="B491" s="5"/>
      <c r="C491" s="5"/>
      <c r="D491" s="5"/>
      <c r="E491" s="5"/>
      <c r="F491" s="5"/>
      <c r="G491" s="5"/>
      <c r="H491" s="5"/>
      <c r="I491" s="5"/>
      <c r="J491" s="5"/>
    </row>
    <row r="492" spans="1:10">
      <c r="A492" s="5"/>
      <c r="B492" s="5"/>
      <c r="C492" s="5"/>
      <c r="D492" s="5"/>
      <c r="E492" s="5"/>
      <c r="F492" s="5"/>
      <c r="G492" s="5"/>
      <c r="H492" s="5"/>
      <c r="I492" s="5"/>
      <c r="J492" s="5"/>
    </row>
    <row r="493" spans="1:10">
      <c r="A493" s="5"/>
      <c r="B493" s="5"/>
      <c r="C493" s="5"/>
      <c r="D493" s="5"/>
      <c r="E493" s="5"/>
      <c r="F493" s="5"/>
      <c r="G493" s="5"/>
      <c r="H493" s="5"/>
      <c r="I493" s="5"/>
      <c r="J493" s="5"/>
    </row>
    <row r="494" spans="1:10">
      <c r="A494" s="5"/>
      <c r="B494" s="5"/>
      <c r="C494" s="5"/>
      <c r="D494" s="5"/>
      <c r="E494" s="5"/>
      <c r="F494" s="5"/>
      <c r="G494" s="5"/>
      <c r="H494" s="5"/>
      <c r="I494" s="5"/>
      <c r="J494" s="5"/>
    </row>
    <row r="495" spans="1:10">
      <c r="A495" s="5"/>
      <c r="B495" s="5"/>
      <c r="C495" s="5"/>
      <c r="D495" s="5"/>
      <c r="E495" s="5"/>
      <c r="F495" s="5"/>
      <c r="G495" s="5"/>
      <c r="H495" s="5"/>
      <c r="I495" s="5"/>
      <c r="J495" s="5"/>
    </row>
    <row r="496" spans="1:10">
      <c r="A496" s="5"/>
      <c r="B496" s="5"/>
      <c r="C496" s="5"/>
      <c r="D496" s="5"/>
      <c r="E496" s="5"/>
      <c r="F496" s="5"/>
      <c r="G496" s="5"/>
      <c r="H496" s="5"/>
      <c r="I496" s="5"/>
      <c r="J496" s="5"/>
    </row>
    <row r="497" spans="1:10">
      <c r="A497" s="5"/>
      <c r="B497" s="5"/>
      <c r="C497" s="5"/>
      <c r="D497" s="5"/>
      <c r="E497" s="5"/>
      <c r="F497" s="5"/>
      <c r="G497" s="5"/>
      <c r="H497" s="5"/>
      <c r="I497" s="5"/>
      <c r="J497" s="5"/>
    </row>
    <row r="498" spans="1:10">
      <c r="A498" s="5"/>
      <c r="B498" s="5"/>
      <c r="C498" s="5"/>
      <c r="D498" s="5"/>
      <c r="E498" s="5"/>
      <c r="F498" s="5"/>
      <c r="G498" s="5"/>
      <c r="H498" s="5"/>
      <c r="I498" s="5"/>
      <c r="J498" s="5"/>
    </row>
    <row r="499" spans="1:10">
      <c r="A499" s="5"/>
      <c r="B499" s="5"/>
      <c r="C499" s="5"/>
      <c r="D499" s="5"/>
      <c r="E499" s="5"/>
      <c r="F499" s="5"/>
      <c r="G499" s="5"/>
      <c r="H499" s="5"/>
      <c r="I499" s="5"/>
      <c r="J499" s="5"/>
    </row>
    <row r="500" spans="1:10">
      <c r="A500" s="5"/>
      <c r="B500" s="5"/>
      <c r="C500" s="5"/>
      <c r="D500" s="5"/>
      <c r="E500" s="5"/>
      <c r="F500" s="5"/>
      <c r="G500" s="5"/>
      <c r="H500" s="5"/>
      <c r="I500" s="5"/>
      <c r="J500" s="5"/>
    </row>
    <row r="501" spans="1:10">
      <c r="A501" s="5"/>
      <c r="B501" s="5"/>
      <c r="C501" s="5"/>
      <c r="D501" s="5"/>
      <c r="E501" s="5"/>
      <c r="F501" s="5"/>
      <c r="G501" s="5"/>
      <c r="H501" s="5"/>
      <c r="I501" s="5"/>
      <c r="J501" s="5"/>
    </row>
    <row r="502" spans="1:10">
      <c r="A502" s="5"/>
      <c r="B502" s="5"/>
      <c r="C502" s="5"/>
      <c r="D502" s="5"/>
      <c r="E502" s="5"/>
      <c r="F502" s="5"/>
      <c r="G502" s="5"/>
      <c r="H502" s="5"/>
      <c r="I502" s="5"/>
      <c r="J502" s="5"/>
    </row>
    <row r="503" spans="1:10">
      <c r="A503" s="5"/>
      <c r="B503" s="5"/>
      <c r="C503" s="5"/>
      <c r="D503" s="5"/>
      <c r="E503" s="5"/>
      <c r="F503" s="5"/>
      <c r="G503" s="5"/>
      <c r="H503" s="5"/>
      <c r="I503" s="5"/>
      <c r="J503" s="5"/>
    </row>
    <row r="504" spans="1:10">
      <c r="A504" s="5"/>
      <c r="B504" s="5"/>
      <c r="C504" s="5"/>
      <c r="D504" s="5"/>
      <c r="E504" s="5"/>
      <c r="F504" s="5"/>
      <c r="G504" s="5"/>
      <c r="H504" s="5"/>
      <c r="I504" s="5"/>
      <c r="J504" s="5"/>
    </row>
    <row r="505" spans="1:10">
      <c r="A505" s="5"/>
      <c r="B505" s="5"/>
      <c r="C505" s="5"/>
      <c r="D505" s="5"/>
      <c r="E505" s="5"/>
      <c r="F505" s="5"/>
      <c r="G505" s="5"/>
      <c r="H505" s="5"/>
      <c r="I505" s="5"/>
      <c r="J505" s="5"/>
    </row>
    <row r="506" spans="1:10">
      <c r="A506" s="5"/>
      <c r="B506" s="5"/>
      <c r="C506" s="5"/>
      <c r="D506" s="5"/>
      <c r="E506" s="5"/>
      <c r="F506" s="5"/>
      <c r="G506" s="5"/>
      <c r="H506" s="5"/>
      <c r="I506" s="5"/>
      <c r="J506" s="5"/>
    </row>
    <row r="507" spans="1:10">
      <c r="A507" s="5"/>
      <c r="B507" s="5"/>
      <c r="C507" s="5"/>
      <c r="D507" s="5"/>
      <c r="E507" s="5"/>
      <c r="F507" s="5"/>
      <c r="G507" s="5"/>
      <c r="H507" s="5"/>
      <c r="I507" s="5"/>
      <c r="J507" s="5"/>
    </row>
    <row r="508" spans="1:10">
      <c r="A508" s="5"/>
      <c r="B508" s="5"/>
      <c r="C508" s="5"/>
      <c r="D508" s="5"/>
      <c r="E508" s="5"/>
      <c r="F508" s="5"/>
      <c r="G508" s="5"/>
      <c r="H508" s="5"/>
      <c r="I508" s="5"/>
      <c r="J508" s="5"/>
    </row>
    <row r="509" spans="1:10">
      <c r="A509" s="5"/>
      <c r="B509" s="5"/>
      <c r="C509" s="5"/>
      <c r="D509" s="5"/>
      <c r="E509" s="5"/>
      <c r="F509" s="5"/>
      <c r="G509" s="5"/>
      <c r="H509" s="5"/>
      <c r="I509" s="5"/>
      <c r="J509" s="5"/>
    </row>
    <row r="510" spans="1:10">
      <c r="A510" s="5"/>
      <c r="B510" s="5"/>
      <c r="C510" s="5"/>
      <c r="D510" s="5"/>
      <c r="E510" s="5"/>
      <c r="F510" s="5"/>
      <c r="G510" s="5"/>
      <c r="H510" s="5"/>
      <c r="I510" s="5"/>
      <c r="J510" s="5"/>
    </row>
    <row r="511" spans="1:10">
      <c r="A511" s="5"/>
      <c r="B511" s="5"/>
      <c r="C511" s="5"/>
      <c r="D511" s="5"/>
      <c r="E511" s="5"/>
      <c r="F511" s="5"/>
      <c r="G511" s="5"/>
      <c r="H511" s="5"/>
      <c r="I511" s="5"/>
      <c r="J511" s="5"/>
    </row>
    <row r="512" spans="1:10">
      <c r="A512" s="5"/>
      <c r="B512" s="5"/>
      <c r="C512" s="5"/>
      <c r="D512" s="5"/>
      <c r="E512" s="5"/>
      <c r="F512" s="5"/>
      <c r="G512" s="5"/>
      <c r="H512" s="5"/>
      <c r="I512" s="5"/>
      <c r="J512" s="5"/>
    </row>
    <row r="513" spans="1:10">
      <c r="A513" s="5"/>
      <c r="B513" s="5"/>
      <c r="C513" s="5"/>
      <c r="D513" s="5"/>
      <c r="E513" s="5"/>
      <c r="F513" s="5"/>
      <c r="G513" s="5"/>
      <c r="H513" s="5"/>
      <c r="I513" s="5"/>
      <c r="J513" s="5"/>
    </row>
    <row r="514" spans="1:10">
      <c r="A514" s="5"/>
      <c r="B514" s="5"/>
      <c r="C514" s="5"/>
      <c r="D514" s="5"/>
      <c r="E514" s="5"/>
      <c r="F514" s="5"/>
      <c r="G514" s="5"/>
      <c r="H514" s="5"/>
      <c r="I514" s="5"/>
      <c r="J514" s="5"/>
    </row>
    <row r="515" spans="1:10">
      <c r="A515" s="5"/>
      <c r="B515" s="5"/>
      <c r="C515" s="5"/>
      <c r="D515" s="5"/>
      <c r="E515" s="5"/>
      <c r="F515" s="5"/>
      <c r="G515" s="5"/>
      <c r="H515" s="5"/>
      <c r="I515" s="5"/>
      <c r="J515" s="5"/>
    </row>
    <row r="516" spans="1:10">
      <c r="A516" s="5"/>
      <c r="B516" s="5"/>
      <c r="C516" s="5"/>
      <c r="D516" s="5"/>
      <c r="E516" s="5"/>
      <c r="F516" s="5"/>
      <c r="G516" s="5"/>
      <c r="H516" s="5"/>
      <c r="I516" s="5"/>
      <c r="J516" s="5"/>
    </row>
    <row r="517" spans="1:10">
      <c r="A517" s="5"/>
      <c r="B517" s="5"/>
      <c r="C517" s="5"/>
      <c r="D517" s="5"/>
      <c r="E517" s="5"/>
      <c r="F517" s="5"/>
      <c r="G517" s="5"/>
      <c r="H517" s="5"/>
      <c r="I517" s="5"/>
      <c r="J517" s="5"/>
    </row>
    <row r="518" spans="1:10">
      <c r="A518" s="5"/>
      <c r="B518" s="5"/>
      <c r="C518" s="5"/>
      <c r="D518" s="5"/>
      <c r="E518" s="5"/>
      <c r="F518" s="5"/>
      <c r="G518" s="5"/>
      <c r="H518" s="5"/>
      <c r="I518" s="5"/>
      <c r="J518" s="5"/>
    </row>
    <row r="519" spans="1:10">
      <c r="A519" s="5"/>
      <c r="B519" s="5"/>
      <c r="C519" s="5"/>
      <c r="D519" s="5"/>
      <c r="E519" s="5"/>
      <c r="F519" s="5"/>
      <c r="G519" s="5"/>
      <c r="H519" s="5"/>
      <c r="I519" s="5"/>
      <c r="J519" s="5"/>
    </row>
    <row r="520" spans="1:10">
      <c r="A520" s="5"/>
      <c r="B520" s="5"/>
      <c r="C520" s="5"/>
      <c r="D520" s="5"/>
      <c r="E520" s="5"/>
      <c r="F520" s="5"/>
      <c r="G520" s="5"/>
      <c r="H520" s="5"/>
      <c r="I520" s="5"/>
      <c r="J520" s="5"/>
    </row>
    <row r="521" spans="1:10">
      <c r="A521" s="5"/>
      <c r="B521" s="5"/>
      <c r="C521" s="5"/>
      <c r="D521" s="5"/>
      <c r="E521" s="5"/>
      <c r="F521" s="5"/>
      <c r="G521" s="5"/>
      <c r="H521" s="5"/>
      <c r="I521" s="5"/>
      <c r="J521" s="5"/>
    </row>
    <row r="522" spans="1:10">
      <c r="A522" s="5"/>
      <c r="B522" s="5"/>
      <c r="C522" s="5"/>
      <c r="D522" s="5"/>
      <c r="E522" s="5"/>
      <c r="F522" s="5"/>
      <c r="G522" s="5"/>
      <c r="H522" s="5"/>
      <c r="I522" s="5"/>
      <c r="J522" s="5"/>
    </row>
    <row r="523" spans="1:10">
      <c r="A523" s="5"/>
      <c r="B523" s="5"/>
      <c r="C523" s="5"/>
      <c r="D523" s="5"/>
      <c r="E523" s="5"/>
      <c r="F523" s="5"/>
      <c r="G523" s="5"/>
      <c r="H523" s="5"/>
      <c r="I523" s="5"/>
      <c r="J523" s="5"/>
    </row>
    <row r="524" spans="1:10">
      <c r="A524" s="5"/>
      <c r="B524" s="5"/>
      <c r="C524" s="5"/>
      <c r="D524" s="5"/>
      <c r="E524" s="5"/>
      <c r="F524" s="5"/>
      <c r="G524" s="5"/>
      <c r="H524" s="5"/>
      <c r="I524" s="5"/>
      <c r="J524" s="5"/>
    </row>
    <row r="525" spans="1:10">
      <c r="A525" s="5"/>
      <c r="B525" s="5"/>
      <c r="C525" s="5"/>
      <c r="D525" s="5"/>
      <c r="E525" s="5"/>
      <c r="F525" s="5"/>
      <c r="G525" s="5"/>
      <c r="H525" s="5"/>
      <c r="I525" s="5"/>
      <c r="J525" s="5"/>
    </row>
    <row r="526" spans="1:10">
      <c r="A526" s="5"/>
      <c r="B526" s="5"/>
      <c r="C526" s="5"/>
      <c r="D526" s="5"/>
      <c r="E526" s="5"/>
      <c r="F526" s="5"/>
      <c r="G526" s="5"/>
      <c r="H526" s="5"/>
      <c r="I526" s="5"/>
      <c r="J526" s="5"/>
    </row>
    <row r="527" spans="1:10">
      <c r="A527" s="5"/>
      <c r="B527" s="5"/>
      <c r="C527" s="5"/>
      <c r="D527" s="5"/>
      <c r="E527" s="5"/>
      <c r="F527" s="5"/>
      <c r="G527" s="5"/>
      <c r="H527" s="5"/>
      <c r="I527" s="5"/>
      <c r="J527" s="5"/>
    </row>
    <row r="528" spans="1:10">
      <c r="A528" s="5"/>
      <c r="B528" s="5"/>
      <c r="C528" s="5"/>
      <c r="D528" s="5"/>
      <c r="E528" s="5"/>
      <c r="F528" s="5"/>
      <c r="G528" s="5"/>
      <c r="H528" s="5"/>
      <c r="I528" s="5"/>
      <c r="J528" s="5"/>
    </row>
    <row r="529" spans="1:10">
      <c r="A529" s="5"/>
      <c r="B529" s="5"/>
      <c r="C529" s="5"/>
      <c r="D529" s="5"/>
      <c r="E529" s="5"/>
      <c r="F529" s="5"/>
      <c r="G529" s="5"/>
      <c r="H529" s="5"/>
      <c r="I529" s="5"/>
      <c r="J529" s="5"/>
    </row>
    <row r="530" spans="1:10">
      <c r="A530" s="5"/>
      <c r="B530" s="5"/>
      <c r="C530" s="5"/>
      <c r="D530" s="5"/>
      <c r="E530" s="5"/>
      <c r="F530" s="5"/>
      <c r="G530" s="5"/>
      <c r="H530" s="5"/>
      <c r="I530" s="5"/>
      <c r="J530" s="5"/>
    </row>
    <row r="531" spans="1:10">
      <c r="A531" s="5"/>
      <c r="B531" s="5"/>
      <c r="C531" s="5"/>
      <c r="D531" s="5"/>
      <c r="E531" s="5"/>
      <c r="F531" s="5"/>
      <c r="G531" s="5"/>
      <c r="H531" s="5"/>
      <c r="I531" s="5"/>
      <c r="J531" s="5"/>
    </row>
    <row r="532" spans="1:10">
      <c r="A532" s="5"/>
      <c r="B532" s="5"/>
      <c r="C532" s="5"/>
      <c r="D532" s="5"/>
      <c r="E532" s="5"/>
      <c r="F532" s="5"/>
      <c r="G532" s="5"/>
      <c r="H532" s="5"/>
      <c r="I532" s="5"/>
      <c r="J532" s="5"/>
    </row>
    <row r="533" spans="1:10">
      <c r="A533" s="5"/>
      <c r="B533" s="5"/>
      <c r="C533" s="5"/>
      <c r="D533" s="5"/>
      <c r="E533" s="5"/>
      <c r="F533" s="5"/>
      <c r="G533" s="5"/>
      <c r="H533" s="5"/>
      <c r="I533" s="5"/>
      <c r="J533" s="5"/>
    </row>
    <row r="534" spans="1:10">
      <c r="A534" s="5"/>
      <c r="B534" s="5"/>
      <c r="C534" s="5"/>
      <c r="D534" s="5"/>
      <c r="E534" s="5"/>
      <c r="F534" s="5"/>
      <c r="G534" s="5"/>
      <c r="H534" s="5"/>
      <c r="I534" s="5"/>
      <c r="J534" s="5"/>
    </row>
    <row r="535" spans="1:10">
      <c r="A535" s="5"/>
      <c r="B535" s="5"/>
      <c r="C535" s="5"/>
      <c r="D535" s="5"/>
      <c r="E535" s="5"/>
      <c r="F535" s="5"/>
      <c r="G535" s="5"/>
      <c r="H535" s="5"/>
      <c r="I535" s="5"/>
      <c r="J535" s="5"/>
    </row>
    <row r="536" spans="1:10">
      <c r="A536" s="5"/>
      <c r="B536" s="5"/>
      <c r="C536" s="5"/>
      <c r="D536" s="5"/>
      <c r="E536" s="5"/>
      <c r="F536" s="5"/>
      <c r="G536" s="5"/>
      <c r="H536" s="5"/>
      <c r="I536" s="5"/>
      <c r="J536" s="5"/>
    </row>
    <row r="537" spans="1:10">
      <c r="A537" s="5"/>
      <c r="B537" s="5"/>
      <c r="C537" s="5"/>
      <c r="D537" s="5"/>
      <c r="E537" s="5"/>
      <c r="F537" s="5"/>
      <c r="G537" s="5"/>
      <c r="H537" s="5"/>
      <c r="I537" s="5"/>
      <c r="J537" s="5"/>
    </row>
    <row r="538" spans="1:10">
      <c r="A538" s="5"/>
      <c r="B538" s="5"/>
      <c r="C538" s="5"/>
      <c r="D538" s="5"/>
      <c r="E538" s="5"/>
      <c r="F538" s="5"/>
      <c r="G538" s="5"/>
      <c r="H538" s="5"/>
      <c r="I538" s="5"/>
      <c r="J538" s="5"/>
    </row>
    <row r="539" spans="1:10">
      <c r="A539" s="5"/>
      <c r="B539" s="5"/>
      <c r="C539" s="5"/>
      <c r="D539" s="5"/>
      <c r="E539" s="5"/>
      <c r="F539" s="5"/>
      <c r="G539" s="5"/>
      <c r="H539" s="5"/>
      <c r="I539" s="5"/>
      <c r="J539" s="5"/>
    </row>
    <row r="540" spans="1:10">
      <c r="A540" s="5"/>
      <c r="B540" s="5"/>
      <c r="C540" s="5"/>
      <c r="D540" s="5"/>
      <c r="E540" s="5"/>
      <c r="F540" s="5"/>
      <c r="G540" s="5"/>
      <c r="H540" s="5"/>
      <c r="I540" s="5"/>
      <c r="J540" s="5"/>
    </row>
    <row r="541" spans="1:10">
      <c r="A541" s="5"/>
      <c r="B541" s="5"/>
      <c r="C541" s="5"/>
      <c r="D541" s="5"/>
      <c r="E541" s="5"/>
      <c r="F541" s="5"/>
      <c r="G541" s="5"/>
      <c r="H541" s="5"/>
      <c r="I541" s="5"/>
      <c r="J541" s="5"/>
    </row>
    <row r="542" spans="1:10">
      <c r="A542" s="5"/>
      <c r="B542" s="5"/>
      <c r="C542" s="5"/>
      <c r="D542" s="5"/>
      <c r="E542" s="5"/>
      <c r="F542" s="5"/>
      <c r="G542" s="5"/>
      <c r="H542" s="5"/>
      <c r="I542" s="5"/>
      <c r="J542" s="5"/>
    </row>
    <row r="543" spans="1:10">
      <c r="A543" s="5"/>
      <c r="B543" s="5"/>
      <c r="C543" s="5"/>
      <c r="D543" s="5"/>
      <c r="E543" s="5"/>
      <c r="F543" s="5"/>
      <c r="G543" s="5"/>
      <c r="H543" s="5"/>
      <c r="I543" s="5"/>
      <c r="J543" s="5"/>
    </row>
    <row r="544" spans="1:10">
      <c r="A544" s="5"/>
      <c r="B544" s="5"/>
      <c r="C544" s="5"/>
      <c r="D544" s="5"/>
      <c r="E544" s="5"/>
      <c r="F544" s="5"/>
      <c r="G544" s="5"/>
      <c r="H544" s="5"/>
      <c r="I544" s="5"/>
      <c r="J544" s="5"/>
    </row>
    <row r="545" spans="1:10">
      <c r="A545" s="5"/>
      <c r="B545" s="5"/>
      <c r="C545" s="5"/>
      <c r="D545" s="5"/>
      <c r="E545" s="5"/>
      <c r="F545" s="5"/>
      <c r="G545" s="5"/>
      <c r="H545" s="5"/>
      <c r="I545" s="5"/>
      <c r="J545" s="5"/>
    </row>
    <row r="546" spans="1:10">
      <c r="A546" s="5"/>
      <c r="B546" s="5"/>
      <c r="C546" s="5"/>
      <c r="D546" s="5"/>
      <c r="E546" s="5"/>
      <c r="F546" s="5"/>
      <c r="G546" s="5"/>
      <c r="H546" s="5"/>
      <c r="I546" s="5"/>
      <c r="J546" s="5"/>
    </row>
    <row r="547" spans="1:10">
      <c r="A547" s="5"/>
      <c r="B547" s="5"/>
      <c r="C547" s="5"/>
      <c r="D547" s="5"/>
      <c r="E547" s="5"/>
      <c r="F547" s="5"/>
      <c r="G547" s="5"/>
      <c r="H547" s="5"/>
      <c r="I547" s="5"/>
      <c r="J547" s="5"/>
    </row>
    <row r="548" spans="1:10">
      <c r="A548" s="5"/>
      <c r="B548" s="5"/>
      <c r="C548" s="5"/>
      <c r="D548" s="5"/>
      <c r="E548" s="5"/>
      <c r="F548" s="5"/>
      <c r="G548" s="5"/>
      <c r="H548" s="5"/>
      <c r="I548" s="5"/>
      <c r="J548" s="5"/>
    </row>
    <row r="549" spans="1:10">
      <c r="A549" s="5"/>
      <c r="B549" s="5"/>
      <c r="C549" s="5"/>
      <c r="D549" s="5"/>
      <c r="E549" s="5"/>
      <c r="F549" s="5"/>
      <c r="G549" s="5"/>
      <c r="H549" s="5"/>
      <c r="I549" s="5"/>
      <c r="J549" s="5"/>
    </row>
    <row r="550" spans="1:10">
      <c r="A550" s="5"/>
      <c r="B550" s="5"/>
      <c r="C550" s="5"/>
      <c r="D550" s="5"/>
      <c r="E550" s="5"/>
      <c r="F550" s="5"/>
      <c r="G550" s="5"/>
      <c r="H550" s="5"/>
      <c r="I550" s="5"/>
      <c r="J550" s="5"/>
    </row>
    <row r="551" spans="1:10">
      <c r="A551" s="5"/>
      <c r="B551" s="5"/>
      <c r="C551" s="5"/>
      <c r="D551" s="5"/>
      <c r="E551" s="5"/>
      <c r="F551" s="5"/>
      <c r="G551" s="5"/>
      <c r="H551" s="5"/>
      <c r="I551" s="5"/>
      <c r="J551" s="5"/>
    </row>
    <row r="552" spans="1:10">
      <c r="A552" s="5"/>
      <c r="B552" s="5"/>
      <c r="C552" s="5"/>
      <c r="D552" s="5"/>
      <c r="E552" s="5"/>
      <c r="F552" s="5"/>
      <c r="G552" s="5"/>
      <c r="H552" s="5"/>
      <c r="I552" s="5"/>
      <c r="J552" s="5"/>
    </row>
    <row r="553" spans="1:10">
      <c r="A553" s="5"/>
      <c r="B553" s="5"/>
      <c r="C553" s="5"/>
      <c r="D553" s="5"/>
      <c r="E553" s="5"/>
      <c r="F553" s="5"/>
      <c r="G553" s="5"/>
      <c r="H553" s="5"/>
      <c r="I553" s="5"/>
      <c r="J553" s="5"/>
    </row>
    <row r="554" spans="1:10">
      <c r="A554" s="5"/>
      <c r="B554" s="5"/>
      <c r="C554" s="5"/>
      <c r="D554" s="5"/>
      <c r="E554" s="5"/>
      <c r="F554" s="5"/>
      <c r="G554" s="5"/>
      <c r="H554" s="5"/>
      <c r="I554" s="5"/>
      <c r="J554" s="5"/>
    </row>
    <row r="555" spans="1:10">
      <c r="A555" s="5"/>
      <c r="B555" s="5"/>
      <c r="C555" s="5"/>
      <c r="D555" s="5"/>
      <c r="E555" s="5"/>
      <c r="F555" s="5"/>
      <c r="G555" s="5"/>
      <c r="H555" s="5"/>
      <c r="I555" s="5"/>
      <c r="J555" s="5"/>
    </row>
    <row r="556" spans="1:10">
      <c r="A556" s="5"/>
      <c r="B556" s="5"/>
      <c r="C556" s="5"/>
      <c r="D556" s="5"/>
      <c r="E556" s="5"/>
      <c r="F556" s="5"/>
      <c r="G556" s="5"/>
      <c r="H556" s="5"/>
      <c r="I556" s="5"/>
      <c r="J556" s="5"/>
    </row>
    <row r="557" spans="1:10">
      <c r="A557" s="5"/>
      <c r="B557" s="5"/>
      <c r="C557" s="5"/>
      <c r="D557" s="5"/>
      <c r="E557" s="5"/>
      <c r="F557" s="5"/>
      <c r="G557" s="5"/>
      <c r="H557" s="5"/>
      <c r="I557" s="5"/>
      <c r="J557" s="5"/>
    </row>
    <row r="558" spans="1:10">
      <c r="A558" s="5"/>
      <c r="B558" s="5"/>
      <c r="C558" s="5"/>
      <c r="D558" s="5"/>
      <c r="E558" s="5"/>
      <c r="F558" s="5"/>
      <c r="G558" s="5"/>
      <c r="H558" s="5"/>
      <c r="I558" s="5"/>
      <c r="J558" s="5"/>
    </row>
    <row r="559" spans="1:10">
      <c r="A559" s="5"/>
      <c r="B559" s="5"/>
      <c r="C559" s="5"/>
      <c r="D559" s="5"/>
      <c r="E559" s="5"/>
      <c r="F559" s="5"/>
      <c r="G559" s="5"/>
      <c r="H559" s="5"/>
      <c r="I559" s="5"/>
      <c r="J559" s="5"/>
    </row>
    <row r="560" spans="1:10">
      <c r="A560" s="5"/>
      <c r="B560" s="5"/>
      <c r="C560" s="5"/>
      <c r="D560" s="5"/>
      <c r="E560" s="5"/>
      <c r="F560" s="5"/>
      <c r="G560" s="5"/>
      <c r="H560" s="5"/>
      <c r="I560" s="5"/>
      <c r="J560" s="5"/>
    </row>
    <row r="561" spans="1:10">
      <c r="A561" s="5"/>
      <c r="B561" s="5"/>
      <c r="C561" s="5"/>
      <c r="D561" s="5"/>
      <c r="E561" s="5"/>
      <c r="F561" s="5"/>
      <c r="G561" s="5"/>
      <c r="H561" s="5"/>
      <c r="I561" s="5"/>
      <c r="J561" s="5"/>
    </row>
    <row r="562" spans="1:10">
      <c r="A562" s="5"/>
      <c r="B562" s="5"/>
      <c r="C562" s="5"/>
      <c r="D562" s="5"/>
      <c r="E562" s="5"/>
      <c r="F562" s="5"/>
      <c r="G562" s="5"/>
      <c r="H562" s="5"/>
      <c r="I562" s="5"/>
      <c r="J562" s="5"/>
    </row>
    <row r="563" spans="1:10">
      <c r="A563" s="5"/>
      <c r="B563" s="5"/>
      <c r="C563" s="5"/>
      <c r="D563" s="5"/>
      <c r="E563" s="5"/>
      <c r="F563" s="5"/>
      <c r="G563" s="5"/>
      <c r="H563" s="5"/>
      <c r="I563" s="5"/>
      <c r="J563" s="5"/>
    </row>
    <row r="564" spans="1:10">
      <c r="A564" s="5"/>
      <c r="B564" s="5"/>
      <c r="C564" s="5"/>
      <c r="D564" s="5"/>
      <c r="E564" s="5"/>
      <c r="F564" s="5"/>
      <c r="G564" s="5"/>
      <c r="H564" s="5"/>
      <c r="I564" s="5"/>
      <c r="J564" s="5"/>
    </row>
    <row r="565" spans="1:10">
      <c r="A565" s="5"/>
      <c r="B565" s="5"/>
      <c r="C565" s="5"/>
      <c r="D565" s="5"/>
      <c r="E565" s="5"/>
      <c r="F565" s="5"/>
      <c r="G565" s="5"/>
      <c r="H565" s="5"/>
      <c r="I565" s="5"/>
      <c r="J565" s="5"/>
    </row>
    <row r="566" spans="1:10">
      <c r="A566" s="5"/>
      <c r="B566" s="5"/>
      <c r="C566" s="5"/>
      <c r="D566" s="5"/>
      <c r="E566" s="5"/>
      <c r="F566" s="5"/>
      <c r="G566" s="5"/>
      <c r="H566" s="5"/>
      <c r="I566" s="5"/>
      <c r="J566" s="5"/>
    </row>
    <row r="567" spans="1:10">
      <c r="A567" s="5"/>
      <c r="B567" s="5"/>
      <c r="C567" s="5"/>
      <c r="D567" s="5"/>
      <c r="E567" s="5"/>
      <c r="F567" s="5"/>
      <c r="G567" s="5"/>
      <c r="H567" s="5"/>
      <c r="I567" s="5"/>
      <c r="J567" s="5"/>
    </row>
    <row r="568" spans="1:10">
      <c r="A568" s="5"/>
      <c r="B568" s="5"/>
      <c r="C568" s="5"/>
      <c r="D568" s="5"/>
      <c r="E568" s="5"/>
      <c r="F568" s="5"/>
      <c r="G568" s="5"/>
      <c r="H568" s="5"/>
      <c r="I568" s="5"/>
      <c r="J568" s="5"/>
    </row>
    <row r="569" spans="1:10">
      <c r="A569" s="5"/>
      <c r="B569" s="5"/>
      <c r="C569" s="5"/>
      <c r="D569" s="5"/>
      <c r="E569" s="5"/>
      <c r="F569" s="5"/>
      <c r="G569" s="5"/>
      <c r="H569" s="5"/>
      <c r="I569" s="5"/>
      <c r="J569" s="5"/>
    </row>
    <row r="570" spans="1:10">
      <c r="A570" s="5"/>
      <c r="B570" s="5"/>
      <c r="C570" s="5"/>
      <c r="D570" s="5"/>
      <c r="E570" s="5"/>
      <c r="F570" s="5"/>
      <c r="G570" s="5"/>
      <c r="H570" s="5"/>
      <c r="I570" s="5"/>
      <c r="J570" s="5"/>
    </row>
    <row r="571" spans="1:10">
      <c r="A571" s="5"/>
      <c r="B571" s="5"/>
      <c r="C571" s="5"/>
      <c r="D571" s="5"/>
      <c r="E571" s="5"/>
      <c r="F571" s="5"/>
      <c r="G571" s="5"/>
      <c r="H571" s="5"/>
      <c r="I571" s="5"/>
      <c r="J571" s="5"/>
    </row>
    <row r="572" spans="1:10">
      <c r="A572" s="5"/>
      <c r="B572" s="5"/>
      <c r="C572" s="5"/>
      <c r="D572" s="5"/>
      <c r="E572" s="5"/>
      <c r="F572" s="5"/>
      <c r="G572" s="5"/>
      <c r="H572" s="5"/>
      <c r="I572" s="5"/>
      <c r="J572" s="5"/>
    </row>
    <row r="573" spans="1:10">
      <c r="A573" s="5"/>
      <c r="B573" s="5"/>
      <c r="C573" s="5"/>
      <c r="D573" s="5"/>
      <c r="E573" s="5"/>
      <c r="F573" s="5"/>
      <c r="G573" s="5"/>
      <c r="H573" s="5"/>
      <c r="I573" s="5"/>
      <c r="J573" s="5"/>
    </row>
    <row r="574" spans="1:10">
      <c r="A574" s="5"/>
      <c r="B574" s="5"/>
      <c r="C574" s="5"/>
      <c r="D574" s="5"/>
      <c r="E574" s="5"/>
      <c r="F574" s="5"/>
      <c r="G574" s="5"/>
      <c r="H574" s="5"/>
      <c r="I574" s="5"/>
      <c r="J574" s="5"/>
    </row>
    <row r="575" spans="1:10">
      <c r="A575" s="5"/>
      <c r="B575" s="5"/>
      <c r="C575" s="5"/>
      <c r="D575" s="5"/>
      <c r="E575" s="5"/>
      <c r="F575" s="5"/>
      <c r="G575" s="5"/>
      <c r="H575" s="5"/>
      <c r="I575" s="5"/>
      <c r="J575" s="5"/>
    </row>
    <row r="576" spans="1:10">
      <c r="A576" s="5"/>
      <c r="B576" s="5"/>
      <c r="C576" s="5"/>
      <c r="D576" s="5"/>
      <c r="E576" s="5"/>
      <c r="F576" s="5"/>
      <c r="G576" s="5"/>
      <c r="H576" s="5"/>
      <c r="I576" s="5"/>
      <c r="J576" s="5"/>
    </row>
    <row r="577" spans="1:10">
      <c r="A577" s="5"/>
      <c r="B577" s="5"/>
      <c r="C577" s="5"/>
      <c r="D577" s="5"/>
      <c r="E577" s="5"/>
      <c r="F577" s="5"/>
      <c r="G577" s="5"/>
      <c r="H577" s="5"/>
      <c r="I577" s="5"/>
      <c r="J577" s="5"/>
    </row>
    <row r="578" spans="1:10">
      <c r="A578" s="5"/>
      <c r="B578" s="5"/>
      <c r="C578" s="5"/>
      <c r="D578" s="5"/>
      <c r="E578" s="5"/>
      <c r="F578" s="5"/>
      <c r="G578" s="5"/>
      <c r="H578" s="5"/>
      <c r="I578" s="5"/>
      <c r="J578" s="5"/>
    </row>
    <row r="579" spans="1:10">
      <c r="A579" s="5"/>
      <c r="B579" s="5"/>
      <c r="C579" s="5"/>
      <c r="D579" s="5"/>
      <c r="E579" s="5"/>
      <c r="F579" s="5"/>
      <c r="G579" s="5"/>
      <c r="H579" s="5"/>
      <c r="I579" s="5"/>
      <c r="J579" s="5"/>
    </row>
    <row r="580" spans="1:10">
      <c r="A580" s="5"/>
      <c r="B580" s="5"/>
      <c r="C580" s="5"/>
      <c r="D580" s="5"/>
      <c r="E580" s="5"/>
      <c r="F580" s="5"/>
      <c r="G580" s="5"/>
      <c r="H580" s="5"/>
      <c r="I580" s="5"/>
      <c r="J580" s="5"/>
    </row>
    <row r="581" spans="1:10">
      <c r="A581" s="5"/>
      <c r="B581" s="5"/>
      <c r="C581" s="5"/>
      <c r="D581" s="5"/>
      <c r="E581" s="5"/>
      <c r="F581" s="5"/>
      <c r="G581" s="5"/>
      <c r="H581" s="5"/>
      <c r="I581" s="5"/>
      <c r="J581" s="5"/>
    </row>
    <row r="582" spans="1:10">
      <c r="A582" s="5"/>
      <c r="B582" s="5"/>
      <c r="C582" s="5"/>
      <c r="D582" s="5"/>
      <c r="E582" s="5"/>
      <c r="F582" s="5"/>
      <c r="G582" s="5"/>
      <c r="H582" s="5"/>
      <c r="I582" s="5"/>
      <c r="J582" s="5"/>
    </row>
    <row r="583" spans="1:10">
      <c r="A583" s="5"/>
      <c r="B583" s="5"/>
      <c r="C583" s="5"/>
      <c r="D583" s="5"/>
      <c r="E583" s="5"/>
      <c r="F583" s="5"/>
      <c r="G583" s="5"/>
      <c r="H583" s="5"/>
      <c r="I583" s="5"/>
      <c r="J583" s="5"/>
    </row>
    <row r="584" spans="1:10">
      <c r="A584" s="5"/>
      <c r="B584" s="5"/>
      <c r="C584" s="5"/>
      <c r="D584" s="5"/>
      <c r="E584" s="5"/>
      <c r="F584" s="5"/>
      <c r="G584" s="5"/>
      <c r="H584" s="5"/>
      <c r="I584" s="5"/>
      <c r="J584" s="5"/>
    </row>
    <row r="585" spans="1:10">
      <c r="A585" s="5"/>
      <c r="B585" s="5"/>
      <c r="C585" s="5"/>
      <c r="D585" s="5"/>
      <c r="E585" s="5"/>
      <c r="F585" s="5"/>
      <c r="G585" s="5"/>
      <c r="H585" s="5"/>
      <c r="I585" s="5"/>
      <c r="J585" s="5"/>
    </row>
    <row r="586" spans="1:10">
      <c r="A586" s="5"/>
      <c r="B586" s="5"/>
      <c r="C586" s="5"/>
      <c r="D586" s="5"/>
      <c r="E586" s="5"/>
      <c r="F586" s="5"/>
      <c r="G586" s="5"/>
      <c r="H586" s="5"/>
      <c r="I586" s="5"/>
      <c r="J586" s="5"/>
    </row>
    <row r="587" spans="1:10">
      <c r="A587" s="5"/>
      <c r="B587" s="5"/>
      <c r="C587" s="5"/>
      <c r="D587" s="5"/>
      <c r="E587" s="5"/>
      <c r="F587" s="5"/>
      <c r="G587" s="5"/>
      <c r="H587" s="5"/>
      <c r="I587" s="5"/>
      <c r="J587" s="5"/>
    </row>
    <row r="588" spans="1:10">
      <c r="A588" s="5"/>
      <c r="B588" s="5"/>
      <c r="C588" s="5"/>
      <c r="D588" s="5"/>
      <c r="E588" s="5"/>
      <c r="F588" s="5"/>
      <c r="G588" s="5"/>
      <c r="H588" s="5"/>
      <c r="I588" s="5"/>
      <c r="J588" s="5"/>
    </row>
    <row r="589" spans="1:10">
      <c r="A589" s="5"/>
      <c r="B589" s="5"/>
      <c r="C589" s="5"/>
      <c r="D589" s="5"/>
      <c r="E589" s="5"/>
      <c r="F589" s="5"/>
      <c r="G589" s="5"/>
      <c r="H589" s="5"/>
      <c r="I589" s="5"/>
      <c r="J589" s="5"/>
    </row>
    <row r="590" spans="1:10">
      <c r="A590" s="5"/>
      <c r="B590" s="5"/>
      <c r="C590" s="5"/>
      <c r="D590" s="5"/>
      <c r="E590" s="5"/>
      <c r="F590" s="5"/>
      <c r="G590" s="5"/>
      <c r="H590" s="5"/>
      <c r="I590" s="5"/>
      <c r="J590" s="5"/>
    </row>
    <row r="591" spans="1:10">
      <c r="A591" s="5"/>
      <c r="B591" s="5"/>
      <c r="C591" s="5"/>
      <c r="D591" s="5"/>
      <c r="E591" s="5"/>
      <c r="F591" s="5"/>
      <c r="G591" s="5"/>
      <c r="H591" s="5"/>
      <c r="I591" s="5"/>
      <c r="J591" s="5"/>
    </row>
    <row r="592" spans="1:10">
      <c r="A592" s="5"/>
      <c r="B592" s="5"/>
      <c r="C592" s="5"/>
      <c r="D592" s="5"/>
      <c r="E592" s="5"/>
      <c r="F592" s="5"/>
      <c r="G592" s="5"/>
      <c r="H592" s="5"/>
      <c r="I592" s="5"/>
      <c r="J592" s="5"/>
    </row>
    <row r="593" spans="1:10">
      <c r="A593" s="5"/>
      <c r="B593" s="5"/>
      <c r="C593" s="5"/>
      <c r="D593" s="5"/>
      <c r="E593" s="5"/>
      <c r="F593" s="5"/>
      <c r="G593" s="5"/>
      <c r="H593" s="5"/>
      <c r="I593" s="5"/>
      <c r="J593" s="5"/>
    </row>
    <row r="594" spans="1:10">
      <c r="A594" s="5"/>
      <c r="B594" s="5"/>
      <c r="C594" s="5"/>
      <c r="D594" s="5"/>
      <c r="E594" s="5"/>
      <c r="F594" s="5"/>
      <c r="G594" s="5"/>
      <c r="H594" s="5"/>
      <c r="I594" s="5"/>
      <c r="J594" s="5"/>
    </row>
    <row r="595" spans="1:10">
      <c r="A595" s="5"/>
      <c r="B595" s="5"/>
      <c r="C595" s="5"/>
      <c r="D595" s="5"/>
      <c r="E595" s="5"/>
      <c r="F595" s="5"/>
      <c r="G595" s="5"/>
      <c r="H595" s="5"/>
      <c r="I595" s="5"/>
      <c r="J595" s="5"/>
    </row>
    <row r="596" spans="1:10">
      <c r="A596" s="5"/>
      <c r="B596" s="5"/>
      <c r="C596" s="5"/>
      <c r="D596" s="5"/>
      <c r="E596" s="5"/>
      <c r="F596" s="5"/>
      <c r="G596" s="5"/>
      <c r="H596" s="5"/>
      <c r="I596" s="5"/>
      <c r="J596" s="5"/>
    </row>
    <row r="597" spans="1:10">
      <c r="A597" s="5"/>
      <c r="B597" s="5"/>
      <c r="C597" s="5"/>
      <c r="D597" s="5"/>
      <c r="E597" s="5"/>
      <c r="F597" s="5"/>
      <c r="G597" s="5"/>
      <c r="H597" s="5"/>
      <c r="I597" s="5"/>
      <c r="J597" s="5"/>
    </row>
    <row r="598" spans="1:10">
      <c r="A598" s="5"/>
      <c r="B598" s="5"/>
      <c r="C598" s="5"/>
      <c r="D598" s="5"/>
      <c r="E598" s="5"/>
      <c r="F598" s="5"/>
      <c r="G598" s="5"/>
      <c r="H598" s="5"/>
      <c r="I598" s="5"/>
      <c r="J598" s="5"/>
    </row>
    <row r="599" spans="1:10">
      <c r="A599" s="5"/>
      <c r="B599" s="5"/>
      <c r="C599" s="5"/>
      <c r="D599" s="5"/>
      <c r="E599" s="5"/>
      <c r="F599" s="5"/>
      <c r="G599" s="5"/>
      <c r="H599" s="5"/>
      <c r="I599" s="5"/>
      <c r="J599" s="5"/>
    </row>
    <row r="600" spans="1:10">
      <c r="A600" s="5"/>
      <c r="B600" s="5"/>
      <c r="C600" s="5"/>
      <c r="D600" s="5"/>
      <c r="E600" s="5"/>
      <c r="F600" s="5"/>
      <c r="G600" s="5"/>
      <c r="H600" s="5"/>
      <c r="I600" s="5"/>
      <c r="J600" s="5"/>
    </row>
    <row r="601" spans="1:10">
      <c r="A601" s="5"/>
      <c r="B601" s="5"/>
      <c r="C601" s="5"/>
      <c r="D601" s="5"/>
      <c r="E601" s="5"/>
      <c r="F601" s="5"/>
      <c r="G601" s="5"/>
      <c r="H601" s="5"/>
      <c r="I601" s="5"/>
      <c r="J601" s="5"/>
    </row>
    <row r="602" spans="1:10">
      <c r="A602" s="5"/>
      <c r="B602" s="5"/>
      <c r="C602" s="5"/>
      <c r="D602" s="5"/>
      <c r="E602" s="5"/>
      <c r="F602" s="5"/>
      <c r="G602" s="5"/>
      <c r="H602" s="5"/>
      <c r="I602" s="5"/>
      <c r="J602" s="5"/>
    </row>
    <row r="603" spans="1:10">
      <c r="A603" s="5"/>
      <c r="B603" s="5"/>
      <c r="C603" s="5"/>
      <c r="D603" s="5"/>
      <c r="E603" s="5"/>
      <c r="F603" s="5"/>
      <c r="G603" s="5"/>
      <c r="H603" s="5"/>
      <c r="I603" s="5"/>
      <c r="J603" s="5"/>
    </row>
    <row r="604" spans="1:10">
      <c r="A604" s="5"/>
      <c r="B604" s="5"/>
      <c r="C604" s="5"/>
      <c r="D604" s="5"/>
      <c r="E604" s="5"/>
      <c r="F604" s="5"/>
      <c r="G604" s="5"/>
      <c r="H604" s="5"/>
      <c r="I604" s="5"/>
      <c r="J604" s="5"/>
    </row>
    <row r="605" spans="1:10">
      <c r="A605" s="5"/>
      <c r="B605" s="5"/>
      <c r="C605" s="5"/>
      <c r="D605" s="5"/>
      <c r="E605" s="5"/>
      <c r="F605" s="5"/>
      <c r="G605" s="5"/>
      <c r="H605" s="5"/>
      <c r="I605" s="5"/>
      <c r="J605" s="5"/>
    </row>
    <row r="606" spans="1:10">
      <c r="A606" s="5"/>
      <c r="B606" s="5"/>
      <c r="C606" s="5"/>
      <c r="D606" s="5"/>
      <c r="E606" s="5"/>
      <c r="F606" s="5"/>
      <c r="G606" s="5"/>
      <c r="H606" s="5"/>
      <c r="I606" s="5"/>
      <c r="J606" s="5"/>
    </row>
    <row r="607" spans="1:10">
      <c r="A607" s="5"/>
      <c r="B607" s="5"/>
      <c r="C607" s="5"/>
      <c r="D607" s="5"/>
      <c r="E607" s="5"/>
      <c r="F607" s="5"/>
      <c r="G607" s="5"/>
      <c r="H607" s="5"/>
      <c r="I607" s="5"/>
      <c r="J607" s="5"/>
    </row>
    <row r="608" spans="1:10">
      <c r="A608" s="5"/>
      <c r="B608" s="5"/>
      <c r="C608" s="5"/>
      <c r="D608" s="5"/>
      <c r="E608" s="5"/>
      <c r="F608" s="5"/>
      <c r="G608" s="5"/>
      <c r="H608" s="5"/>
      <c r="I608" s="5"/>
      <c r="J608" s="5"/>
    </row>
    <row r="609" spans="1:10">
      <c r="A609" s="5"/>
      <c r="B609" s="5"/>
      <c r="C609" s="5"/>
      <c r="D609" s="5"/>
      <c r="E609" s="5"/>
      <c r="F609" s="5"/>
      <c r="G609" s="5"/>
      <c r="H609" s="5"/>
      <c r="I609" s="5"/>
      <c r="J609" s="5"/>
    </row>
    <row r="610" spans="1:10">
      <c r="A610" s="5"/>
      <c r="B610" s="5"/>
      <c r="C610" s="5"/>
      <c r="D610" s="5"/>
      <c r="E610" s="5"/>
      <c r="F610" s="5"/>
      <c r="G610" s="5"/>
      <c r="H610" s="5"/>
      <c r="I610" s="5"/>
      <c r="J610" s="5"/>
    </row>
    <row r="611" spans="1:10">
      <c r="A611" s="5"/>
      <c r="B611" s="5"/>
      <c r="C611" s="5"/>
      <c r="D611" s="5"/>
      <c r="E611" s="5"/>
      <c r="F611" s="5"/>
      <c r="G611" s="5"/>
      <c r="H611" s="5"/>
      <c r="I611" s="5"/>
      <c r="J611" s="5"/>
    </row>
    <row r="612" spans="1:10">
      <c r="A612" s="5"/>
      <c r="B612" s="5"/>
      <c r="C612" s="5"/>
      <c r="D612" s="5"/>
      <c r="E612" s="5"/>
      <c r="F612" s="5"/>
      <c r="G612" s="5"/>
      <c r="H612" s="5"/>
      <c r="I612" s="5"/>
      <c r="J612" s="5"/>
    </row>
    <row r="613" spans="1:10">
      <c r="A613" s="5"/>
      <c r="B613" s="5"/>
      <c r="C613" s="5"/>
      <c r="D613" s="5"/>
      <c r="E613" s="5"/>
      <c r="F613" s="5"/>
      <c r="G613" s="5"/>
      <c r="H613" s="5"/>
      <c r="I613" s="5"/>
      <c r="J613" s="5"/>
    </row>
    <row r="614" spans="1:10">
      <c r="A614" s="5"/>
      <c r="B614" s="5"/>
      <c r="C614" s="5"/>
      <c r="D614" s="5"/>
      <c r="E614" s="5"/>
      <c r="F614" s="5"/>
      <c r="G614" s="5"/>
      <c r="H614" s="5"/>
      <c r="I614" s="5"/>
      <c r="J614" s="5"/>
    </row>
    <row r="615" spans="1:10">
      <c r="A615" s="5"/>
      <c r="B615" s="5"/>
      <c r="C615" s="5"/>
      <c r="D615" s="5"/>
      <c r="E615" s="5"/>
      <c r="F615" s="5"/>
      <c r="G615" s="5"/>
      <c r="H615" s="5"/>
      <c r="I615" s="5"/>
      <c r="J615" s="5"/>
    </row>
    <row r="616" spans="1:10">
      <c r="A616" s="5"/>
      <c r="B616" s="5"/>
      <c r="C616" s="5"/>
      <c r="D616" s="5"/>
      <c r="E616" s="5"/>
      <c r="F616" s="5"/>
      <c r="G616" s="5"/>
      <c r="H616" s="5"/>
      <c r="I616" s="5"/>
      <c r="J616" s="5"/>
    </row>
    <row r="617" spans="1:10">
      <c r="A617" s="5"/>
      <c r="B617" s="5"/>
      <c r="C617" s="5"/>
      <c r="D617" s="5"/>
      <c r="E617" s="5"/>
      <c r="F617" s="5"/>
      <c r="G617" s="5"/>
      <c r="H617" s="5"/>
      <c r="I617" s="5"/>
      <c r="J617" s="5"/>
    </row>
    <row r="618" spans="1:10">
      <c r="A618" s="5"/>
      <c r="B618" s="5"/>
      <c r="C618" s="5"/>
      <c r="D618" s="5"/>
      <c r="E618" s="5"/>
      <c r="F618" s="5"/>
      <c r="G618" s="5"/>
      <c r="H618" s="5"/>
      <c r="I618" s="5"/>
      <c r="J618" s="5"/>
    </row>
    <row r="619" spans="1:10">
      <c r="A619" s="5"/>
      <c r="B619" s="5"/>
      <c r="C619" s="5"/>
      <c r="D619" s="5"/>
      <c r="E619" s="5"/>
      <c r="F619" s="5"/>
      <c r="G619" s="5"/>
      <c r="H619" s="5"/>
      <c r="I619" s="5"/>
      <c r="J619" s="5"/>
    </row>
    <row r="620" spans="1:10">
      <c r="A620" s="5"/>
      <c r="B620" s="5"/>
      <c r="C620" s="5"/>
      <c r="D620" s="5"/>
      <c r="E620" s="5"/>
      <c r="F620" s="5"/>
      <c r="G620" s="5"/>
      <c r="H620" s="5"/>
      <c r="I620" s="5"/>
      <c r="J620" s="5"/>
    </row>
    <row r="621" spans="1:10">
      <c r="A621" s="5"/>
      <c r="B621" s="5"/>
      <c r="C621" s="5"/>
      <c r="D621" s="5"/>
      <c r="E621" s="5"/>
      <c r="F621" s="5"/>
      <c r="G621" s="5"/>
      <c r="H621" s="5"/>
      <c r="I621" s="5"/>
      <c r="J621" s="5"/>
    </row>
    <row r="622" spans="1:10">
      <c r="A622" s="5"/>
      <c r="B622" s="5"/>
      <c r="C622" s="5"/>
      <c r="D622" s="5"/>
      <c r="E622" s="5"/>
      <c r="F622" s="5"/>
      <c r="G622" s="5"/>
      <c r="H622" s="5"/>
      <c r="I622" s="5"/>
      <c r="J622" s="5"/>
    </row>
    <row r="623" spans="1:10">
      <c r="A623" s="5"/>
      <c r="B623" s="5"/>
      <c r="C623" s="5"/>
      <c r="D623" s="5"/>
      <c r="E623" s="5"/>
      <c r="F623" s="5"/>
      <c r="G623" s="5"/>
      <c r="H623" s="5"/>
      <c r="I623" s="5"/>
      <c r="J623" s="5"/>
    </row>
    <row r="624" spans="1:10">
      <c r="A624" s="5"/>
      <c r="B624" s="5"/>
      <c r="C624" s="5"/>
      <c r="D624" s="5"/>
      <c r="E624" s="5"/>
      <c r="F624" s="5"/>
      <c r="G624" s="5"/>
      <c r="H624" s="5"/>
      <c r="I624" s="5"/>
      <c r="J624" s="5"/>
    </row>
    <row r="625" spans="1:10">
      <c r="A625" s="5"/>
      <c r="B625" s="5"/>
      <c r="C625" s="5"/>
      <c r="D625" s="5"/>
      <c r="E625" s="5"/>
      <c r="F625" s="5"/>
      <c r="G625" s="5"/>
      <c r="H625" s="5"/>
      <c r="I625" s="5"/>
      <c r="J625" s="5"/>
    </row>
    <row r="626" spans="1:10">
      <c r="A626" s="5"/>
      <c r="B626" s="5"/>
      <c r="C626" s="5"/>
      <c r="D626" s="5"/>
      <c r="E626" s="5"/>
      <c r="F626" s="5"/>
      <c r="G626" s="5"/>
      <c r="H626" s="5"/>
      <c r="I626" s="5"/>
      <c r="J626" s="5"/>
    </row>
    <row r="627" spans="1:10">
      <c r="A627" s="5"/>
      <c r="B627" s="5"/>
      <c r="C627" s="5"/>
      <c r="D627" s="5"/>
      <c r="E627" s="5"/>
      <c r="F627" s="5"/>
      <c r="G627" s="5"/>
      <c r="H627" s="5"/>
      <c r="I627" s="5"/>
      <c r="J627" s="5"/>
    </row>
    <row r="628" spans="1:10">
      <c r="A628" s="5"/>
      <c r="B628" s="5"/>
      <c r="C628" s="5"/>
      <c r="D628" s="5"/>
      <c r="E628" s="5"/>
      <c r="F628" s="5"/>
      <c r="G628" s="5"/>
      <c r="H628" s="5"/>
      <c r="I628" s="5"/>
      <c r="J628" s="5"/>
    </row>
    <row r="629" spans="1:10">
      <c r="A629" s="5"/>
      <c r="B629" s="5"/>
      <c r="C629" s="5"/>
      <c r="D629" s="5"/>
      <c r="E629" s="5"/>
      <c r="F629" s="5"/>
      <c r="G629" s="5"/>
      <c r="H629" s="5"/>
      <c r="I629" s="5"/>
      <c r="J629" s="5"/>
    </row>
    <row r="630" spans="1:10">
      <c r="A630" s="5"/>
      <c r="B630" s="5"/>
      <c r="C630" s="5"/>
      <c r="D630" s="5"/>
      <c r="E630" s="5"/>
      <c r="F630" s="5"/>
      <c r="G630" s="5"/>
      <c r="H630" s="5"/>
      <c r="I630" s="5"/>
      <c r="J630" s="5"/>
    </row>
    <row r="631" spans="1:10">
      <c r="A631" s="5"/>
      <c r="B631" s="5"/>
      <c r="C631" s="5"/>
      <c r="D631" s="5"/>
      <c r="E631" s="5"/>
      <c r="F631" s="5"/>
      <c r="G631" s="5"/>
      <c r="H631" s="5"/>
      <c r="I631" s="5"/>
      <c r="J631" s="5"/>
    </row>
    <row r="632" spans="1:10">
      <c r="A632" s="5"/>
      <c r="B632" s="5"/>
      <c r="C632" s="5"/>
      <c r="D632" s="5"/>
      <c r="E632" s="5"/>
      <c r="F632" s="5"/>
      <c r="G632" s="5"/>
      <c r="H632" s="5"/>
      <c r="I632" s="5"/>
      <c r="J632" s="5"/>
    </row>
    <row r="633" spans="1:10">
      <c r="A633" s="5"/>
      <c r="B633" s="5"/>
      <c r="C633" s="5"/>
      <c r="D633" s="5"/>
      <c r="E633" s="5"/>
      <c r="F633" s="5"/>
      <c r="G633" s="5"/>
      <c r="H633" s="5"/>
      <c r="I633" s="5"/>
      <c r="J633" s="5"/>
    </row>
    <row r="634" spans="1:10">
      <c r="A634" s="5"/>
      <c r="B634" s="5"/>
      <c r="C634" s="5"/>
      <c r="D634" s="5"/>
      <c r="E634" s="5"/>
      <c r="F634" s="5"/>
      <c r="G634" s="5"/>
      <c r="H634" s="5"/>
      <c r="I634" s="5"/>
      <c r="J634" s="5"/>
    </row>
    <row r="635" spans="1:10">
      <c r="A635" s="5"/>
      <c r="B635" s="5"/>
      <c r="C635" s="5"/>
      <c r="D635" s="5"/>
      <c r="E635" s="5"/>
      <c r="F635" s="5"/>
      <c r="G635" s="5"/>
      <c r="H635" s="5"/>
      <c r="I635" s="5"/>
      <c r="J635" s="5"/>
    </row>
    <row r="636" spans="1:10">
      <c r="A636" s="5"/>
      <c r="B636" s="5"/>
      <c r="C636" s="5"/>
      <c r="D636" s="5"/>
      <c r="E636" s="5"/>
      <c r="F636" s="5"/>
      <c r="G636" s="5"/>
      <c r="H636" s="5"/>
      <c r="I636" s="5"/>
      <c r="J636" s="5"/>
    </row>
    <row r="637" spans="1:10">
      <c r="A637" s="5"/>
      <c r="B637" s="5"/>
      <c r="C637" s="5"/>
      <c r="D637" s="5"/>
      <c r="E637" s="5"/>
      <c r="F637" s="5"/>
      <c r="G637" s="5"/>
      <c r="H637" s="5"/>
      <c r="I637" s="5"/>
      <c r="J637" s="5"/>
    </row>
    <row r="638" spans="1:10">
      <c r="A638" s="5"/>
      <c r="B638" s="5"/>
      <c r="C638" s="5"/>
      <c r="D638" s="5"/>
      <c r="E638" s="5"/>
      <c r="F638" s="5"/>
      <c r="G638" s="5"/>
      <c r="H638" s="5"/>
      <c r="I638" s="5"/>
      <c r="J638" s="5"/>
    </row>
    <row r="639" spans="1:10">
      <c r="A639" s="5"/>
      <c r="B639" s="5"/>
      <c r="C639" s="5"/>
      <c r="D639" s="5"/>
      <c r="E639" s="5"/>
      <c r="F639" s="5"/>
      <c r="G639" s="5"/>
      <c r="H639" s="5"/>
      <c r="I639" s="5"/>
      <c r="J639" s="5"/>
    </row>
    <row r="640" spans="1:10">
      <c r="A640" s="5"/>
      <c r="B640" s="5"/>
      <c r="C640" s="5"/>
      <c r="D640" s="5"/>
      <c r="E640" s="5"/>
      <c r="F640" s="5"/>
      <c r="G640" s="5"/>
      <c r="H640" s="5"/>
      <c r="I640" s="5"/>
      <c r="J640" s="5"/>
    </row>
    <row r="641" spans="1:10">
      <c r="A641" s="5"/>
      <c r="B641" s="5"/>
      <c r="C641" s="5"/>
      <c r="D641" s="5"/>
      <c r="E641" s="5"/>
      <c r="F641" s="5"/>
      <c r="G641" s="5"/>
      <c r="H641" s="5"/>
      <c r="I641" s="5"/>
      <c r="J641" s="5"/>
    </row>
    <row r="642" spans="1:10">
      <c r="A642" s="5"/>
      <c r="B642" s="5"/>
      <c r="C642" s="5"/>
      <c r="D642" s="5"/>
      <c r="E642" s="5"/>
      <c r="F642" s="5"/>
      <c r="G642" s="5"/>
      <c r="H642" s="5"/>
      <c r="I642" s="5"/>
      <c r="J642" s="5"/>
    </row>
    <row r="643" spans="1:10">
      <c r="A643" s="5"/>
      <c r="B643" s="5"/>
      <c r="C643" s="5"/>
      <c r="D643" s="5"/>
      <c r="E643" s="5"/>
      <c r="F643" s="5"/>
      <c r="G643" s="5"/>
      <c r="H643" s="5"/>
      <c r="I643" s="5"/>
      <c r="J643" s="5"/>
    </row>
    <row r="644" spans="1:10">
      <c r="A644" s="5"/>
      <c r="B644" s="5"/>
      <c r="C644" s="5"/>
      <c r="D644" s="5"/>
      <c r="E644" s="5"/>
      <c r="F644" s="5"/>
      <c r="G644" s="5"/>
      <c r="H644" s="5"/>
      <c r="I644" s="5"/>
      <c r="J644" s="5"/>
    </row>
    <row r="645" spans="1:10">
      <c r="A645" s="5"/>
      <c r="B645" s="5"/>
      <c r="C645" s="5"/>
      <c r="D645" s="5"/>
      <c r="E645" s="5"/>
      <c r="F645" s="5"/>
      <c r="G645" s="5"/>
      <c r="H645" s="5"/>
      <c r="I645" s="5"/>
      <c r="J645" s="5"/>
    </row>
    <row r="646" spans="1:10">
      <c r="A646" s="5"/>
      <c r="B646" s="5"/>
      <c r="C646" s="5"/>
      <c r="D646" s="5"/>
      <c r="E646" s="5"/>
      <c r="F646" s="5"/>
      <c r="G646" s="5"/>
      <c r="H646" s="5"/>
      <c r="I646" s="5"/>
      <c r="J646" s="5"/>
    </row>
    <row r="647" spans="1:10">
      <c r="A647" s="5"/>
      <c r="B647" s="5"/>
      <c r="C647" s="5"/>
      <c r="D647" s="5"/>
      <c r="E647" s="5"/>
      <c r="F647" s="5"/>
      <c r="G647" s="5"/>
      <c r="H647" s="5"/>
      <c r="I647" s="5"/>
      <c r="J647" s="5"/>
    </row>
    <row r="648" spans="1:10">
      <c r="A648" s="5"/>
      <c r="B648" s="5"/>
      <c r="C648" s="5"/>
      <c r="D648" s="5"/>
      <c r="E648" s="5"/>
      <c r="F648" s="5"/>
      <c r="G648" s="5"/>
      <c r="H648" s="5"/>
      <c r="I648" s="5"/>
      <c r="J648" s="5"/>
    </row>
    <row r="649" spans="1:10">
      <c r="A649" s="5"/>
      <c r="B649" s="5"/>
      <c r="C649" s="5"/>
      <c r="D649" s="5"/>
      <c r="E649" s="5"/>
      <c r="F649" s="5"/>
      <c r="G649" s="5"/>
      <c r="H649" s="5"/>
      <c r="I649" s="5"/>
      <c r="J649" s="5"/>
    </row>
    <row r="650" spans="1:10">
      <c r="A650" s="5"/>
      <c r="B650" s="5"/>
      <c r="C650" s="5"/>
      <c r="D650" s="5"/>
      <c r="E650" s="5"/>
      <c r="F650" s="5"/>
      <c r="G650" s="5"/>
      <c r="H650" s="5"/>
      <c r="I650" s="5"/>
      <c r="J650" s="5"/>
    </row>
    <row r="651" spans="1:10">
      <c r="A651" s="5"/>
      <c r="B651" s="5"/>
      <c r="C651" s="5"/>
      <c r="D651" s="5"/>
      <c r="E651" s="5"/>
      <c r="F651" s="5"/>
      <c r="G651" s="5"/>
      <c r="H651" s="5"/>
      <c r="I651" s="5"/>
      <c r="J651" s="5"/>
    </row>
    <row r="652" spans="1:10">
      <c r="A652" s="5"/>
      <c r="B652" s="5"/>
      <c r="C652" s="5"/>
      <c r="D652" s="5"/>
      <c r="E652" s="5"/>
      <c r="F652" s="5"/>
      <c r="G652" s="5"/>
      <c r="H652" s="5"/>
      <c r="I652" s="5"/>
      <c r="J652" s="5"/>
    </row>
    <row r="653" spans="1:10">
      <c r="A653" s="5"/>
      <c r="B653" s="5"/>
      <c r="C653" s="5"/>
      <c r="D653" s="5"/>
      <c r="E653" s="5"/>
      <c r="F653" s="5"/>
      <c r="G653" s="5"/>
      <c r="H653" s="5"/>
      <c r="I653" s="5"/>
      <c r="J653" s="5"/>
    </row>
    <row r="654" spans="1:10">
      <c r="A654" s="5"/>
      <c r="B654" s="5"/>
      <c r="C654" s="5"/>
      <c r="D654" s="5"/>
      <c r="E654" s="5"/>
      <c r="F654" s="5"/>
      <c r="G654" s="5"/>
      <c r="H654" s="5"/>
      <c r="I654" s="5"/>
      <c r="J654" s="5"/>
    </row>
    <row r="655" spans="1:10">
      <c r="A655" s="5"/>
      <c r="B655" s="5"/>
      <c r="C655" s="5"/>
      <c r="D655" s="5"/>
      <c r="E655" s="5"/>
      <c r="F655" s="5"/>
      <c r="G655" s="5"/>
      <c r="H655" s="5"/>
      <c r="I655" s="5"/>
      <c r="J655" s="5"/>
    </row>
    <row r="656" spans="1:10">
      <c r="A656" s="5"/>
      <c r="B656" s="5"/>
      <c r="C656" s="5"/>
      <c r="D656" s="5"/>
      <c r="E656" s="5"/>
      <c r="F656" s="5"/>
      <c r="G656" s="5"/>
      <c r="H656" s="5"/>
      <c r="I656" s="5"/>
      <c r="J656" s="5"/>
    </row>
    <row r="657" spans="1:10">
      <c r="A657" s="5"/>
      <c r="B657" s="5"/>
      <c r="C657" s="5"/>
      <c r="D657" s="5"/>
      <c r="E657" s="5"/>
      <c r="F657" s="5"/>
      <c r="G657" s="5"/>
      <c r="H657" s="5"/>
      <c r="I657" s="5"/>
      <c r="J657" s="5"/>
    </row>
    <row r="658" spans="1:10">
      <c r="A658" s="5"/>
      <c r="B658" s="5"/>
      <c r="C658" s="5"/>
      <c r="D658" s="5"/>
      <c r="E658" s="5"/>
      <c r="F658" s="5"/>
      <c r="G658" s="5"/>
      <c r="H658" s="5"/>
      <c r="I658" s="5"/>
      <c r="J658" s="5"/>
    </row>
    <row r="659" spans="1:10">
      <c r="A659" s="5"/>
      <c r="B659" s="5"/>
      <c r="C659" s="5"/>
      <c r="D659" s="5"/>
      <c r="E659" s="5"/>
      <c r="F659" s="5"/>
      <c r="G659" s="5"/>
      <c r="H659" s="5"/>
      <c r="I659" s="5"/>
      <c r="J659" s="5"/>
    </row>
    <row r="660" spans="1:10">
      <c r="A660" s="5"/>
      <c r="B660" s="5"/>
      <c r="C660" s="5"/>
      <c r="D660" s="5"/>
      <c r="E660" s="5"/>
      <c r="F660" s="5"/>
      <c r="G660" s="5"/>
      <c r="H660" s="5"/>
      <c r="I660" s="5"/>
      <c r="J660" s="5"/>
    </row>
    <row r="661" spans="1:10">
      <c r="A661" s="5"/>
      <c r="B661" s="5"/>
      <c r="C661" s="5"/>
      <c r="D661" s="5"/>
      <c r="E661" s="5"/>
      <c r="F661" s="5"/>
      <c r="G661" s="5"/>
      <c r="H661" s="5"/>
      <c r="I661" s="5"/>
      <c r="J661" s="5"/>
    </row>
    <row r="662" spans="1:10">
      <c r="A662" s="5"/>
      <c r="B662" s="5"/>
      <c r="C662" s="5"/>
      <c r="D662" s="5"/>
      <c r="E662" s="5"/>
      <c r="F662" s="5"/>
      <c r="G662" s="5"/>
      <c r="H662" s="5"/>
      <c r="I662" s="5"/>
      <c r="J662" s="5"/>
    </row>
    <row r="663" spans="1:10">
      <c r="A663" s="5"/>
      <c r="B663" s="5"/>
      <c r="C663" s="5"/>
      <c r="D663" s="5"/>
      <c r="E663" s="5"/>
      <c r="F663" s="5"/>
      <c r="G663" s="5"/>
      <c r="H663" s="5"/>
      <c r="I663" s="5"/>
      <c r="J663" s="5"/>
    </row>
    <row r="664" spans="1:10">
      <c r="A664" s="5"/>
      <c r="B664" s="5"/>
      <c r="C664" s="5"/>
      <c r="D664" s="5"/>
      <c r="E664" s="5"/>
      <c r="F664" s="5"/>
      <c r="G664" s="5"/>
      <c r="H664" s="5"/>
      <c r="I664" s="5"/>
      <c r="J664" s="5"/>
    </row>
    <row r="665" spans="1:10">
      <c r="A665" s="5"/>
      <c r="B665" s="5"/>
      <c r="C665" s="5"/>
      <c r="D665" s="5"/>
      <c r="E665" s="5"/>
      <c r="F665" s="5"/>
      <c r="G665" s="5"/>
      <c r="H665" s="5"/>
      <c r="I665" s="5"/>
      <c r="J665" s="5"/>
    </row>
    <row r="666" spans="1:10">
      <c r="A666" s="5"/>
      <c r="B666" s="5"/>
      <c r="C666" s="5"/>
      <c r="D666" s="5"/>
      <c r="E666" s="5"/>
      <c r="F666" s="5"/>
      <c r="G666" s="5"/>
      <c r="H666" s="5"/>
      <c r="I666" s="5"/>
      <c r="J666" s="5"/>
    </row>
    <row r="667" spans="1:10">
      <c r="A667" s="5"/>
      <c r="B667" s="5"/>
      <c r="C667" s="5"/>
      <c r="D667" s="5"/>
      <c r="E667" s="5"/>
      <c r="F667" s="5"/>
      <c r="G667" s="5"/>
      <c r="H667" s="5"/>
      <c r="I667" s="5"/>
      <c r="J667" s="5"/>
    </row>
    <row r="668" spans="1:10">
      <c r="A668" s="5"/>
      <c r="B668" s="5"/>
      <c r="C668" s="5"/>
      <c r="D668" s="5"/>
      <c r="E668" s="5"/>
      <c r="F668" s="5"/>
      <c r="G668" s="5"/>
      <c r="H668" s="5"/>
      <c r="I668" s="5"/>
      <c r="J668" s="5"/>
    </row>
    <row r="669" spans="1:10">
      <c r="A669" s="5"/>
      <c r="B669" s="5"/>
      <c r="C669" s="5"/>
      <c r="D669" s="5"/>
      <c r="E669" s="5"/>
      <c r="F669" s="5"/>
      <c r="G669" s="5"/>
      <c r="H669" s="5"/>
      <c r="I669" s="5"/>
      <c r="J669" s="5"/>
    </row>
    <row r="670" spans="1:10">
      <c r="A670" s="5"/>
      <c r="B670" s="5"/>
      <c r="C670" s="5"/>
      <c r="D670" s="5"/>
      <c r="E670" s="5"/>
      <c r="F670" s="5"/>
      <c r="G670" s="5"/>
      <c r="H670" s="5"/>
      <c r="I670" s="5"/>
      <c r="J670" s="5"/>
    </row>
    <row r="671" spans="1:10">
      <c r="A671" s="5"/>
      <c r="B671" s="5"/>
      <c r="C671" s="5"/>
      <c r="D671" s="5"/>
      <c r="E671" s="5"/>
      <c r="F671" s="5"/>
      <c r="G671" s="5"/>
      <c r="H671" s="5"/>
      <c r="I671" s="5"/>
      <c r="J671" s="5"/>
    </row>
    <row r="672" spans="1:10">
      <c r="A672" s="5"/>
      <c r="B672" s="5"/>
      <c r="C672" s="5"/>
      <c r="D672" s="5"/>
      <c r="E672" s="5"/>
      <c r="F672" s="5"/>
      <c r="G672" s="5"/>
      <c r="H672" s="5"/>
      <c r="I672" s="5"/>
      <c r="J672" s="5"/>
    </row>
    <row r="673" spans="1:10">
      <c r="A673" s="5"/>
      <c r="B673" s="5"/>
      <c r="C673" s="5"/>
      <c r="D673" s="5"/>
      <c r="E673" s="5"/>
      <c r="F673" s="5"/>
      <c r="G673" s="5"/>
      <c r="H673" s="5"/>
      <c r="I673" s="5"/>
      <c r="J673" s="5"/>
    </row>
    <row r="674" spans="1:10">
      <c r="A674" s="5"/>
      <c r="B674" s="5"/>
      <c r="C674" s="5"/>
      <c r="D674" s="5"/>
      <c r="E674" s="5"/>
      <c r="F674" s="5"/>
      <c r="G674" s="5"/>
      <c r="H674" s="5"/>
      <c r="I674" s="5"/>
      <c r="J674" s="5"/>
    </row>
    <row r="675" spans="1:10">
      <c r="A675" s="5"/>
      <c r="B675" s="5"/>
      <c r="C675" s="5"/>
      <c r="D675" s="5"/>
      <c r="E675" s="5"/>
      <c r="F675" s="5"/>
      <c r="G675" s="5"/>
      <c r="H675" s="5"/>
      <c r="I675" s="5"/>
      <c r="J675" s="5"/>
    </row>
    <row r="676" spans="1:10">
      <c r="A676" s="5"/>
      <c r="B676" s="5"/>
      <c r="C676" s="5"/>
      <c r="D676" s="5"/>
      <c r="E676" s="5"/>
      <c r="F676" s="5"/>
      <c r="G676" s="5"/>
      <c r="H676" s="5"/>
      <c r="I676" s="5"/>
      <c r="J676" s="5"/>
    </row>
    <row r="677" spans="1:10">
      <c r="A677" s="5"/>
      <c r="B677" s="5"/>
      <c r="C677" s="5"/>
      <c r="D677" s="5"/>
      <c r="E677" s="5"/>
      <c r="F677" s="5"/>
      <c r="G677" s="5"/>
      <c r="H677" s="5"/>
      <c r="I677" s="5"/>
      <c r="J677" s="5"/>
    </row>
    <row r="678" spans="1:10">
      <c r="A678" s="5"/>
      <c r="B678" s="5"/>
      <c r="C678" s="5"/>
      <c r="D678" s="5"/>
      <c r="E678" s="5"/>
      <c r="F678" s="5"/>
      <c r="G678" s="5"/>
      <c r="H678" s="5"/>
      <c r="I678" s="5"/>
      <c r="J678" s="5"/>
    </row>
    <row r="679" spans="1:10">
      <c r="A679" s="5"/>
      <c r="B679" s="5"/>
      <c r="C679" s="5"/>
      <c r="D679" s="5"/>
      <c r="E679" s="5"/>
      <c r="F679" s="5"/>
      <c r="G679" s="5"/>
      <c r="H679" s="5"/>
      <c r="I679" s="5"/>
      <c r="J679" s="5"/>
    </row>
    <row r="680" spans="1:10">
      <c r="A680" s="5"/>
      <c r="B680" s="5"/>
      <c r="C680" s="5"/>
      <c r="D680" s="5"/>
      <c r="E680" s="5"/>
      <c r="F680" s="5"/>
      <c r="G680" s="5"/>
      <c r="H680" s="5"/>
      <c r="I680" s="5"/>
      <c r="J680" s="5"/>
    </row>
    <row r="681" spans="1:10">
      <c r="A681" s="5"/>
      <c r="B681" s="5"/>
      <c r="C681" s="5"/>
      <c r="D681" s="5"/>
      <c r="E681" s="5"/>
      <c r="F681" s="5"/>
      <c r="G681" s="5"/>
      <c r="H681" s="5"/>
      <c r="I681" s="5"/>
      <c r="J681" s="5"/>
    </row>
    <row r="682" spans="1:10">
      <c r="A682" s="5"/>
      <c r="B682" s="5"/>
      <c r="C682" s="5"/>
      <c r="D682" s="5"/>
      <c r="E682" s="5"/>
      <c r="F682" s="5"/>
      <c r="G682" s="5"/>
      <c r="H682" s="5"/>
      <c r="I682" s="5"/>
      <c r="J682" s="5"/>
    </row>
    <row r="683" spans="1:10">
      <c r="A683" s="5"/>
      <c r="B683" s="5"/>
      <c r="C683" s="5"/>
      <c r="D683" s="5"/>
      <c r="E683" s="5"/>
      <c r="F683" s="5"/>
      <c r="G683" s="5"/>
      <c r="H683" s="5"/>
      <c r="I683" s="5"/>
      <c r="J683" s="5"/>
    </row>
    <row r="684" spans="1:10">
      <c r="A684" s="5"/>
      <c r="B684" s="5"/>
      <c r="C684" s="5"/>
      <c r="D684" s="5"/>
      <c r="E684" s="5"/>
      <c r="F684" s="5"/>
      <c r="G684" s="5"/>
      <c r="H684" s="5"/>
      <c r="I684" s="5"/>
      <c r="J684" s="5"/>
    </row>
    <row r="685" spans="1:10">
      <c r="A685" s="5"/>
      <c r="B685" s="5"/>
      <c r="C685" s="5"/>
      <c r="D685" s="5"/>
      <c r="E685" s="5"/>
      <c r="F685" s="5"/>
      <c r="G685" s="5"/>
      <c r="H685" s="5"/>
      <c r="I685" s="5"/>
      <c r="J685" s="5"/>
    </row>
    <row r="686" spans="1:10">
      <c r="A686" s="5"/>
      <c r="B686" s="5"/>
      <c r="C686" s="5"/>
      <c r="D686" s="5"/>
      <c r="E686" s="5"/>
      <c r="F686" s="5"/>
      <c r="G686" s="5"/>
      <c r="H686" s="5"/>
      <c r="I686" s="5"/>
      <c r="J686" s="5"/>
    </row>
    <row r="687" spans="1:10">
      <c r="A687" s="5"/>
      <c r="B687" s="5"/>
      <c r="C687" s="5"/>
      <c r="D687" s="5"/>
      <c r="E687" s="5"/>
      <c r="F687" s="5"/>
      <c r="G687" s="5"/>
      <c r="H687" s="5"/>
      <c r="I687" s="5"/>
      <c r="J687" s="5"/>
    </row>
    <row r="688" spans="1:10">
      <c r="A688" s="5"/>
      <c r="B688" s="5"/>
      <c r="C688" s="5"/>
      <c r="D688" s="5"/>
      <c r="E688" s="5"/>
      <c r="F688" s="5"/>
      <c r="G688" s="5"/>
      <c r="H688" s="5"/>
      <c r="I688" s="5"/>
      <c r="J688" s="5"/>
    </row>
    <row r="689" spans="1:10">
      <c r="A689" s="5"/>
      <c r="B689" s="5"/>
      <c r="C689" s="5"/>
      <c r="D689" s="5"/>
      <c r="E689" s="5"/>
      <c r="F689" s="5"/>
      <c r="G689" s="5"/>
      <c r="H689" s="5"/>
      <c r="I689" s="5"/>
      <c r="J689" s="5"/>
    </row>
    <row r="690" spans="1:10">
      <c r="A690" s="5"/>
      <c r="B690" s="5"/>
      <c r="C690" s="5"/>
      <c r="D690" s="5"/>
      <c r="E690" s="5"/>
      <c r="F690" s="5"/>
      <c r="G690" s="5"/>
      <c r="H690" s="5"/>
      <c r="I690" s="5"/>
      <c r="J690" s="5"/>
    </row>
    <row r="691" spans="1:10">
      <c r="A691" s="5"/>
      <c r="B691" s="5"/>
      <c r="C691" s="5"/>
      <c r="D691" s="5"/>
      <c r="E691" s="5"/>
      <c r="F691" s="5"/>
      <c r="G691" s="5"/>
      <c r="H691" s="5"/>
      <c r="I691" s="5"/>
      <c r="J691" s="5"/>
    </row>
    <row r="692" spans="1:10">
      <c r="A692" s="5"/>
      <c r="B692" s="5"/>
      <c r="C692" s="5"/>
      <c r="D692" s="5"/>
      <c r="E692" s="5"/>
      <c r="F692" s="5"/>
      <c r="G692" s="5"/>
      <c r="H692" s="5"/>
      <c r="I692" s="5"/>
      <c r="J692" s="5"/>
    </row>
    <row r="693" spans="1:10">
      <c r="A693" s="5"/>
      <c r="B693" s="5"/>
      <c r="C693" s="5"/>
      <c r="D693" s="5"/>
      <c r="E693" s="5"/>
      <c r="F693" s="5"/>
      <c r="G693" s="5"/>
      <c r="H693" s="5"/>
      <c r="I693" s="5"/>
      <c r="J693" s="5"/>
    </row>
    <row r="694" spans="1:10">
      <c r="A694" s="5"/>
      <c r="B694" s="5"/>
      <c r="C694" s="5"/>
      <c r="D694" s="5"/>
      <c r="E694" s="5"/>
      <c r="F694" s="5"/>
      <c r="G694" s="5"/>
      <c r="H694" s="5"/>
      <c r="I694" s="5"/>
      <c r="J694" s="5"/>
    </row>
    <row r="695" spans="1:10">
      <c r="A695" s="5"/>
      <c r="B695" s="5"/>
      <c r="C695" s="5"/>
      <c r="D695" s="5"/>
      <c r="E695" s="5"/>
      <c r="F695" s="5"/>
      <c r="G695" s="5"/>
      <c r="H695" s="5"/>
      <c r="I695" s="5"/>
      <c r="J695" s="5"/>
    </row>
    <row r="696" spans="1:10">
      <c r="A696" s="5"/>
      <c r="B696" s="5"/>
      <c r="C696" s="5"/>
      <c r="D696" s="5"/>
      <c r="E696" s="5"/>
      <c r="F696" s="5"/>
      <c r="G696" s="5"/>
      <c r="H696" s="5"/>
      <c r="I696" s="5"/>
      <c r="J696" s="5"/>
    </row>
    <row r="697" spans="1:10">
      <c r="A697" s="5"/>
      <c r="B697" s="5"/>
      <c r="C697" s="5"/>
      <c r="D697" s="5"/>
      <c r="E697" s="5"/>
      <c r="F697" s="5"/>
      <c r="G697" s="5"/>
      <c r="H697" s="5"/>
      <c r="I697" s="5"/>
      <c r="J697" s="5"/>
    </row>
    <row r="698" spans="1:10">
      <c r="A698" s="5"/>
      <c r="B698" s="5"/>
      <c r="C698" s="5"/>
      <c r="D698" s="5"/>
      <c r="E698" s="5"/>
      <c r="F698" s="5"/>
      <c r="G698" s="5"/>
      <c r="H698" s="5"/>
      <c r="I698" s="5"/>
      <c r="J698" s="5"/>
    </row>
    <row r="699" spans="1:10">
      <c r="A699" s="5"/>
      <c r="B699" s="5"/>
      <c r="C699" s="5"/>
      <c r="D699" s="5"/>
      <c r="E699" s="5"/>
      <c r="F699" s="5"/>
      <c r="G699" s="5"/>
      <c r="H699" s="5"/>
      <c r="I699" s="5"/>
      <c r="J699" s="5"/>
    </row>
    <row r="700" spans="1:10">
      <c r="A700" s="5"/>
      <c r="B700" s="5"/>
      <c r="C700" s="5"/>
      <c r="D700" s="5"/>
      <c r="E700" s="5"/>
      <c r="F700" s="5"/>
      <c r="G700" s="5"/>
      <c r="H700" s="5"/>
      <c r="I700" s="5"/>
      <c r="J700" s="5"/>
    </row>
    <row r="701" spans="1:10">
      <c r="A701" s="5"/>
      <c r="B701" s="5"/>
      <c r="C701" s="5"/>
      <c r="D701" s="5"/>
      <c r="E701" s="5"/>
      <c r="F701" s="5"/>
      <c r="G701" s="5"/>
      <c r="H701" s="5"/>
      <c r="I701" s="5"/>
      <c r="J701" s="5"/>
    </row>
    <row r="702" spans="1:10">
      <c r="A702" s="5"/>
      <c r="B702" s="5"/>
      <c r="C702" s="5"/>
      <c r="D702" s="5"/>
      <c r="E702" s="5"/>
      <c r="F702" s="5"/>
      <c r="G702" s="5"/>
      <c r="H702" s="5"/>
      <c r="I702" s="5"/>
      <c r="J702" s="5"/>
    </row>
    <row r="703" spans="1:10">
      <c r="A703" s="5"/>
      <c r="B703" s="5"/>
      <c r="C703" s="5"/>
      <c r="D703" s="5"/>
      <c r="E703" s="5"/>
      <c r="F703" s="5"/>
      <c r="G703" s="5"/>
      <c r="H703" s="5"/>
      <c r="I703" s="5"/>
      <c r="J703" s="5"/>
    </row>
    <row r="704" spans="1:10">
      <c r="A704" s="5"/>
      <c r="B704" s="5"/>
      <c r="C704" s="5"/>
      <c r="D704" s="5"/>
      <c r="E704" s="5"/>
      <c r="F704" s="5"/>
      <c r="G704" s="5"/>
      <c r="H704" s="5"/>
      <c r="I704" s="5"/>
      <c r="J704" s="5"/>
    </row>
    <row r="705" spans="1:10">
      <c r="A705" s="5"/>
      <c r="B705" s="5"/>
      <c r="C705" s="5"/>
      <c r="D705" s="5"/>
      <c r="E705" s="5"/>
      <c r="F705" s="5"/>
      <c r="G705" s="5"/>
      <c r="H705" s="5"/>
      <c r="I705" s="5"/>
      <c r="J705" s="5"/>
    </row>
    <row r="706" spans="1:10">
      <c r="A706" s="5"/>
      <c r="B706" s="5"/>
      <c r="C706" s="5"/>
      <c r="D706" s="5"/>
      <c r="E706" s="5"/>
      <c r="F706" s="5"/>
      <c r="G706" s="5"/>
      <c r="H706" s="5"/>
      <c r="I706" s="5"/>
      <c r="J706" s="5"/>
    </row>
    <row r="707" spans="1:10">
      <c r="A707" s="5"/>
      <c r="B707" s="5"/>
      <c r="C707" s="5"/>
      <c r="D707" s="5"/>
      <c r="E707" s="5"/>
      <c r="F707" s="5"/>
      <c r="G707" s="5"/>
      <c r="H707" s="5"/>
      <c r="I707" s="5"/>
      <c r="J707" s="5"/>
    </row>
    <row r="708" spans="1:10">
      <c r="A708" s="5"/>
      <c r="B708" s="5"/>
      <c r="C708" s="5"/>
      <c r="D708" s="5"/>
      <c r="E708" s="5"/>
      <c r="F708" s="5"/>
      <c r="G708" s="5"/>
      <c r="H708" s="5"/>
      <c r="I708" s="5"/>
      <c r="J708" s="5"/>
    </row>
    <row r="709" spans="1:10">
      <c r="A709" s="5"/>
      <c r="B709" s="5"/>
      <c r="C709" s="5"/>
      <c r="D709" s="5"/>
      <c r="E709" s="5"/>
      <c r="F709" s="5"/>
      <c r="G709" s="5"/>
      <c r="H709" s="5"/>
      <c r="I709" s="5"/>
      <c r="J709" s="5"/>
    </row>
    <row r="710" spans="1:10">
      <c r="A710" s="5"/>
      <c r="B710" s="5"/>
      <c r="C710" s="5"/>
      <c r="D710" s="5"/>
      <c r="E710" s="5"/>
      <c r="F710" s="5"/>
      <c r="G710" s="5"/>
      <c r="H710" s="5"/>
      <c r="I710" s="5"/>
      <c r="J710" s="5"/>
    </row>
    <row r="711" spans="1:10">
      <c r="A711" s="5"/>
      <c r="B711" s="5"/>
      <c r="C711" s="5"/>
      <c r="D711" s="5"/>
      <c r="E711" s="5"/>
      <c r="F711" s="5"/>
      <c r="G711" s="5"/>
      <c r="H711" s="5"/>
      <c r="I711" s="5"/>
      <c r="J711" s="5"/>
    </row>
    <row r="712" spans="1:10">
      <c r="A712" s="5"/>
      <c r="B712" s="5"/>
      <c r="C712" s="5"/>
      <c r="D712" s="5"/>
      <c r="E712" s="5"/>
      <c r="F712" s="5"/>
      <c r="G712" s="5"/>
      <c r="H712" s="5"/>
      <c r="I712" s="5"/>
      <c r="J712" s="5"/>
    </row>
    <row r="713" spans="1:10">
      <c r="A713" s="5"/>
      <c r="B713" s="5"/>
      <c r="C713" s="5"/>
      <c r="D713" s="5"/>
      <c r="E713" s="5"/>
      <c r="F713" s="5"/>
      <c r="G713" s="5"/>
      <c r="H713" s="5"/>
      <c r="I713" s="5"/>
      <c r="J713" s="5"/>
    </row>
    <row r="714" spans="1:10">
      <c r="A714" s="5"/>
      <c r="B714" s="5"/>
      <c r="C714" s="5"/>
      <c r="D714" s="5"/>
      <c r="E714" s="5"/>
      <c r="F714" s="5"/>
      <c r="G714" s="5"/>
      <c r="H714" s="5"/>
      <c r="I714" s="5"/>
      <c r="J714" s="5"/>
    </row>
    <row r="715" spans="1:10">
      <c r="A715" s="5"/>
      <c r="B715" s="5"/>
      <c r="C715" s="5"/>
      <c r="D715" s="5"/>
      <c r="E715" s="5"/>
      <c r="F715" s="5"/>
      <c r="G715" s="5"/>
      <c r="H715" s="5"/>
      <c r="I715" s="5"/>
      <c r="J715" s="5"/>
    </row>
    <row r="716" spans="1:10">
      <c r="A716" s="5"/>
      <c r="B716" s="5"/>
      <c r="C716" s="5"/>
      <c r="D716" s="5"/>
      <c r="E716" s="5"/>
      <c r="F716" s="5"/>
      <c r="G716" s="5"/>
      <c r="H716" s="5"/>
      <c r="I716" s="5"/>
      <c r="J716" s="5"/>
    </row>
    <row r="717" spans="1:10">
      <c r="A717" s="5"/>
      <c r="B717" s="5"/>
      <c r="C717" s="5"/>
      <c r="D717" s="5"/>
      <c r="E717" s="5"/>
      <c r="F717" s="5"/>
      <c r="G717" s="5"/>
      <c r="H717" s="5"/>
      <c r="I717" s="5"/>
      <c r="J717" s="5"/>
    </row>
    <row r="718" spans="1:10">
      <c r="A718" s="5"/>
      <c r="B718" s="5"/>
      <c r="C718" s="5"/>
      <c r="D718" s="5"/>
      <c r="E718" s="5"/>
      <c r="F718" s="5"/>
      <c r="G718" s="5"/>
      <c r="H718" s="5"/>
      <c r="I718" s="5"/>
      <c r="J718" s="5"/>
    </row>
    <row r="719" spans="1:10">
      <c r="A719" s="5"/>
      <c r="B719" s="5"/>
      <c r="C719" s="5"/>
      <c r="D719" s="5"/>
      <c r="E719" s="5"/>
      <c r="F719" s="5"/>
      <c r="G719" s="5"/>
      <c r="H719" s="5"/>
      <c r="I719" s="5"/>
      <c r="J719" s="5"/>
    </row>
    <row r="720" spans="1:10">
      <c r="A720" s="5"/>
      <c r="B720" s="5"/>
      <c r="C720" s="5"/>
      <c r="D720" s="5"/>
      <c r="E720" s="5"/>
      <c r="F720" s="5"/>
      <c r="G720" s="5"/>
      <c r="H720" s="5"/>
      <c r="I720" s="5"/>
      <c r="J720" s="5"/>
    </row>
    <row r="721" spans="1:10">
      <c r="A721" s="5"/>
      <c r="B721" s="5"/>
      <c r="C721" s="5"/>
      <c r="D721" s="5"/>
      <c r="E721" s="5"/>
      <c r="F721" s="5"/>
      <c r="G721" s="5"/>
      <c r="H721" s="5"/>
      <c r="I721" s="5"/>
      <c r="J721" s="5"/>
    </row>
    <row r="722" spans="1:10">
      <c r="A722" s="5"/>
      <c r="B722" s="5"/>
      <c r="C722" s="5"/>
      <c r="D722" s="5"/>
      <c r="E722" s="5"/>
      <c r="F722" s="5"/>
      <c r="G722" s="5"/>
      <c r="H722" s="5"/>
      <c r="I722" s="5"/>
      <c r="J722" s="5"/>
    </row>
    <row r="723" spans="1:10">
      <c r="A723" s="5"/>
      <c r="B723" s="5"/>
      <c r="C723" s="5"/>
      <c r="D723" s="5"/>
      <c r="E723" s="5"/>
      <c r="F723" s="5"/>
      <c r="G723" s="5"/>
      <c r="H723" s="5"/>
      <c r="I723" s="5"/>
      <c r="J723" s="5"/>
    </row>
    <row r="724" spans="1:10">
      <c r="A724" s="5"/>
      <c r="B724" s="5"/>
      <c r="C724" s="5"/>
      <c r="D724" s="5"/>
      <c r="E724" s="5"/>
      <c r="F724" s="5"/>
      <c r="G724" s="5"/>
      <c r="H724" s="5"/>
      <c r="I724" s="5"/>
      <c r="J724" s="5"/>
    </row>
    <row r="725" spans="1:10">
      <c r="A725" s="5"/>
      <c r="B725" s="5"/>
      <c r="C725" s="5"/>
      <c r="D725" s="5"/>
      <c r="E725" s="5"/>
      <c r="F725" s="5"/>
      <c r="G725" s="5"/>
      <c r="H725" s="5"/>
      <c r="I725" s="5"/>
      <c r="J725" s="5"/>
    </row>
    <row r="726" spans="1:10">
      <c r="A726" s="5"/>
      <c r="B726" s="5"/>
      <c r="C726" s="5"/>
      <c r="D726" s="5"/>
      <c r="E726" s="5"/>
      <c r="F726" s="5"/>
      <c r="G726" s="5"/>
      <c r="H726" s="5"/>
      <c r="I726" s="5"/>
      <c r="J726" s="5"/>
    </row>
    <row r="727" spans="1:10">
      <c r="A727" s="5"/>
      <c r="B727" s="5"/>
      <c r="C727" s="5"/>
      <c r="D727" s="5"/>
      <c r="E727" s="5"/>
      <c r="F727" s="5"/>
      <c r="G727" s="5"/>
      <c r="H727" s="5"/>
      <c r="I727" s="5"/>
      <c r="J727" s="5"/>
    </row>
    <row r="728" spans="1:10">
      <c r="A728" s="5"/>
      <c r="B728" s="5"/>
      <c r="C728" s="5"/>
      <c r="D728" s="5"/>
      <c r="E728" s="5"/>
      <c r="F728" s="5"/>
      <c r="G728" s="5"/>
      <c r="H728" s="5"/>
      <c r="I728" s="5"/>
      <c r="J728" s="5"/>
    </row>
    <row r="729" spans="1:10">
      <c r="A729" s="5"/>
      <c r="B729" s="5"/>
      <c r="C729" s="5"/>
      <c r="D729" s="5"/>
      <c r="E729" s="5"/>
      <c r="F729" s="5"/>
      <c r="G729" s="5"/>
      <c r="H729" s="5"/>
      <c r="I729" s="5"/>
      <c r="J729" s="5"/>
    </row>
    <row r="730" spans="1:10">
      <c r="A730" s="5"/>
      <c r="B730" s="5"/>
      <c r="C730" s="5"/>
      <c r="D730" s="5"/>
      <c r="E730" s="5"/>
      <c r="F730" s="5"/>
      <c r="G730" s="5"/>
      <c r="H730" s="5"/>
      <c r="I730" s="5"/>
      <c r="J730" s="5"/>
    </row>
    <row r="731" spans="1:10">
      <c r="A731" s="5"/>
      <c r="B731" s="5"/>
      <c r="C731" s="5"/>
      <c r="D731" s="5"/>
      <c r="E731" s="5"/>
      <c r="F731" s="5"/>
      <c r="G731" s="5"/>
      <c r="H731" s="5"/>
      <c r="I731" s="5"/>
      <c r="J731" s="5"/>
    </row>
    <row r="732" spans="1:10">
      <c r="A732" s="5"/>
      <c r="B732" s="5"/>
      <c r="C732" s="5"/>
      <c r="D732" s="5"/>
      <c r="E732" s="5"/>
      <c r="F732" s="5"/>
      <c r="G732" s="5"/>
      <c r="H732" s="5"/>
      <c r="I732" s="5"/>
      <c r="J732" s="5"/>
    </row>
    <row r="733" spans="1:10">
      <c r="A733" s="5"/>
      <c r="B733" s="5"/>
      <c r="C733" s="5"/>
      <c r="D733" s="5"/>
      <c r="E733" s="5"/>
      <c r="F733" s="5"/>
      <c r="G733" s="5"/>
      <c r="H733" s="5"/>
      <c r="I733" s="5"/>
      <c r="J733" s="5"/>
    </row>
    <row r="734" spans="1:10">
      <c r="A734" s="5"/>
      <c r="B734" s="5"/>
      <c r="C734" s="5"/>
      <c r="D734" s="5"/>
      <c r="E734" s="5"/>
      <c r="F734" s="5"/>
      <c r="G734" s="5"/>
      <c r="H734" s="5"/>
      <c r="I734" s="5"/>
      <c r="J734" s="5"/>
    </row>
    <row r="735" spans="1:10">
      <c r="A735" s="5"/>
      <c r="B735" s="5"/>
      <c r="C735" s="5"/>
      <c r="D735" s="5"/>
      <c r="E735" s="5"/>
      <c r="F735" s="5"/>
      <c r="G735" s="5"/>
      <c r="H735" s="5"/>
      <c r="I735" s="5"/>
      <c r="J735" s="5"/>
    </row>
    <row r="736" spans="1:10">
      <c r="A736" s="5"/>
      <c r="B736" s="5"/>
      <c r="C736" s="5"/>
      <c r="D736" s="5"/>
      <c r="E736" s="5"/>
      <c r="F736" s="5"/>
      <c r="G736" s="5"/>
      <c r="H736" s="5"/>
      <c r="I736" s="5"/>
      <c r="J736" s="5"/>
    </row>
    <row r="737" spans="1:10">
      <c r="A737" s="5"/>
      <c r="B737" s="5"/>
      <c r="C737" s="5"/>
      <c r="D737" s="5"/>
      <c r="E737" s="5"/>
      <c r="F737" s="5"/>
      <c r="G737" s="5"/>
      <c r="H737" s="5"/>
      <c r="I737" s="5"/>
      <c r="J737" s="5"/>
    </row>
    <row r="738" spans="1:10">
      <c r="A738" s="5"/>
      <c r="B738" s="5"/>
      <c r="C738" s="5"/>
      <c r="D738" s="5"/>
      <c r="E738" s="5"/>
      <c r="F738" s="5"/>
      <c r="G738" s="5"/>
      <c r="H738" s="5"/>
      <c r="I738" s="5"/>
      <c r="J738" s="5"/>
    </row>
    <row r="739" spans="1:10">
      <c r="A739" s="5"/>
      <c r="B739" s="5"/>
      <c r="C739" s="5"/>
      <c r="D739" s="5"/>
      <c r="E739" s="5"/>
      <c r="F739" s="5"/>
      <c r="G739" s="5"/>
      <c r="H739" s="5"/>
      <c r="I739" s="5"/>
      <c r="J739" s="5"/>
    </row>
    <row r="740" spans="1:10">
      <c r="A740" s="5"/>
      <c r="B740" s="5"/>
      <c r="C740" s="5"/>
      <c r="D740" s="5"/>
      <c r="E740" s="5"/>
      <c r="F740" s="5"/>
      <c r="G740" s="5"/>
      <c r="H740" s="5"/>
      <c r="I740" s="5"/>
      <c r="J740" s="5"/>
    </row>
    <row r="741" spans="1:10">
      <c r="A741" s="5"/>
      <c r="B741" s="5"/>
      <c r="C741" s="5"/>
      <c r="D741" s="5"/>
      <c r="E741" s="5"/>
      <c r="F741" s="5"/>
      <c r="G741" s="5"/>
      <c r="H741" s="5"/>
      <c r="I741" s="5"/>
      <c r="J741" s="5"/>
    </row>
    <row r="742" spans="1:10">
      <c r="A742" s="5"/>
      <c r="B742" s="5"/>
      <c r="C742" s="5"/>
      <c r="D742" s="5"/>
      <c r="E742" s="5"/>
      <c r="F742" s="5"/>
      <c r="G742" s="5"/>
      <c r="H742" s="5"/>
      <c r="I742" s="5"/>
      <c r="J742" s="5"/>
    </row>
    <row r="743" spans="1:10">
      <c r="A743" s="5"/>
      <c r="B743" s="5"/>
      <c r="C743" s="5"/>
      <c r="D743" s="5"/>
      <c r="E743" s="5"/>
      <c r="F743" s="5"/>
      <c r="G743" s="5"/>
      <c r="H743" s="5"/>
      <c r="I743" s="5"/>
      <c r="J743" s="5"/>
    </row>
    <row r="744" spans="1:10">
      <c r="A744" s="5"/>
      <c r="B744" s="5"/>
      <c r="C744" s="5"/>
      <c r="D744" s="5"/>
      <c r="E744" s="5"/>
      <c r="F744" s="5"/>
      <c r="G744" s="5"/>
      <c r="H744" s="5"/>
      <c r="I744" s="5"/>
      <c r="J744" s="5"/>
    </row>
    <row r="745" spans="1:10">
      <c r="A745" s="5"/>
      <c r="B745" s="5"/>
      <c r="C745" s="5"/>
      <c r="D745" s="5"/>
      <c r="E745" s="5"/>
      <c r="F745" s="5"/>
      <c r="G745" s="5"/>
      <c r="H745" s="5"/>
      <c r="I745" s="5"/>
      <c r="J745" s="5"/>
    </row>
    <row r="746" spans="1:10">
      <c r="A746" s="5"/>
      <c r="B746" s="5"/>
      <c r="C746" s="5"/>
      <c r="D746" s="5"/>
      <c r="E746" s="5"/>
      <c r="F746" s="5"/>
      <c r="G746" s="5"/>
      <c r="H746" s="5"/>
      <c r="I746" s="5"/>
      <c r="J746" s="5"/>
    </row>
    <row r="747" spans="1:10">
      <c r="A747" s="5"/>
      <c r="B747" s="5"/>
      <c r="C747" s="5"/>
      <c r="D747" s="5"/>
      <c r="E747" s="5"/>
      <c r="F747" s="5"/>
      <c r="G747" s="5"/>
      <c r="H747" s="5"/>
      <c r="I747" s="5"/>
      <c r="J747" s="5"/>
    </row>
    <row r="748" spans="1:10">
      <c r="A748" s="5"/>
      <c r="B748" s="5"/>
      <c r="C748" s="5"/>
      <c r="D748" s="5"/>
      <c r="E748" s="5"/>
      <c r="F748" s="5"/>
      <c r="G748" s="5"/>
      <c r="H748" s="5"/>
      <c r="I748" s="5"/>
      <c r="J748" s="5"/>
    </row>
    <row r="749" spans="1:10">
      <c r="A749" s="5"/>
      <c r="B749" s="5"/>
      <c r="C749" s="5"/>
      <c r="D749" s="5"/>
      <c r="E749" s="5"/>
      <c r="F749" s="5"/>
      <c r="G749" s="5"/>
      <c r="H749" s="5"/>
      <c r="I749" s="5"/>
      <c r="J749" s="5"/>
    </row>
    <row r="750" spans="1:10">
      <c r="A750" s="5"/>
      <c r="B750" s="5"/>
      <c r="C750" s="5"/>
      <c r="D750" s="5"/>
      <c r="E750" s="5"/>
      <c r="F750" s="5"/>
      <c r="G750" s="5"/>
      <c r="H750" s="5"/>
      <c r="I750" s="5"/>
      <c r="J750" s="5"/>
    </row>
    <row r="751" spans="1:10">
      <c r="A751" s="5"/>
      <c r="B751" s="5"/>
      <c r="C751" s="5"/>
      <c r="D751" s="5"/>
      <c r="E751" s="5"/>
      <c r="F751" s="5"/>
      <c r="G751" s="5"/>
      <c r="H751" s="5"/>
      <c r="I751" s="5"/>
      <c r="J751" s="5"/>
    </row>
    <row r="752" spans="1:10">
      <c r="A752" s="5"/>
      <c r="B752" s="5"/>
      <c r="C752" s="5"/>
      <c r="D752" s="5"/>
      <c r="E752" s="5"/>
      <c r="F752" s="5"/>
      <c r="G752" s="5"/>
      <c r="H752" s="5"/>
      <c r="I752" s="5"/>
      <c r="J752" s="5"/>
    </row>
    <row r="753" spans="1:10">
      <c r="A753" s="5"/>
      <c r="B753" s="5"/>
      <c r="C753" s="5"/>
      <c r="D753" s="5"/>
      <c r="E753" s="5"/>
      <c r="F753" s="5"/>
      <c r="G753" s="5"/>
      <c r="H753" s="5"/>
      <c r="I753" s="5"/>
      <c r="J753" s="5"/>
    </row>
    <row r="754" spans="1:10">
      <c r="A754" s="5"/>
      <c r="B754" s="5"/>
      <c r="C754" s="5"/>
      <c r="D754" s="5"/>
      <c r="E754" s="5"/>
      <c r="F754" s="5"/>
      <c r="G754" s="5"/>
      <c r="H754" s="5"/>
      <c r="I754" s="5"/>
      <c r="J754" s="5"/>
    </row>
    <row r="755" spans="1:10">
      <c r="A755" s="5"/>
      <c r="B755" s="5"/>
      <c r="C755" s="5"/>
      <c r="D755" s="5"/>
      <c r="E755" s="5"/>
      <c r="F755" s="5"/>
      <c r="G755" s="5"/>
      <c r="H755" s="5"/>
      <c r="I755" s="5"/>
      <c r="J755" s="5"/>
    </row>
    <row r="756" spans="1:10">
      <c r="A756" s="5"/>
      <c r="B756" s="5"/>
      <c r="C756" s="5"/>
      <c r="D756" s="5"/>
      <c r="E756" s="5"/>
      <c r="F756" s="5"/>
      <c r="G756" s="5"/>
      <c r="H756" s="5"/>
      <c r="I756" s="5"/>
      <c r="J756" s="5"/>
    </row>
    <row r="757" spans="1:10">
      <c r="A757" s="5"/>
      <c r="B757" s="5"/>
      <c r="C757" s="5"/>
      <c r="D757" s="5"/>
      <c r="E757" s="5"/>
      <c r="F757" s="5"/>
      <c r="G757" s="5"/>
      <c r="H757" s="5"/>
      <c r="I757" s="5"/>
      <c r="J757" s="5"/>
    </row>
    <row r="758" spans="1:10">
      <c r="A758" s="5"/>
      <c r="B758" s="5"/>
      <c r="C758" s="5"/>
      <c r="D758" s="5"/>
      <c r="E758" s="5"/>
      <c r="F758" s="5"/>
      <c r="G758" s="5"/>
      <c r="H758" s="5"/>
      <c r="I758" s="5"/>
      <c r="J758" s="5"/>
    </row>
    <row r="759" spans="1:10">
      <c r="A759" s="5"/>
      <c r="B759" s="5"/>
      <c r="C759" s="5"/>
      <c r="D759" s="5"/>
      <c r="E759" s="5"/>
      <c r="F759" s="5"/>
      <c r="G759" s="5"/>
      <c r="H759" s="5"/>
      <c r="I759" s="5"/>
      <c r="J759" s="5"/>
    </row>
    <row r="760" spans="1:10">
      <c r="A760" s="5"/>
      <c r="B760" s="5"/>
      <c r="C760" s="5"/>
      <c r="D760" s="5"/>
      <c r="E760" s="5"/>
      <c r="F760" s="5"/>
      <c r="G760" s="5"/>
      <c r="H760" s="5"/>
      <c r="I760" s="5"/>
      <c r="J760" s="5"/>
    </row>
    <row r="761" spans="1:10">
      <c r="A761" s="5"/>
      <c r="B761" s="5"/>
      <c r="C761" s="5"/>
      <c r="D761" s="5"/>
      <c r="E761" s="5"/>
      <c r="F761" s="5"/>
      <c r="G761" s="5"/>
      <c r="H761" s="5"/>
      <c r="I761" s="5"/>
      <c r="J761" s="5"/>
    </row>
    <row r="762" spans="1:10">
      <c r="A762" s="5"/>
      <c r="B762" s="5"/>
      <c r="C762" s="5"/>
      <c r="D762" s="5"/>
      <c r="E762" s="5"/>
      <c r="F762" s="5"/>
      <c r="G762" s="5"/>
      <c r="H762" s="5"/>
      <c r="I762" s="5"/>
      <c r="J762" s="5"/>
    </row>
    <row r="763" spans="1:10">
      <c r="A763" s="5"/>
      <c r="B763" s="5"/>
      <c r="C763" s="5"/>
      <c r="D763" s="5"/>
      <c r="E763" s="5"/>
      <c r="F763" s="5"/>
      <c r="G763" s="5"/>
      <c r="H763" s="5"/>
      <c r="I763" s="5"/>
      <c r="J763" s="5"/>
    </row>
    <row r="764" spans="1:10">
      <c r="A764" s="5"/>
      <c r="B764" s="5"/>
      <c r="C764" s="5"/>
      <c r="D764" s="5"/>
      <c r="E764" s="5"/>
      <c r="F764" s="5"/>
      <c r="G764" s="5"/>
      <c r="H764" s="5"/>
      <c r="I764" s="5"/>
      <c r="J764" s="5"/>
    </row>
    <row r="765" spans="1:10">
      <c r="A765" s="5"/>
      <c r="B765" s="5"/>
      <c r="C765" s="5"/>
      <c r="D765" s="5"/>
      <c r="E765" s="5"/>
      <c r="F765" s="5"/>
      <c r="G765" s="5"/>
      <c r="H765" s="5"/>
      <c r="I765" s="5"/>
      <c r="J765" s="5"/>
    </row>
    <row r="766" spans="1:10">
      <c r="A766" s="5"/>
      <c r="B766" s="5"/>
      <c r="C766" s="5"/>
      <c r="D766" s="5"/>
      <c r="E766" s="5"/>
      <c r="F766" s="5"/>
      <c r="G766" s="5"/>
      <c r="H766" s="5"/>
      <c r="I766" s="5"/>
      <c r="J766" s="5"/>
    </row>
    <row r="767" spans="1:10">
      <c r="A767" s="5"/>
      <c r="B767" s="5"/>
      <c r="C767" s="5"/>
      <c r="D767" s="5"/>
      <c r="E767" s="5"/>
      <c r="F767" s="5"/>
      <c r="G767" s="5"/>
      <c r="H767" s="5"/>
      <c r="I767" s="5"/>
      <c r="J767" s="5"/>
    </row>
    <row r="768" spans="1:10">
      <c r="A768" s="5"/>
      <c r="B768" s="5"/>
      <c r="C768" s="5"/>
      <c r="D768" s="5"/>
      <c r="E768" s="5"/>
      <c r="F768" s="5"/>
      <c r="G768" s="5"/>
      <c r="H768" s="5"/>
      <c r="I768" s="5"/>
      <c r="J768" s="5"/>
    </row>
    <row r="769" spans="1:10">
      <c r="A769" s="5"/>
      <c r="B769" s="5"/>
      <c r="C769" s="5"/>
      <c r="D769" s="5"/>
      <c r="E769" s="5"/>
      <c r="F769" s="5"/>
      <c r="G769" s="5"/>
      <c r="H769" s="5"/>
      <c r="I769" s="5"/>
      <c r="J769" s="5"/>
    </row>
    <row r="770" spans="1:10">
      <c r="A770" s="5"/>
      <c r="B770" s="5"/>
      <c r="C770" s="5"/>
      <c r="D770" s="5"/>
      <c r="E770" s="5"/>
      <c r="F770" s="5"/>
      <c r="G770" s="5"/>
      <c r="H770" s="5"/>
      <c r="I770" s="5"/>
      <c r="J770" s="5"/>
    </row>
    <row r="771" spans="1:10">
      <c r="A771" s="5"/>
      <c r="B771" s="5"/>
      <c r="C771" s="5"/>
      <c r="D771" s="5"/>
      <c r="E771" s="5"/>
      <c r="F771" s="5"/>
      <c r="G771" s="5"/>
      <c r="H771" s="5"/>
      <c r="I771" s="5"/>
      <c r="J771" s="5"/>
    </row>
    <row r="772" spans="1:10">
      <c r="A772" s="5"/>
      <c r="B772" s="5"/>
      <c r="C772" s="5"/>
      <c r="D772" s="5"/>
      <c r="E772" s="5"/>
      <c r="F772" s="5"/>
      <c r="G772" s="5"/>
      <c r="H772" s="5"/>
      <c r="I772" s="5"/>
      <c r="J772" s="5"/>
    </row>
    <row r="773" spans="1:10">
      <c r="A773" s="5"/>
      <c r="B773" s="5"/>
      <c r="C773" s="5"/>
      <c r="D773" s="5"/>
      <c r="E773" s="5"/>
      <c r="F773" s="5"/>
      <c r="G773" s="5"/>
      <c r="H773" s="5"/>
      <c r="I773" s="5"/>
      <c r="J773" s="5"/>
    </row>
    <row r="774" spans="1:10">
      <c r="A774" s="5"/>
      <c r="B774" s="5"/>
      <c r="C774" s="5"/>
      <c r="D774" s="5"/>
      <c r="E774" s="5"/>
      <c r="F774" s="5"/>
      <c r="G774" s="5"/>
      <c r="H774" s="5"/>
      <c r="I774" s="5"/>
      <c r="J774" s="5"/>
    </row>
    <row r="775" spans="1:10">
      <c r="A775" s="5"/>
      <c r="B775" s="5"/>
      <c r="C775" s="5"/>
      <c r="D775" s="5"/>
      <c r="E775" s="5"/>
      <c r="F775" s="5"/>
      <c r="G775" s="5"/>
      <c r="H775" s="5"/>
      <c r="I775" s="5"/>
      <c r="J775" s="5"/>
    </row>
    <row r="776" spans="1:10">
      <c r="A776" s="5"/>
      <c r="B776" s="5"/>
      <c r="C776" s="5"/>
      <c r="D776" s="5"/>
      <c r="E776" s="5"/>
      <c r="F776" s="5"/>
      <c r="G776" s="5"/>
      <c r="H776" s="5"/>
      <c r="I776" s="5"/>
      <c r="J776" s="5"/>
    </row>
    <row r="777" spans="1:10">
      <c r="A777" s="5"/>
      <c r="B777" s="5"/>
      <c r="C777" s="5"/>
      <c r="D777" s="5"/>
      <c r="E777" s="5"/>
      <c r="F777" s="5"/>
      <c r="G777" s="5"/>
      <c r="H777" s="5"/>
      <c r="I777" s="5"/>
      <c r="J777" s="5"/>
    </row>
    <row r="778" spans="1:10">
      <c r="A778" s="5"/>
      <c r="B778" s="5"/>
      <c r="C778" s="5"/>
      <c r="D778" s="5"/>
      <c r="E778" s="5"/>
      <c r="F778" s="5"/>
      <c r="G778" s="5"/>
      <c r="H778" s="5"/>
      <c r="I778" s="5"/>
      <c r="J778" s="5"/>
    </row>
    <row r="779" spans="1:10">
      <c r="A779" s="5"/>
      <c r="B779" s="5"/>
      <c r="C779" s="5"/>
      <c r="D779" s="5"/>
      <c r="E779" s="5"/>
      <c r="F779" s="5"/>
      <c r="G779" s="5"/>
      <c r="H779" s="5"/>
      <c r="I779" s="5"/>
      <c r="J779" s="5"/>
    </row>
    <row r="780" spans="1:10">
      <c r="A780" s="5"/>
      <c r="B780" s="5"/>
      <c r="C780" s="5"/>
      <c r="D780" s="5"/>
      <c r="E780" s="5"/>
      <c r="F780" s="5"/>
      <c r="G780" s="5"/>
      <c r="H780" s="5"/>
      <c r="I780" s="5"/>
      <c r="J780" s="5"/>
    </row>
    <row r="781" spans="1:10">
      <c r="A781" s="5"/>
      <c r="B781" s="5"/>
      <c r="C781" s="5"/>
      <c r="D781" s="5"/>
      <c r="E781" s="5"/>
      <c r="F781" s="5"/>
      <c r="G781" s="5"/>
      <c r="H781" s="5"/>
      <c r="I781" s="5"/>
      <c r="J781" s="5"/>
    </row>
    <row r="782" spans="1:10">
      <c r="A782" s="5"/>
      <c r="B782" s="5"/>
      <c r="C782" s="5"/>
      <c r="D782" s="5"/>
      <c r="E782" s="5"/>
      <c r="F782" s="5"/>
      <c r="G782" s="5"/>
      <c r="H782" s="5"/>
      <c r="I782" s="5"/>
      <c r="J782" s="5"/>
    </row>
    <row r="783" spans="1:10">
      <c r="A783" s="5"/>
      <c r="B783" s="5"/>
      <c r="C783" s="5"/>
      <c r="D783" s="5"/>
      <c r="E783" s="5"/>
      <c r="F783" s="5"/>
      <c r="G783" s="5"/>
      <c r="H783" s="5"/>
      <c r="I783" s="5"/>
      <c r="J783" s="5"/>
    </row>
    <row r="784" spans="1:10">
      <c r="A784" s="5"/>
      <c r="B784" s="5"/>
      <c r="C784" s="5"/>
      <c r="D784" s="5"/>
      <c r="E784" s="5"/>
      <c r="F784" s="5"/>
      <c r="G784" s="5"/>
      <c r="H784" s="5"/>
      <c r="I784" s="5"/>
      <c r="J784" s="5"/>
    </row>
    <row r="785" spans="1:10">
      <c r="A785" s="5"/>
      <c r="B785" s="5"/>
      <c r="C785" s="5"/>
      <c r="D785" s="5"/>
      <c r="E785" s="5"/>
      <c r="F785" s="5"/>
      <c r="G785" s="5"/>
      <c r="H785" s="5"/>
      <c r="I785" s="5"/>
      <c r="J785" s="5"/>
    </row>
    <row r="786" spans="1:10">
      <c r="A786" s="5"/>
      <c r="B786" s="5"/>
      <c r="C786" s="5"/>
      <c r="D786" s="5"/>
      <c r="E786" s="5"/>
      <c r="F786" s="5"/>
      <c r="G786" s="5"/>
      <c r="H786" s="5"/>
      <c r="I786" s="5"/>
      <c r="J786" s="5"/>
    </row>
    <row r="787" spans="1:10">
      <c r="A787" s="5"/>
      <c r="B787" s="5"/>
      <c r="C787" s="5"/>
      <c r="D787" s="5"/>
      <c r="E787" s="5"/>
      <c r="F787" s="5"/>
      <c r="G787" s="5"/>
      <c r="H787" s="5"/>
      <c r="I787" s="5"/>
      <c r="J787" s="5"/>
    </row>
    <row r="788" spans="1:10">
      <c r="A788" s="5"/>
      <c r="B788" s="5"/>
      <c r="C788" s="5"/>
      <c r="D788" s="5"/>
      <c r="E788" s="5"/>
      <c r="F788" s="5"/>
      <c r="G788" s="5"/>
      <c r="H788" s="5"/>
      <c r="I788" s="5"/>
      <c r="J788" s="5"/>
    </row>
    <row r="789" spans="1:10">
      <c r="A789" s="5"/>
      <c r="B789" s="5"/>
      <c r="C789" s="5"/>
      <c r="D789" s="5"/>
      <c r="E789" s="5"/>
      <c r="F789" s="5"/>
      <c r="G789" s="5"/>
      <c r="H789" s="5"/>
      <c r="I789" s="5"/>
      <c r="J789" s="5"/>
    </row>
    <row r="790" spans="1:10">
      <c r="A790" s="5"/>
      <c r="B790" s="5"/>
      <c r="C790" s="5"/>
      <c r="D790" s="5"/>
      <c r="E790" s="5"/>
      <c r="F790" s="5"/>
      <c r="G790" s="5"/>
      <c r="H790" s="5"/>
      <c r="I790" s="5"/>
      <c r="J790" s="5"/>
    </row>
    <row r="791" spans="1:10">
      <c r="A791" s="5"/>
      <c r="B791" s="5"/>
      <c r="C791" s="5"/>
      <c r="D791" s="5"/>
      <c r="E791" s="5"/>
      <c r="F791" s="5"/>
      <c r="G791" s="5"/>
      <c r="H791" s="5"/>
      <c r="I791" s="5"/>
      <c r="J791" s="5"/>
    </row>
    <row r="792" spans="1:10">
      <c r="A792" s="5"/>
      <c r="B792" s="5"/>
      <c r="C792" s="5"/>
      <c r="D792" s="5"/>
      <c r="E792" s="5"/>
      <c r="F792" s="5"/>
      <c r="G792" s="5"/>
      <c r="H792" s="5"/>
      <c r="I792" s="5"/>
      <c r="J792" s="5"/>
    </row>
    <row r="793" spans="1:10">
      <c r="A793" s="5"/>
      <c r="B793" s="5"/>
      <c r="C793" s="5"/>
      <c r="D793" s="5"/>
      <c r="E793" s="5"/>
      <c r="F793" s="5"/>
      <c r="G793" s="5"/>
      <c r="H793" s="5"/>
      <c r="I793" s="5"/>
      <c r="J793" s="5"/>
    </row>
    <row r="794" spans="1:10">
      <c r="A794" s="5"/>
      <c r="B794" s="5"/>
      <c r="C794" s="5"/>
      <c r="D794" s="5"/>
      <c r="E794" s="5"/>
      <c r="F794" s="5"/>
      <c r="G794" s="5"/>
      <c r="H794" s="5"/>
      <c r="I794" s="5"/>
      <c r="J794" s="5"/>
    </row>
    <row r="795" spans="1:10">
      <c r="A795" s="5"/>
      <c r="B795" s="5"/>
      <c r="C795" s="5"/>
      <c r="D795" s="5"/>
      <c r="E795" s="5"/>
      <c r="F795" s="5"/>
      <c r="G795" s="5"/>
      <c r="H795" s="5"/>
      <c r="I795" s="5"/>
      <c r="J795" s="5"/>
    </row>
    <row r="796" spans="1:10">
      <c r="A796" s="5"/>
      <c r="B796" s="5"/>
      <c r="C796" s="5"/>
      <c r="D796" s="5"/>
      <c r="E796" s="5"/>
      <c r="F796" s="5"/>
      <c r="G796" s="5"/>
      <c r="H796" s="5"/>
      <c r="I796" s="5"/>
      <c r="J796" s="5"/>
    </row>
    <row r="797" spans="1:10">
      <c r="A797" s="5"/>
      <c r="B797" s="5"/>
      <c r="C797" s="5"/>
      <c r="D797" s="5"/>
      <c r="E797" s="5"/>
      <c r="F797" s="5"/>
      <c r="G797" s="5"/>
      <c r="H797" s="5"/>
      <c r="I797" s="5"/>
      <c r="J797" s="5"/>
    </row>
    <row r="798" spans="1:10">
      <c r="A798" s="5"/>
      <c r="B798" s="5"/>
      <c r="C798" s="5"/>
      <c r="D798" s="5"/>
      <c r="E798" s="5"/>
      <c r="F798" s="5"/>
      <c r="G798" s="5"/>
      <c r="H798" s="5"/>
      <c r="I798" s="5"/>
      <c r="J798" s="5"/>
    </row>
    <row r="799" spans="1:10">
      <c r="A799" s="5"/>
      <c r="B799" s="5"/>
      <c r="C799" s="5"/>
      <c r="D799" s="5"/>
      <c r="E799" s="5"/>
      <c r="F799" s="5"/>
      <c r="G799" s="5"/>
      <c r="H799" s="5"/>
      <c r="I799" s="5"/>
      <c r="J799" s="5"/>
    </row>
    <row r="800" spans="1:10">
      <c r="A800" s="5"/>
      <c r="B800" s="5"/>
      <c r="C800" s="5"/>
      <c r="D800" s="5"/>
      <c r="E800" s="5"/>
      <c r="F800" s="5"/>
      <c r="G800" s="5"/>
      <c r="H800" s="5"/>
      <c r="I800" s="5"/>
      <c r="J800" s="5"/>
    </row>
    <row r="801" spans="1:10">
      <c r="A801" s="5"/>
      <c r="B801" s="5"/>
      <c r="C801" s="5"/>
      <c r="D801" s="5"/>
      <c r="E801" s="5"/>
      <c r="F801" s="5"/>
      <c r="G801" s="5"/>
      <c r="H801" s="5"/>
      <c r="I801" s="5"/>
      <c r="J801" s="5"/>
    </row>
    <row r="802" spans="1:10">
      <c r="A802" s="5"/>
      <c r="B802" s="5"/>
      <c r="C802" s="5"/>
      <c r="D802" s="5"/>
      <c r="E802" s="5"/>
      <c r="F802" s="5"/>
      <c r="G802" s="5"/>
      <c r="H802" s="5"/>
      <c r="I802" s="5"/>
      <c r="J802" s="5"/>
    </row>
    <row r="803" spans="1:10">
      <c r="A803" s="5"/>
      <c r="B803" s="5"/>
      <c r="C803" s="5"/>
      <c r="D803" s="5"/>
      <c r="E803" s="5"/>
      <c r="F803" s="5"/>
      <c r="G803" s="5"/>
      <c r="H803" s="5"/>
      <c r="I803" s="5"/>
      <c r="J803" s="5"/>
    </row>
    <row r="804" spans="1:10">
      <c r="A804" s="5"/>
      <c r="B804" s="5"/>
      <c r="C804" s="5"/>
      <c r="D804" s="5"/>
      <c r="E804" s="5"/>
      <c r="F804" s="5"/>
      <c r="G804" s="5"/>
      <c r="H804" s="5"/>
      <c r="I804" s="5"/>
      <c r="J804" s="5"/>
    </row>
    <row r="805" spans="1:10">
      <c r="A805" s="5"/>
      <c r="B805" s="5"/>
      <c r="C805" s="5"/>
      <c r="D805" s="5"/>
      <c r="E805" s="5"/>
      <c r="F805" s="5"/>
      <c r="G805" s="5"/>
      <c r="H805" s="5"/>
      <c r="I805" s="5"/>
      <c r="J805" s="5"/>
    </row>
    <row r="806" spans="1:10">
      <c r="A806" s="5"/>
      <c r="B806" s="5"/>
      <c r="C806" s="5"/>
      <c r="D806" s="5"/>
      <c r="E806" s="5"/>
      <c r="F806" s="5"/>
      <c r="G806" s="5"/>
      <c r="H806" s="5"/>
      <c r="I806" s="5"/>
      <c r="J806" s="5"/>
    </row>
    <row r="807" spans="1:10">
      <c r="A807" s="5"/>
      <c r="B807" s="5"/>
      <c r="C807" s="5"/>
      <c r="D807" s="5"/>
      <c r="E807" s="5"/>
      <c r="F807" s="5"/>
      <c r="G807" s="5"/>
      <c r="H807" s="5"/>
      <c r="I807" s="5"/>
      <c r="J807" s="5"/>
    </row>
    <row r="808" spans="1:10">
      <c r="A808" s="5"/>
      <c r="B808" s="5"/>
      <c r="C808" s="5"/>
      <c r="D808" s="5"/>
      <c r="E808" s="5"/>
      <c r="F808" s="5"/>
      <c r="G808" s="5"/>
      <c r="H808" s="5"/>
      <c r="I808" s="5"/>
      <c r="J808" s="5"/>
    </row>
    <row r="809" spans="1:10">
      <c r="A809" s="5"/>
      <c r="B809" s="5"/>
      <c r="C809" s="5"/>
      <c r="D809" s="5"/>
      <c r="E809" s="5"/>
      <c r="F809" s="5"/>
      <c r="G809" s="5"/>
      <c r="H809" s="5"/>
      <c r="I809" s="5"/>
      <c r="J809" s="5"/>
    </row>
    <row r="810" spans="1:10">
      <c r="A810" s="5"/>
      <c r="B810" s="5"/>
      <c r="C810" s="5"/>
      <c r="D810" s="5"/>
      <c r="E810" s="5"/>
      <c r="F810" s="5"/>
      <c r="G810" s="5"/>
      <c r="H810" s="5"/>
      <c r="I810" s="5"/>
      <c r="J810" s="5"/>
    </row>
    <row r="811" spans="1:10">
      <c r="A811" s="5"/>
      <c r="B811" s="5"/>
      <c r="C811" s="5"/>
      <c r="D811" s="5"/>
      <c r="E811" s="5"/>
      <c r="F811" s="5"/>
      <c r="G811" s="5"/>
      <c r="H811" s="5"/>
      <c r="I811" s="5"/>
      <c r="J811" s="5"/>
    </row>
    <row r="812" spans="1:10">
      <c r="A812" s="5"/>
      <c r="B812" s="5"/>
      <c r="C812" s="5"/>
      <c r="D812" s="5"/>
      <c r="E812" s="5"/>
      <c r="F812" s="5"/>
      <c r="G812" s="5"/>
      <c r="H812" s="5"/>
      <c r="I812" s="5"/>
      <c r="J812" s="5"/>
    </row>
    <row r="813" spans="1:10">
      <c r="A813" s="5"/>
      <c r="B813" s="5"/>
      <c r="C813" s="5"/>
      <c r="D813" s="5"/>
      <c r="E813" s="5"/>
      <c r="F813" s="5"/>
      <c r="G813" s="5"/>
      <c r="H813" s="5"/>
      <c r="I813" s="5"/>
      <c r="J813" s="5"/>
    </row>
    <row r="814" spans="1:10">
      <c r="A814" s="5"/>
      <c r="B814" s="5"/>
      <c r="C814" s="5"/>
      <c r="D814" s="5"/>
      <c r="E814" s="5"/>
      <c r="F814" s="5"/>
      <c r="G814" s="5"/>
      <c r="H814" s="5"/>
      <c r="I814" s="5"/>
      <c r="J814" s="5"/>
    </row>
    <row r="815" spans="1:10">
      <c r="A815" s="5"/>
      <c r="B815" s="5"/>
      <c r="C815" s="5"/>
      <c r="D815" s="5"/>
      <c r="E815" s="5"/>
      <c r="F815" s="5"/>
      <c r="G815" s="5"/>
      <c r="H815" s="5"/>
      <c r="I815" s="5"/>
      <c r="J815" s="5"/>
    </row>
    <row r="816" spans="1:10">
      <c r="A816" s="5"/>
      <c r="B816" s="5"/>
      <c r="C816" s="5"/>
      <c r="D816" s="5"/>
      <c r="E816" s="5"/>
      <c r="F816" s="5"/>
      <c r="G816" s="5"/>
      <c r="H816" s="5"/>
      <c r="I816" s="5"/>
      <c r="J816" s="5"/>
    </row>
    <row r="817" spans="1:10">
      <c r="A817" s="5"/>
      <c r="B817" s="5"/>
      <c r="C817" s="5"/>
      <c r="D817" s="5"/>
      <c r="E817" s="5"/>
      <c r="F817" s="5"/>
      <c r="G817" s="5"/>
      <c r="H817" s="5"/>
      <c r="I817" s="5"/>
      <c r="J817" s="5"/>
    </row>
    <row r="818" spans="1:10">
      <c r="A818" s="5"/>
      <c r="B818" s="5"/>
      <c r="C818" s="5"/>
      <c r="D818" s="5"/>
      <c r="E818" s="5"/>
      <c r="F818" s="5"/>
      <c r="G818" s="5"/>
      <c r="H818" s="5"/>
      <c r="I818" s="5"/>
      <c r="J818" s="5"/>
    </row>
    <row r="819" spans="1:10">
      <c r="A819" s="5"/>
      <c r="B819" s="5"/>
      <c r="C819" s="5"/>
      <c r="D819" s="5"/>
      <c r="E819" s="5"/>
      <c r="F819" s="5"/>
      <c r="G819" s="5"/>
      <c r="H819" s="5"/>
      <c r="I819" s="5"/>
      <c r="J819" s="5"/>
    </row>
    <row r="820" spans="1:10">
      <c r="A820" s="5"/>
      <c r="B820" s="5"/>
      <c r="C820" s="5"/>
      <c r="D820" s="5"/>
      <c r="E820" s="5"/>
      <c r="F820" s="5"/>
      <c r="G820" s="5"/>
      <c r="H820" s="5"/>
      <c r="I820" s="5"/>
      <c r="J820" s="5"/>
    </row>
    <row r="821" spans="1:10">
      <c r="A821" s="5"/>
      <c r="B821" s="5"/>
      <c r="C821" s="5"/>
      <c r="D821" s="5"/>
      <c r="E821" s="5"/>
      <c r="F821" s="5"/>
      <c r="G821" s="5"/>
      <c r="H821" s="5"/>
      <c r="I821" s="5"/>
      <c r="J821" s="5"/>
    </row>
    <row r="822" spans="1:10">
      <c r="A822" s="5"/>
      <c r="B822" s="5"/>
      <c r="C822" s="5"/>
      <c r="D822" s="5"/>
      <c r="E822" s="5"/>
      <c r="F822" s="5"/>
      <c r="G822" s="5"/>
      <c r="H822" s="5"/>
      <c r="I822" s="5"/>
      <c r="J822" s="5"/>
    </row>
    <row r="823" spans="1:10">
      <c r="A823" s="5"/>
      <c r="B823" s="5"/>
      <c r="C823" s="5"/>
      <c r="D823" s="5"/>
      <c r="E823" s="5"/>
      <c r="F823" s="5"/>
      <c r="G823" s="5"/>
      <c r="H823" s="5"/>
      <c r="I823" s="5"/>
      <c r="J823" s="5"/>
    </row>
    <row r="824" spans="1:10">
      <c r="A824" s="5"/>
      <c r="B824" s="5"/>
      <c r="C824" s="5"/>
      <c r="D824" s="5"/>
      <c r="E824" s="5"/>
      <c r="F824" s="5"/>
      <c r="G824" s="5"/>
      <c r="H824" s="5"/>
      <c r="I824" s="5"/>
      <c r="J824" s="5"/>
    </row>
    <row r="825" spans="1:10">
      <c r="A825" s="5"/>
      <c r="B825" s="5"/>
      <c r="C825" s="5"/>
      <c r="D825" s="5"/>
      <c r="E825" s="5"/>
      <c r="F825" s="5"/>
      <c r="G825" s="5"/>
      <c r="H825" s="5"/>
      <c r="I825" s="5"/>
      <c r="J825" s="5"/>
    </row>
    <row r="826" spans="1:10">
      <c r="A826" s="5"/>
      <c r="B826" s="5"/>
      <c r="C826" s="5"/>
      <c r="D826" s="5"/>
      <c r="E826" s="5"/>
      <c r="F826" s="5"/>
      <c r="G826" s="5"/>
      <c r="H826" s="5"/>
      <c r="I826" s="5"/>
      <c r="J826" s="5"/>
    </row>
    <row r="827" spans="1:10">
      <c r="A827" s="5"/>
      <c r="B827" s="5"/>
      <c r="C827" s="5"/>
      <c r="D827" s="5"/>
      <c r="E827" s="5"/>
      <c r="F827" s="5"/>
      <c r="G827" s="5"/>
      <c r="H827" s="5"/>
      <c r="I827" s="5"/>
      <c r="J827" s="5"/>
    </row>
    <row r="828" spans="1:10">
      <c r="A828" s="5"/>
      <c r="B828" s="5"/>
      <c r="C828" s="5"/>
      <c r="D828" s="5"/>
      <c r="E828" s="5"/>
      <c r="F828" s="5"/>
      <c r="G828" s="5"/>
      <c r="H828" s="5"/>
      <c r="I828" s="5"/>
      <c r="J828" s="5"/>
    </row>
    <row r="829" spans="1:10">
      <c r="A829" s="5"/>
      <c r="B829" s="5"/>
      <c r="C829" s="5"/>
      <c r="D829" s="5"/>
      <c r="E829" s="5"/>
      <c r="F829" s="5"/>
      <c r="G829" s="5"/>
      <c r="H829" s="5"/>
      <c r="I829" s="5"/>
      <c r="J829" s="5"/>
    </row>
    <row r="830" spans="1:10">
      <c r="A830" s="5"/>
      <c r="B830" s="5"/>
      <c r="C830" s="5"/>
      <c r="D830" s="5"/>
      <c r="E830" s="5"/>
      <c r="F830" s="5"/>
      <c r="G830" s="5"/>
      <c r="H830" s="5"/>
      <c r="I830" s="5"/>
      <c r="J830" s="5"/>
    </row>
    <row r="831" spans="1:10">
      <c r="A831" s="5"/>
      <c r="B831" s="5"/>
      <c r="C831" s="5"/>
      <c r="D831" s="5"/>
      <c r="E831" s="5"/>
      <c r="F831" s="5"/>
      <c r="G831" s="5"/>
      <c r="H831" s="5"/>
      <c r="I831" s="5"/>
      <c r="J831" s="5"/>
    </row>
    <row r="832" spans="1:10">
      <c r="A832" s="5"/>
      <c r="B832" s="5"/>
      <c r="C832" s="5"/>
      <c r="D832" s="5"/>
      <c r="E832" s="5"/>
      <c r="F832" s="5"/>
      <c r="G832" s="5"/>
      <c r="H832" s="5"/>
      <c r="I832" s="5"/>
      <c r="J832" s="5"/>
    </row>
    <row r="833" spans="1:10">
      <c r="A833" s="5"/>
      <c r="B833" s="5"/>
      <c r="C833" s="5"/>
      <c r="D833" s="5"/>
      <c r="E833" s="5"/>
      <c r="F833" s="5"/>
      <c r="G833" s="5"/>
      <c r="H833" s="5"/>
      <c r="I833" s="5"/>
      <c r="J833" s="5"/>
    </row>
    <row r="834" spans="1:10">
      <c r="A834" s="5"/>
      <c r="B834" s="5"/>
      <c r="C834" s="5"/>
      <c r="D834" s="5"/>
      <c r="E834" s="5"/>
      <c r="F834" s="5"/>
      <c r="G834" s="5"/>
      <c r="H834" s="5"/>
      <c r="I834" s="5"/>
      <c r="J834" s="5"/>
    </row>
    <row r="835" spans="1:10">
      <c r="A835" s="5"/>
      <c r="B835" s="5"/>
      <c r="C835" s="5"/>
      <c r="D835" s="5"/>
      <c r="E835" s="5"/>
      <c r="F835" s="5"/>
      <c r="G835" s="5"/>
      <c r="H835" s="5"/>
      <c r="I835" s="5"/>
      <c r="J835" s="5"/>
    </row>
    <row r="836" spans="1:10">
      <c r="A836" s="5"/>
      <c r="B836" s="5"/>
      <c r="C836" s="5"/>
      <c r="D836" s="5"/>
      <c r="E836" s="5"/>
      <c r="F836" s="5"/>
      <c r="G836" s="5"/>
      <c r="H836" s="5"/>
      <c r="I836" s="5"/>
      <c r="J836" s="5"/>
    </row>
    <row r="837" spans="1:10">
      <c r="A837" s="5"/>
      <c r="B837" s="5"/>
      <c r="C837" s="5"/>
      <c r="D837" s="5"/>
      <c r="E837" s="5"/>
      <c r="F837" s="5"/>
      <c r="G837" s="5"/>
      <c r="H837" s="5"/>
      <c r="I837" s="5"/>
      <c r="J837" s="5"/>
    </row>
    <row r="838" spans="1:10">
      <c r="A838" s="5"/>
      <c r="B838" s="5"/>
      <c r="C838" s="5"/>
      <c r="D838" s="5"/>
      <c r="E838" s="5"/>
      <c r="F838" s="5"/>
      <c r="G838" s="5"/>
      <c r="H838" s="5"/>
      <c r="I838" s="5"/>
      <c r="J838" s="5"/>
    </row>
    <row r="839" spans="1:10">
      <c r="A839" s="5"/>
      <c r="B839" s="5"/>
      <c r="C839" s="5"/>
      <c r="D839" s="5"/>
      <c r="E839" s="5"/>
      <c r="F839" s="5"/>
      <c r="G839" s="5"/>
      <c r="H839" s="5"/>
      <c r="I839" s="5"/>
      <c r="J839" s="5"/>
    </row>
    <row r="840" spans="1:10">
      <c r="A840" s="5"/>
      <c r="B840" s="5"/>
      <c r="C840" s="5"/>
      <c r="D840" s="5"/>
      <c r="E840" s="5"/>
      <c r="F840" s="5"/>
      <c r="G840" s="5"/>
      <c r="H840" s="5"/>
      <c r="I840" s="5"/>
      <c r="J840" s="5"/>
    </row>
    <row r="841" spans="1:10">
      <c r="A841" s="5"/>
      <c r="B841" s="5"/>
      <c r="C841" s="5"/>
      <c r="D841" s="5"/>
      <c r="E841" s="5"/>
      <c r="F841" s="5"/>
      <c r="G841" s="5"/>
      <c r="H841" s="5"/>
      <c r="I841" s="5"/>
      <c r="J841" s="5"/>
    </row>
    <row r="842" spans="1:10">
      <c r="A842" s="5"/>
      <c r="B842" s="5"/>
      <c r="C842" s="5"/>
      <c r="D842" s="5"/>
      <c r="E842" s="5"/>
      <c r="F842" s="5"/>
      <c r="G842" s="5"/>
      <c r="H842" s="5"/>
      <c r="I842" s="5"/>
      <c r="J842" s="5"/>
    </row>
    <row r="843" spans="1:10">
      <c r="A843" s="5"/>
      <c r="B843" s="5"/>
      <c r="C843" s="5"/>
      <c r="D843" s="5"/>
      <c r="E843" s="5"/>
      <c r="F843" s="5"/>
      <c r="G843" s="5"/>
      <c r="H843" s="5"/>
      <c r="I843" s="5"/>
      <c r="J843" s="5"/>
    </row>
    <row r="844" spans="1:10">
      <c r="A844" s="5"/>
      <c r="B844" s="5"/>
      <c r="C844" s="5"/>
      <c r="D844" s="5"/>
      <c r="E844" s="5"/>
      <c r="F844" s="5"/>
      <c r="G844" s="5"/>
      <c r="H844" s="5"/>
      <c r="I844" s="5"/>
      <c r="J844" s="5"/>
    </row>
    <row r="845" spans="1:10">
      <c r="A845" s="5"/>
      <c r="B845" s="5"/>
      <c r="C845" s="5"/>
      <c r="D845" s="5"/>
      <c r="E845" s="5"/>
      <c r="F845" s="5"/>
      <c r="G845" s="5"/>
      <c r="H845" s="5"/>
      <c r="I845" s="5"/>
      <c r="J845" s="5"/>
    </row>
    <row r="846" spans="1:10">
      <c r="A846" s="5"/>
      <c r="B846" s="5"/>
      <c r="C846" s="5"/>
      <c r="D846" s="5"/>
      <c r="E846" s="5"/>
      <c r="F846" s="5"/>
      <c r="G846" s="5"/>
      <c r="H846" s="5"/>
      <c r="I846" s="5"/>
      <c r="J846" s="5"/>
    </row>
    <row r="847" spans="1:10">
      <c r="A847" s="5"/>
      <c r="B847" s="5"/>
      <c r="C847" s="5"/>
      <c r="D847" s="5"/>
      <c r="E847" s="5"/>
      <c r="F847" s="5"/>
      <c r="G847" s="5"/>
      <c r="H847" s="5"/>
      <c r="I847" s="5"/>
      <c r="J847" s="5"/>
    </row>
    <row r="848" spans="1:10">
      <c r="A848" s="5"/>
      <c r="B848" s="5"/>
      <c r="C848" s="5"/>
      <c r="D848" s="5"/>
      <c r="E848" s="5"/>
      <c r="F848" s="5"/>
      <c r="G848" s="5"/>
      <c r="H848" s="5"/>
      <c r="I848" s="5"/>
      <c r="J848" s="5"/>
    </row>
    <row r="849" spans="1:10">
      <c r="A849" s="5"/>
      <c r="B849" s="5"/>
      <c r="C849" s="5"/>
      <c r="D849" s="5"/>
      <c r="E849" s="5"/>
      <c r="F849" s="5"/>
      <c r="G849" s="5"/>
      <c r="H849" s="5"/>
      <c r="I849" s="5"/>
      <c r="J849" s="5"/>
    </row>
    <row r="850" spans="1:10">
      <c r="A850" s="5"/>
      <c r="B850" s="5"/>
      <c r="C850" s="5"/>
      <c r="D850" s="5"/>
      <c r="E850" s="5"/>
      <c r="F850" s="5"/>
      <c r="G850" s="5"/>
      <c r="H850" s="5"/>
      <c r="I850" s="5"/>
      <c r="J850" s="5"/>
    </row>
    <row r="851" spans="1:10">
      <c r="A851" s="5"/>
      <c r="B851" s="5"/>
      <c r="C851" s="5"/>
      <c r="D851" s="5"/>
      <c r="E851" s="5"/>
      <c r="F851" s="5"/>
      <c r="G851" s="5"/>
      <c r="H851" s="5"/>
      <c r="I851" s="5"/>
      <c r="J851" s="5"/>
    </row>
    <row r="852" spans="1:10">
      <c r="A852" s="5"/>
      <c r="B852" s="5"/>
      <c r="C852" s="5"/>
      <c r="D852" s="5"/>
      <c r="E852" s="5"/>
      <c r="F852" s="5"/>
      <c r="G852" s="5"/>
      <c r="H852" s="5"/>
      <c r="I852" s="5"/>
      <c r="J852" s="5"/>
    </row>
    <row r="853" spans="1:10">
      <c r="A853" s="5"/>
      <c r="B853" s="5"/>
      <c r="C853" s="5"/>
      <c r="D853" s="5"/>
      <c r="E853" s="5"/>
      <c r="F853" s="5"/>
      <c r="G853" s="5"/>
      <c r="H853" s="5"/>
      <c r="I853" s="5"/>
      <c r="J853" s="5"/>
    </row>
    <row r="854" spans="1:10">
      <c r="A854" s="5"/>
      <c r="B854" s="5"/>
      <c r="C854" s="5"/>
      <c r="D854" s="5"/>
      <c r="E854" s="5"/>
      <c r="F854" s="5"/>
      <c r="G854" s="5"/>
      <c r="H854" s="5"/>
      <c r="I854" s="5"/>
      <c r="J854" s="5"/>
    </row>
    <row r="855" spans="1:10">
      <c r="A855" s="5"/>
      <c r="B855" s="5"/>
      <c r="C855" s="5"/>
      <c r="D855" s="5"/>
      <c r="E855" s="5"/>
      <c r="F855" s="5"/>
      <c r="G855" s="5"/>
      <c r="H855" s="5"/>
      <c r="I855" s="5"/>
      <c r="J855" s="5"/>
    </row>
    <row r="856" spans="1:10">
      <c r="A856" s="5"/>
      <c r="B856" s="5"/>
      <c r="C856" s="5"/>
      <c r="D856" s="5"/>
      <c r="E856" s="5"/>
      <c r="F856" s="5"/>
      <c r="G856" s="5"/>
      <c r="H856" s="5"/>
      <c r="I856" s="5"/>
      <c r="J856" s="5"/>
    </row>
    <row r="857" spans="1:10">
      <c r="A857" s="5"/>
      <c r="B857" s="5"/>
      <c r="C857" s="5"/>
      <c r="D857" s="5"/>
      <c r="E857" s="5"/>
      <c r="F857" s="5"/>
      <c r="G857" s="5"/>
      <c r="H857" s="5"/>
      <c r="I857" s="5"/>
      <c r="J857" s="5"/>
    </row>
    <row r="858" spans="1:10">
      <c r="A858" s="5"/>
      <c r="B858" s="5"/>
      <c r="C858" s="5"/>
      <c r="D858" s="5"/>
      <c r="E858" s="5"/>
      <c r="F858" s="5"/>
      <c r="G858" s="5"/>
      <c r="H858" s="5"/>
      <c r="I858" s="5"/>
      <c r="J858" s="5"/>
    </row>
    <row r="859" spans="1:10">
      <c r="A859" s="5"/>
      <c r="B859" s="5"/>
      <c r="C859" s="5"/>
      <c r="D859" s="5"/>
      <c r="E859" s="5"/>
      <c r="F859" s="5"/>
      <c r="G859" s="5"/>
      <c r="H859" s="5"/>
      <c r="I859" s="5"/>
      <c r="J859" s="5"/>
    </row>
    <row r="860" spans="1:10">
      <c r="A860" s="5"/>
      <c r="B860" s="5"/>
      <c r="C860" s="5"/>
      <c r="D860" s="5"/>
      <c r="E860" s="5"/>
      <c r="F860" s="5"/>
      <c r="G860" s="5"/>
      <c r="H860" s="5"/>
      <c r="I860" s="5"/>
      <c r="J860" s="5"/>
    </row>
    <row r="861" spans="1:10">
      <c r="A861" s="5"/>
      <c r="B861" s="5"/>
      <c r="C861" s="5"/>
      <c r="D861" s="5"/>
      <c r="E861" s="5"/>
      <c r="F861" s="5"/>
      <c r="G861" s="5"/>
      <c r="H861" s="5"/>
      <c r="I861" s="5"/>
      <c r="J861" s="5"/>
    </row>
    <row r="862" spans="1:10">
      <c r="A862" s="5"/>
      <c r="B862" s="5"/>
      <c r="C862" s="5"/>
      <c r="D862" s="5"/>
      <c r="E862" s="5"/>
      <c r="F862" s="5"/>
      <c r="G862" s="5"/>
      <c r="H862" s="5"/>
      <c r="I862" s="5"/>
      <c r="J862" s="5"/>
    </row>
    <row r="863" spans="1:10">
      <c r="A863" s="5"/>
      <c r="B863" s="5"/>
      <c r="C863" s="5"/>
      <c r="D863" s="5"/>
      <c r="E863" s="5"/>
      <c r="F863" s="5"/>
      <c r="G863" s="5"/>
      <c r="H863" s="5"/>
      <c r="I863" s="5"/>
      <c r="J863" s="5"/>
    </row>
    <row r="864" spans="1:10">
      <c r="A864" s="5"/>
      <c r="B864" s="5"/>
      <c r="C864" s="5"/>
      <c r="D864" s="5"/>
      <c r="E864" s="5"/>
      <c r="F864" s="5"/>
      <c r="G864" s="5"/>
      <c r="H864" s="5"/>
      <c r="I864" s="5"/>
      <c r="J864" s="5"/>
    </row>
    <row r="865" spans="1:10">
      <c r="A865" s="5"/>
      <c r="B865" s="5"/>
      <c r="C865" s="5"/>
      <c r="D865" s="5"/>
      <c r="E865" s="5"/>
      <c r="F865" s="5"/>
      <c r="G865" s="5"/>
      <c r="H865" s="5"/>
      <c r="I865" s="5"/>
      <c r="J865" s="5"/>
    </row>
    <row r="866" spans="1:10">
      <c r="A866" s="5"/>
      <c r="B866" s="5"/>
      <c r="C866" s="5"/>
      <c r="D866" s="5"/>
      <c r="E866" s="5"/>
      <c r="F866" s="5"/>
      <c r="G866" s="5"/>
      <c r="H866" s="5"/>
      <c r="I866" s="5"/>
      <c r="J866" s="5"/>
    </row>
    <row r="867" spans="1:10">
      <c r="A867" s="5"/>
      <c r="B867" s="5"/>
      <c r="C867" s="5"/>
      <c r="D867" s="5"/>
      <c r="E867" s="5"/>
      <c r="F867" s="5"/>
      <c r="G867" s="5"/>
      <c r="H867" s="5"/>
      <c r="I867" s="5"/>
      <c r="J867" s="5"/>
    </row>
    <row r="868" spans="1:10">
      <c r="A868" s="5"/>
      <c r="B868" s="5"/>
      <c r="C868" s="5"/>
      <c r="D868" s="5"/>
      <c r="E868" s="5"/>
      <c r="F868" s="5"/>
      <c r="G868" s="5"/>
      <c r="H868" s="5"/>
      <c r="I868" s="5"/>
      <c r="J868" s="5"/>
    </row>
    <row r="869" spans="1:10">
      <c r="A869" s="5"/>
      <c r="B869" s="5"/>
      <c r="C869" s="5"/>
      <c r="D869" s="5"/>
      <c r="E869" s="5"/>
      <c r="F869" s="5"/>
      <c r="G869" s="5"/>
      <c r="H869" s="5"/>
      <c r="I869" s="5"/>
      <c r="J869" s="5"/>
    </row>
    <row r="870" spans="1:10">
      <c r="A870" s="5"/>
      <c r="B870" s="5"/>
      <c r="C870" s="5"/>
      <c r="D870" s="5"/>
      <c r="E870" s="5"/>
      <c r="F870" s="5"/>
      <c r="G870" s="5"/>
      <c r="H870" s="5"/>
      <c r="I870" s="5"/>
      <c r="J870" s="5"/>
    </row>
    <row r="871" spans="1:10">
      <c r="A871" s="5"/>
      <c r="B871" s="5"/>
      <c r="C871" s="5"/>
      <c r="D871" s="5"/>
      <c r="E871" s="5"/>
      <c r="F871" s="5"/>
      <c r="G871" s="5"/>
      <c r="H871" s="5"/>
      <c r="I871" s="5"/>
      <c r="J871" s="5"/>
    </row>
    <row r="872" spans="1:10">
      <c r="A872" s="5"/>
      <c r="B872" s="5"/>
      <c r="C872" s="5"/>
      <c r="D872" s="5"/>
      <c r="E872" s="5"/>
      <c r="F872" s="5"/>
      <c r="G872" s="5"/>
      <c r="H872" s="5"/>
      <c r="I872" s="5"/>
      <c r="J872" s="5"/>
    </row>
    <row r="873" spans="1:10">
      <c r="A873" s="5"/>
      <c r="B873" s="5"/>
      <c r="C873" s="5"/>
      <c r="D873" s="5"/>
      <c r="E873" s="5"/>
      <c r="F873" s="5"/>
      <c r="G873" s="5"/>
      <c r="H873" s="5"/>
      <c r="I873" s="5"/>
      <c r="J873" s="5"/>
    </row>
    <row r="874" spans="1:10">
      <c r="A874" s="5"/>
      <c r="B874" s="5"/>
      <c r="C874" s="5"/>
      <c r="D874" s="5"/>
      <c r="E874" s="5"/>
      <c r="F874" s="5"/>
      <c r="G874" s="5"/>
      <c r="H874" s="5"/>
      <c r="I874" s="5"/>
      <c r="J874" s="5"/>
    </row>
    <row r="875" spans="1:10">
      <c r="A875" s="5"/>
      <c r="B875" s="5"/>
      <c r="C875" s="5"/>
      <c r="D875" s="5"/>
      <c r="E875" s="5"/>
      <c r="F875" s="5"/>
      <c r="G875" s="5"/>
      <c r="H875" s="5"/>
      <c r="I875" s="5"/>
      <c r="J875" s="5"/>
    </row>
    <row r="876" spans="1:10">
      <c r="A876" s="5"/>
      <c r="B876" s="5"/>
      <c r="C876" s="5"/>
      <c r="D876" s="5"/>
      <c r="E876" s="5"/>
      <c r="F876" s="5"/>
      <c r="G876" s="5"/>
      <c r="H876" s="5"/>
      <c r="I876" s="5"/>
      <c r="J876" s="5"/>
    </row>
    <row r="877" spans="1:10">
      <c r="A877" s="5"/>
      <c r="B877" s="5"/>
      <c r="C877" s="5"/>
      <c r="D877" s="5"/>
      <c r="E877" s="5"/>
      <c r="F877" s="5"/>
      <c r="G877" s="5"/>
      <c r="H877" s="5"/>
      <c r="I877" s="5"/>
      <c r="J877" s="5"/>
    </row>
    <row r="878" spans="1:10">
      <c r="A878" s="5"/>
      <c r="B878" s="5"/>
      <c r="C878" s="5"/>
      <c r="D878" s="5"/>
      <c r="E878" s="5"/>
      <c r="F878" s="5"/>
      <c r="G878" s="5"/>
      <c r="H878" s="5"/>
      <c r="I878" s="5"/>
      <c r="J878" s="5"/>
    </row>
    <row r="879" spans="1:10">
      <c r="A879" s="5"/>
      <c r="B879" s="5"/>
      <c r="C879" s="5"/>
      <c r="D879" s="5"/>
      <c r="E879" s="5"/>
      <c r="F879" s="5"/>
      <c r="G879" s="5"/>
      <c r="H879" s="5"/>
      <c r="I879" s="5"/>
      <c r="J879" s="5"/>
    </row>
    <row r="880" spans="1:10">
      <c r="A880" s="5"/>
      <c r="B880" s="5"/>
      <c r="C880" s="5"/>
      <c r="D880" s="5"/>
      <c r="E880" s="5"/>
      <c r="F880" s="5"/>
      <c r="G880" s="5"/>
      <c r="H880" s="5"/>
      <c r="I880" s="5"/>
      <c r="J880" s="5"/>
    </row>
    <row r="881" spans="1:10">
      <c r="A881" s="5"/>
      <c r="B881" s="5"/>
      <c r="C881" s="5"/>
      <c r="D881" s="5"/>
      <c r="E881" s="5"/>
      <c r="F881" s="5"/>
      <c r="G881" s="5"/>
      <c r="H881" s="5"/>
      <c r="I881" s="5"/>
      <c r="J881" s="5"/>
    </row>
    <row r="882" spans="1:10">
      <c r="A882" s="5"/>
      <c r="B882" s="5"/>
      <c r="C882" s="5"/>
      <c r="D882" s="5"/>
      <c r="E882" s="5"/>
      <c r="F882" s="5"/>
      <c r="G882" s="5"/>
      <c r="H882" s="5"/>
      <c r="I882" s="5"/>
      <c r="J882" s="5"/>
    </row>
    <row r="883" spans="1:10">
      <c r="A883" s="5"/>
      <c r="B883" s="5"/>
      <c r="C883" s="5"/>
      <c r="D883" s="5"/>
      <c r="E883" s="5"/>
      <c r="F883" s="5"/>
      <c r="G883" s="5"/>
      <c r="H883" s="5"/>
      <c r="I883" s="5"/>
      <c r="J883" s="5"/>
    </row>
    <row r="884" spans="1:10">
      <c r="A884" s="5"/>
      <c r="B884" s="5"/>
      <c r="C884" s="5"/>
      <c r="D884" s="5"/>
      <c r="E884" s="5"/>
      <c r="F884" s="5"/>
      <c r="G884" s="5"/>
      <c r="H884" s="5"/>
      <c r="I884" s="5"/>
      <c r="J884" s="5"/>
    </row>
    <row r="885" spans="1:10">
      <c r="A885" s="5"/>
      <c r="B885" s="5"/>
      <c r="C885" s="5"/>
      <c r="D885" s="5"/>
      <c r="E885" s="5"/>
      <c r="F885" s="5"/>
      <c r="G885" s="5"/>
      <c r="H885" s="5"/>
      <c r="I885" s="5"/>
      <c r="J885" s="5"/>
    </row>
    <row r="886" spans="1:10">
      <c r="A886" s="5"/>
      <c r="B886" s="5"/>
      <c r="C886" s="5"/>
      <c r="D886" s="5"/>
      <c r="E886" s="5"/>
      <c r="F886" s="5"/>
      <c r="G886" s="5"/>
      <c r="H886" s="5"/>
      <c r="I886" s="5"/>
      <c r="J886" s="5"/>
    </row>
    <row r="887" spans="1:10">
      <c r="A887" s="5"/>
      <c r="B887" s="5"/>
      <c r="C887" s="5"/>
      <c r="D887" s="5"/>
      <c r="E887" s="5"/>
      <c r="F887" s="5"/>
      <c r="G887" s="5"/>
      <c r="H887" s="5"/>
      <c r="I887" s="5"/>
      <c r="J887" s="5"/>
    </row>
    <row r="888" spans="1:10">
      <c r="A888" s="5"/>
      <c r="B888" s="5"/>
      <c r="C888" s="5"/>
      <c r="D888" s="5"/>
      <c r="E888" s="5"/>
      <c r="F888" s="5"/>
      <c r="G888" s="5"/>
      <c r="H888" s="5"/>
      <c r="I888" s="5"/>
      <c r="J888" s="5"/>
    </row>
    <row r="889" spans="1:10">
      <c r="A889" s="5"/>
      <c r="B889" s="5"/>
      <c r="C889" s="5"/>
      <c r="D889" s="5"/>
      <c r="E889" s="5"/>
      <c r="F889" s="5"/>
      <c r="G889" s="5"/>
      <c r="H889" s="5"/>
      <c r="I889" s="5"/>
      <c r="J889" s="5"/>
    </row>
    <row r="890" spans="1:10">
      <c r="A890" s="5"/>
      <c r="B890" s="5"/>
      <c r="C890" s="5"/>
      <c r="D890" s="5"/>
      <c r="E890" s="5"/>
      <c r="F890" s="5"/>
      <c r="G890" s="5"/>
      <c r="H890" s="5"/>
      <c r="I890" s="5"/>
      <c r="J890" s="5"/>
    </row>
    <row r="891" spans="1:10">
      <c r="A891" s="5"/>
      <c r="B891" s="5"/>
      <c r="C891" s="5"/>
      <c r="D891" s="5"/>
      <c r="E891" s="5"/>
      <c r="F891" s="5"/>
      <c r="G891" s="5"/>
      <c r="H891" s="5"/>
      <c r="I891" s="5"/>
      <c r="J891" s="5"/>
    </row>
    <row r="892" spans="1:10">
      <c r="A892" s="5"/>
      <c r="B892" s="5"/>
      <c r="C892" s="5"/>
      <c r="D892" s="5"/>
      <c r="E892" s="5"/>
      <c r="F892" s="5"/>
      <c r="G892" s="5"/>
      <c r="H892" s="5"/>
      <c r="I892" s="5"/>
      <c r="J892" s="5"/>
    </row>
    <row r="893" spans="1:10">
      <c r="A893" s="5"/>
      <c r="B893" s="5"/>
      <c r="C893" s="5"/>
      <c r="D893" s="5"/>
      <c r="E893" s="5"/>
      <c r="F893" s="5"/>
      <c r="G893" s="5"/>
      <c r="H893" s="5"/>
      <c r="I893" s="5"/>
      <c r="J893" s="5"/>
    </row>
    <row r="894" spans="1:10">
      <c r="A894" s="5"/>
      <c r="B894" s="5"/>
      <c r="C894" s="5"/>
      <c r="D894" s="5"/>
      <c r="E894" s="5"/>
      <c r="F894" s="5"/>
      <c r="G894" s="5"/>
      <c r="H894" s="5"/>
      <c r="I894" s="5"/>
      <c r="J894" s="5"/>
    </row>
    <row r="895" spans="1:10">
      <c r="A895" s="5"/>
      <c r="B895" s="5"/>
      <c r="C895" s="5"/>
      <c r="D895" s="5"/>
      <c r="E895" s="5"/>
      <c r="F895" s="5"/>
      <c r="G895" s="5"/>
      <c r="H895" s="5"/>
      <c r="I895" s="5"/>
      <c r="J895" s="5"/>
    </row>
    <row r="896" spans="1:10">
      <c r="A896" s="5"/>
      <c r="B896" s="5"/>
      <c r="C896" s="5"/>
      <c r="D896" s="5"/>
      <c r="E896" s="5"/>
      <c r="F896" s="5"/>
      <c r="G896" s="5"/>
      <c r="H896" s="5"/>
      <c r="I896" s="5"/>
      <c r="J896" s="5"/>
    </row>
    <row r="897" spans="1:10">
      <c r="A897" s="5"/>
      <c r="B897" s="5"/>
      <c r="C897" s="5"/>
      <c r="D897" s="5"/>
      <c r="E897" s="5"/>
      <c r="F897" s="5"/>
      <c r="G897" s="5"/>
      <c r="H897" s="5"/>
      <c r="I897" s="5"/>
      <c r="J897" s="5"/>
    </row>
    <row r="898" spans="1:10">
      <c r="A898" s="5"/>
      <c r="B898" s="5"/>
      <c r="C898" s="5"/>
      <c r="D898" s="5"/>
      <c r="E898" s="5"/>
      <c r="F898" s="5"/>
      <c r="G898" s="5"/>
      <c r="H898" s="5"/>
      <c r="I898" s="5"/>
      <c r="J898" s="5"/>
    </row>
    <row r="899" spans="1:10">
      <c r="A899" s="5"/>
      <c r="B899" s="5"/>
      <c r="C899" s="5"/>
      <c r="D899" s="5"/>
      <c r="E899" s="5"/>
      <c r="F899" s="5"/>
      <c r="G899" s="5"/>
      <c r="H899" s="5"/>
      <c r="I899" s="5"/>
      <c r="J899" s="5"/>
    </row>
    <row r="900" spans="1:10">
      <c r="A900" s="5"/>
      <c r="B900" s="5"/>
      <c r="C900" s="5"/>
      <c r="D900" s="5"/>
      <c r="E900" s="5"/>
      <c r="F900" s="5"/>
      <c r="G900" s="5"/>
      <c r="H900" s="5"/>
      <c r="I900" s="5"/>
      <c r="J900" s="5"/>
    </row>
    <row r="901" spans="1:10">
      <c r="A901" s="5"/>
      <c r="B901" s="5"/>
      <c r="C901" s="5"/>
      <c r="D901" s="5"/>
      <c r="E901" s="5"/>
      <c r="F901" s="5"/>
      <c r="G901" s="5"/>
      <c r="H901" s="5"/>
      <c r="I901" s="5"/>
      <c r="J901" s="5"/>
    </row>
    <row r="902" spans="1:10">
      <c r="A902" s="5"/>
      <c r="B902" s="5"/>
      <c r="C902" s="5"/>
      <c r="D902" s="5"/>
      <c r="E902" s="5"/>
      <c r="F902" s="5"/>
      <c r="G902" s="5"/>
      <c r="H902" s="5"/>
      <c r="I902" s="5"/>
      <c r="J902" s="5"/>
    </row>
    <row r="903" spans="1:10">
      <c r="A903" s="5"/>
      <c r="B903" s="5"/>
      <c r="C903" s="5"/>
      <c r="D903" s="5"/>
      <c r="E903" s="5"/>
      <c r="F903" s="5"/>
      <c r="G903" s="5"/>
      <c r="H903" s="5"/>
      <c r="I903" s="5"/>
      <c r="J903" s="5"/>
    </row>
    <row r="904" spans="1:10">
      <c r="A904" s="5"/>
      <c r="B904" s="5"/>
      <c r="C904" s="5"/>
      <c r="D904" s="5"/>
      <c r="E904" s="5"/>
      <c r="F904" s="5"/>
      <c r="G904" s="5"/>
      <c r="H904" s="5"/>
      <c r="I904" s="5"/>
      <c r="J904" s="5"/>
    </row>
    <row r="905" spans="1:10">
      <c r="A905" s="5"/>
      <c r="B905" s="5"/>
      <c r="C905" s="5"/>
      <c r="D905" s="5"/>
      <c r="E905" s="5"/>
      <c r="F905" s="5"/>
      <c r="G905" s="5"/>
      <c r="H905" s="5"/>
      <c r="I905" s="5"/>
      <c r="J905" s="5"/>
    </row>
    <row r="906" spans="1:10">
      <c r="A906" s="5"/>
      <c r="B906" s="5"/>
      <c r="C906" s="5"/>
      <c r="D906" s="5"/>
      <c r="E906" s="5"/>
      <c r="F906" s="5"/>
      <c r="G906" s="5"/>
      <c r="H906" s="5"/>
      <c r="I906" s="5"/>
      <c r="J906" s="5"/>
    </row>
    <row r="907" spans="1:10">
      <c r="A907" s="5"/>
      <c r="B907" s="5"/>
      <c r="C907" s="5"/>
      <c r="D907" s="5"/>
      <c r="E907" s="5"/>
      <c r="F907" s="5"/>
      <c r="G907" s="5"/>
      <c r="H907" s="5"/>
      <c r="I907" s="5"/>
      <c r="J907" s="5"/>
    </row>
    <row r="908" spans="1:10">
      <c r="A908" s="5"/>
      <c r="B908" s="5"/>
      <c r="C908" s="5"/>
      <c r="D908" s="5"/>
      <c r="E908" s="5"/>
      <c r="F908" s="5"/>
      <c r="G908" s="5"/>
      <c r="H908" s="5"/>
      <c r="I908" s="5"/>
      <c r="J908" s="5"/>
    </row>
    <row r="909" spans="1:10">
      <c r="A909" s="5"/>
      <c r="B909" s="5"/>
      <c r="C909" s="5"/>
      <c r="D909" s="5"/>
      <c r="E909" s="5"/>
      <c r="F909" s="5"/>
      <c r="G909" s="5"/>
      <c r="H909" s="5"/>
      <c r="I909" s="5"/>
      <c r="J909" s="5"/>
    </row>
    <row r="910" spans="1:10">
      <c r="A910" s="5"/>
      <c r="B910" s="5"/>
      <c r="C910" s="5"/>
      <c r="D910" s="5"/>
      <c r="E910" s="5"/>
      <c r="F910" s="5"/>
      <c r="G910" s="5"/>
      <c r="H910" s="5"/>
      <c r="I910" s="5"/>
      <c r="J910" s="5"/>
    </row>
    <row r="911" spans="1:10">
      <c r="A911" s="5"/>
      <c r="B911" s="5"/>
      <c r="C911" s="5"/>
      <c r="D911" s="5"/>
      <c r="E911" s="5"/>
      <c r="F911" s="5"/>
      <c r="G911" s="5"/>
      <c r="H911" s="5"/>
      <c r="I911" s="5"/>
      <c r="J911" s="5"/>
    </row>
    <row r="912" spans="1:10">
      <c r="A912" s="5"/>
      <c r="B912" s="5"/>
      <c r="C912" s="5"/>
      <c r="D912" s="5"/>
      <c r="E912" s="5"/>
      <c r="F912" s="5"/>
      <c r="G912" s="5"/>
      <c r="H912" s="5"/>
      <c r="I912" s="5"/>
      <c r="J912" s="5"/>
    </row>
    <row r="913" spans="1:10">
      <c r="A913" s="5"/>
      <c r="B913" s="5"/>
      <c r="C913" s="5"/>
      <c r="D913" s="5"/>
      <c r="E913" s="5"/>
      <c r="F913" s="5"/>
      <c r="G913" s="5"/>
      <c r="H913" s="5"/>
      <c r="I913" s="5"/>
      <c r="J913" s="5"/>
    </row>
    <row r="914" spans="1:10">
      <c r="A914" s="5"/>
      <c r="B914" s="5"/>
      <c r="C914" s="5"/>
      <c r="D914" s="5"/>
      <c r="E914" s="5"/>
      <c r="F914" s="5"/>
      <c r="G914" s="5"/>
      <c r="H914" s="5"/>
      <c r="I914" s="5"/>
      <c r="J914" s="5"/>
    </row>
    <row r="915" spans="1:10">
      <c r="A915" s="5"/>
      <c r="B915" s="5"/>
      <c r="C915" s="5"/>
      <c r="D915" s="5"/>
      <c r="E915" s="5"/>
      <c r="F915" s="5"/>
      <c r="G915" s="5"/>
      <c r="H915" s="5"/>
      <c r="I915" s="5"/>
      <c r="J915" s="5"/>
    </row>
    <row r="916" spans="1:10">
      <c r="A916" s="5"/>
      <c r="B916" s="5"/>
      <c r="C916" s="5"/>
      <c r="D916" s="5"/>
      <c r="E916" s="5"/>
      <c r="F916" s="5"/>
      <c r="G916" s="5"/>
      <c r="H916" s="5"/>
      <c r="I916" s="5"/>
      <c r="J916" s="5"/>
    </row>
    <row r="917" spans="1:10">
      <c r="A917" s="5"/>
      <c r="B917" s="5"/>
      <c r="C917" s="5"/>
      <c r="D917" s="5"/>
      <c r="E917" s="5"/>
      <c r="F917" s="5"/>
      <c r="G917" s="5"/>
      <c r="H917" s="5"/>
      <c r="I917" s="5"/>
      <c r="J917" s="5"/>
    </row>
    <row r="918" spans="1:10">
      <c r="A918" s="5"/>
      <c r="B918" s="5"/>
      <c r="C918" s="5"/>
      <c r="D918" s="5"/>
      <c r="E918" s="5"/>
      <c r="F918" s="5"/>
      <c r="G918" s="5"/>
      <c r="H918" s="5"/>
      <c r="I918" s="5"/>
      <c r="J918" s="5"/>
    </row>
    <row r="919" spans="1:10">
      <c r="A919" s="5"/>
      <c r="B919" s="5"/>
      <c r="C919" s="5"/>
      <c r="D919" s="5"/>
      <c r="E919" s="5"/>
      <c r="F919" s="5"/>
      <c r="G919" s="5"/>
      <c r="H919" s="5"/>
      <c r="I919" s="5"/>
      <c r="J919" s="5"/>
    </row>
    <row r="920" spans="1:10">
      <c r="A920" s="5"/>
      <c r="B920" s="5"/>
      <c r="C920" s="5"/>
      <c r="D920" s="5"/>
      <c r="E920" s="5"/>
      <c r="F920" s="5"/>
      <c r="G920" s="5"/>
      <c r="H920" s="5"/>
      <c r="I920" s="5"/>
      <c r="J920" s="5"/>
    </row>
    <row r="921" spans="1:10">
      <c r="A921" s="5"/>
      <c r="B921" s="5"/>
      <c r="C921" s="5"/>
      <c r="D921" s="5"/>
      <c r="E921" s="5"/>
      <c r="F921" s="5"/>
      <c r="G921" s="5"/>
      <c r="H921" s="5"/>
      <c r="I921" s="5"/>
      <c r="J921" s="5"/>
    </row>
    <row r="922" spans="1:10">
      <c r="A922" s="5"/>
      <c r="B922" s="5"/>
      <c r="C922" s="5"/>
      <c r="D922" s="5"/>
      <c r="E922" s="5"/>
      <c r="F922" s="5"/>
      <c r="G922" s="5"/>
      <c r="H922" s="5"/>
      <c r="I922" s="5"/>
      <c r="J922" s="5"/>
    </row>
    <row r="923" spans="1:10">
      <c r="A923" s="5"/>
      <c r="B923" s="5"/>
      <c r="C923" s="5"/>
      <c r="D923" s="5"/>
      <c r="E923" s="5"/>
      <c r="F923" s="5"/>
      <c r="G923" s="5"/>
      <c r="H923" s="5"/>
      <c r="I923" s="5"/>
      <c r="J923" s="5"/>
    </row>
    <row r="924" spans="1:10">
      <c r="A924" s="5"/>
      <c r="B924" s="5"/>
      <c r="C924" s="5"/>
      <c r="D924" s="5"/>
      <c r="E924" s="5"/>
      <c r="F924" s="5"/>
      <c r="G924" s="5"/>
      <c r="H924" s="5"/>
      <c r="I924" s="5"/>
      <c r="J924" s="5"/>
    </row>
    <row r="925" spans="1:10">
      <c r="A925" s="5"/>
      <c r="B925" s="5"/>
      <c r="C925" s="5"/>
      <c r="D925" s="5"/>
      <c r="E925" s="5"/>
      <c r="F925" s="5"/>
      <c r="G925" s="5"/>
      <c r="H925" s="5"/>
      <c r="I925" s="5"/>
      <c r="J925" s="5"/>
    </row>
    <row r="926" spans="1:10">
      <c r="A926" s="5"/>
      <c r="B926" s="5"/>
      <c r="C926" s="5"/>
      <c r="D926" s="5"/>
      <c r="E926" s="5"/>
      <c r="F926" s="5"/>
      <c r="G926" s="5"/>
      <c r="H926" s="5"/>
      <c r="I926" s="5"/>
      <c r="J926" s="5"/>
    </row>
    <row r="927" spans="1:10">
      <c r="A927" s="5"/>
      <c r="B927" s="5"/>
      <c r="C927" s="5"/>
      <c r="D927" s="5"/>
      <c r="E927" s="5"/>
      <c r="F927" s="5"/>
      <c r="G927" s="5"/>
      <c r="H927" s="5"/>
      <c r="I927" s="5"/>
      <c r="J927" s="5"/>
    </row>
    <row r="928" spans="1:10">
      <c r="A928" s="5"/>
      <c r="B928" s="5"/>
      <c r="C928" s="5"/>
      <c r="D928" s="5"/>
      <c r="E928" s="5"/>
      <c r="F928" s="5"/>
      <c r="G928" s="5"/>
      <c r="H928" s="5"/>
      <c r="I928" s="5"/>
      <c r="J928" s="5"/>
    </row>
    <row r="929" spans="1:10">
      <c r="A929" s="5"/>
      <c r="B929" s="5"/>
      <c r="C929" s="5"/>
      <c r="D929" s="5"/>
      <c r="E929" s="5"/>
      <c r="F929" s="5"/>
      <c r="G929" s="5"/>
      <c r="H929" s="5"/>
      <c r="I929" s="5"/>
      <c r="J929" s="5"/>
    </row>
    <row r="930" spans="1:10">
      <c r="A930" s="5"/>
      <c r="B930" s="5"/>
      <c r="C930" s="5"/>
      <c r="D930" s="5"/>
      <c r="E930" s="5"/>
      <c r="F930" s="5"/>
      <c r="G930" s="5"/>
      <c r="H930" s="5"/>
      <c r="I930" s="5"/>
      <c r="J930" s="5"/>
    </row>
    <row r="931" spans="1:10">
      <c r="A931" s="5"/>
      <c r="B931" s="5"/>
      <c r="C931" s="5"/>
      <c r="D931" s="5"/>
      <c r="E931" s="5"/>
      <c r="F931" s="5"/>
      <c r="G931" s="5"/>
      <c r="H931" s="5"/>
      <c r="I931" s="5"/>
      <c r="J931" s="5"/>
    </row>
    <row r="932" spans="1:10">
      <c r="A932" s="5"/>
      <c r="B932" s="5"/>
      <c r="C932" s="5"/>
      <c r="D932" s="5"/>
      <c r="E932" s="5"/>
      <c r="F932" s="5"/>
      <c r="G932" s="5"/>
      <c r="H932" s="5"/>
      <c r="I932" s="5"/>
      <c r="J932" s="5"/>
    </row>
    <row r="933" spans="1:10">
      <c r="A933" s="5"/>
      <c r="B933" s="5"/>
      <c r="C933" s="5"/>
      <c r="D933" s="5"/>
      <c r="E933" s="5"/>
      <c r="F933" s="5"/>
      <c r="G933" s="5"/>
      <c r="H933" s="5"/>
      <c r="I933" s="5"/>
      <c r="J933" s="5"/>
    </row>
    <row r="934" spans="1:10">
      <c r="A934" s="5"/>
      <c r="B934" s="5"/>
      <c r="C934" s="5"/>
      <c r="D934" s="5"/>
      <c r="E934" s="5"/>
      <c r="F934" s="5"/>
      <c r="G934" s="5"/>
      <c r="H934" s="5"/>
      <c r="I934" s="5"/>
      <c r="J934" s="5"/>
    </row>
    <row r="935" spans="1:10">
      <c r="A935" s="5"/>
      <c r="B935" s="5"/>
      <c r="C935" s="5"/>
      <c r="D935" s="5"/>
      <c r="E935" s="5"/>
      <c r="F935" s="5"/>
      <c r="G935" s="5"/>
      <c r="H935" s="5"/>
      <c r="I935" s="5"/>
      <c r="J935" s="5"/>
    </row>
    <row r="936" spans="1:10">
      <c r="A936" s="5"/>
      <c r="B936" s="5"/>
      <c r="C936" s="5"/>
      <c r="D936" s="5"/>
      <c r="E936" s="5"/>
      <c r="F936" s="5"/>
      <c r="G936" s="5"/>
      <c r="H936" s="5"/>
      <c r="I936" s="5"/>
      <c r="J936" s="5"/>
    </row>
    <row r="937" spans="1:10">
      <c r="A937" s="5"/>
      <c r="B937" s="5"/>
      <c r="C937" s="5"/>
      <c r="D937" s="5"/>
      <c r="E937" s="5"/>
      <c r="F937" s="5"/>
      <c r="G937" s="5"/>
      <c r="H937" s="5"/>
      <c r="I937" s="5"/>
      <c r="J937" s="5"/>
    </row>
    <row r="938" spans="1:10">
      <c r="A938" s="5"/>
      <c r="B938" s="5"/>
      <c r="C938" s="5"/>
      <c r="D938" s="5"/>
      <c r="E938" s="5"/>
      <c r="F938" s="5"/>
      <c r="G938" s="5"/>
      <c r="H938" s="5"/>
      <c r="I938" s="5"/>
      <c r="J938" s="5"/>
    </row>
    <row r="939" spans="1:10">
      <c r="A939" s="5"/>
      <c r="B939" s="5"/>
      <c r="C939" s="5"/>
      <c r="D939" s="5"/>
      <c r="E939" s="5"/>
      <c r="F939" s="5"/>
      <c r="G939" s="5"/>
      <c r="H939" s="5"/>
      <c r="I939" s="5"/>
      <c r="J939" s="5"/>
    </row>
    <row r="940" spans="1:10">
      <c r="A940" s="5"/>
      <c r="B940" s="5"/>
      <c r="C940" s="5"/>
      <c r="D940" s="5"/>
      <c r="E940" s="5"/>
      <c r="F940" s="5"/>
      <c r="G940" s="5"/>
      <c r="H940" s="5"/>
      <c r="I940" s="5"/>
      <c r="J940" s="5"/>
    </row>
    <row r="941" spans="1:10">
      <c r="A941" s="5"/>
      <c r="B941" s="5"/>
      <c r="C941" s="5"/>
      <c r="D941" s="5"/>
      <c r="E941" s="5"/>
      <c r="F941" s="5"/>
      <c r="G941" s="5"/>
      <c r="H941" s="5"/>
      <c r="I941" s="5"/>
      <c r="J941" s="5"/>
    </row>
    <row r="942" spans="1:10">
      <c r="A942" s="5"/>
      <c r="B942" s="5"/>
      <c r="C942" s="5"/>
      <c r="D942" s="5"/>
      <c r="E942" s="5"/>
      <c r="F942" s="5"/>
      <c r="G942" s="5"/>
      <c r="H942" s="5"/>
      <c r="I942" s="5"/>
      <c r="J942" s="5"/>
    </row>
    <row r="943" spans="1:10">
      <c r="A943" s="5"/>
      <c r="B943" s="5"/>
      <c r="C943" s="5"/>
      <c r="D943" s="5"/>
      <c r="E943" s="5"/>
      <c r="F943" s="5"/>
      <c r="G943" s="5"/>
      <c r="H943" s="5"/>
      <c r="I943" s="5"/>
      <c r="J943" s="5"/>
    </row>
    <row r="944" spans="1:10">
      <c r="A944" s="5"/>
      <c r="B944" s="5"/>
      <c r="C944" s="5"/>
      <c r="D944" s="5"/>
      <c r="E944" s="5"/>
      <c r="F944" s="5"/>
      <c r="G944" s="5"/>
      <c r="H944" s="5"/>
      <c r="I944" s="5"/>
      <c r="J944" s="5"/>
    </row>
    <row r="945" spans="1:10">
      <c r="A945" s="5"/>
      <c r="B945" s="5"/>
      <c r="C945" s="5"/>
      <c r="D945" s="5"/>
      <c r="E945" s="5"/>
      <c r="F945" s="5"/>
      <c r="G945" s="5"/>
      <c r="H945" s="5"/>
      <c r="I945" s="5"/>
      <c r="J945" s="5"/>
    </row>
    <row r="946" spans="1:10">
      <c r="A946" s="5"/>
      <c r="B946" s="5"/>
      <c r="C946" s="5"/>
      <c r="D946" s="5"/>
      <c r="E946" s="5"/>
      <c r="F946" s="5"/>
      <c r="G946" s="5"/>
      <c r="H946" s="5"/>
      <c r="I946" s="5"/>
      <c r="J946" s="5"/>
    </row>
    <row r="947" spans="1:10">
      <c r="A947" s="5"/>
      <c r="B947" s="5"/>
      <c r="C947" s="5"/>
      <c r="D947" s="5"/>
      <c r="E947" s="5"/>
      <c r="F947" s="5"/>
      <c r="G947" s="5"/>
      <c r="H947" s="5"/>
      <c r="I947" s="5"/>
      <c r="J947" s="5"/>
    </row>
    <row r="948" spans="1:10">
      <c r="A948" s="5"/>
      <c r="B948" s="5"/>
      <c r="C948" s="5"/>
      <c r="D948" s="5"/>
      <c r="E948" s="5"/>
      <c r="F948" s="5"/>
      <c r="G948" s="5"/>
      <c r="H948" s="5"/>
      <c r="I948" s="5"/>
      <c r="J948" s="5"/>
    </row>
    <row r="949" spans="1:10">
      <c r="A949" s="5"/>
      <c r="B949" s="5"/>
      <c r="C949" s="5"/>
      <c r="D949" s="5"/>
      <c r="E949" s="5"/>
      <c r="F949" s="5"/>
      <c r="G949" s="5"/>
      <c r="H949" s="5"/>
      <c r="I949" s="5"/>
      <c r="J949" s="5"/>
    </row>
    <row r="950" spans="1:10">
      <c r="A950" s="5"/>
      <c r="B950" s="5"/>
      <c r="C950" s="5"/>
      <c r="D950" s="5"/>
      <c r="E950" s="5"/>
      <c r="F950" s="5"/>
      <c r="G950" s="5"/>
      <c r="H950" s="5"/>
      <c r="I950" s="5"/>
      <c r="J950" s="5"/>
    </row>
    <row r="951" spans="1:10">
      <c r="A951" s="5"/>
      <c r="B951" s="5"/>
      <c r="C951" s="5"/>
      <c r="D951" s="5"/>
      <c r="E951" s="5"/>
      <c r="F951" s="5"/>
      <c r="G951" s="5"/>
      <c r="H951" s="5"/>
      <c r="I951" s="5"/>
      <c r="J951" s="5"/>
    </row>
    <row r="952" spans="1:10">
      <c r="A952" s="5"/>
      <c r="B952" s="5"/>
      <c r="C952" s="5"/>
      <c r="D952" s="5"/>
      <c r="E952" s="5"/>
      <c r="F952" s="5"/>
      <c r="G952" s="5"/>
      <c r="H952" s="5"/>
      <c r="I952" s="5"/>
      <c r="J952" s="5"/>
    </row>
    <row r="953" spans="1:10">
      <c r="A953" s="5"/>
      <c r="B953" s="5"/>
      <c r="C953" s="5"/>
      <c r="D953" s="5"/>
      <c r="E953" s="5"/>
      <c r="F953" s="5"/>
      <c r="G953" s="5"/>
      <c r="H953" s="5"/>
      <c r="I953" s="5"/>
      <c r="J953" s="5"/>
    </row>
    <row r="954" spans="1:10">
      <c r="A954" s="5"/>
      <c r="B954" s="5"/>
      <c r="C954" s="5"/>
      <c r="D954" s="5"/>
      <c r="E954" s="5"/>
      <c r="F954" s="5"/>
      <c r="G954" s="5"/>
      <c r="H954" s="5"/>
      <c r="I954" s="5"/>
      <c r="J954" s="5"/>
    </row>
    <row r="955" spans="1:10">
      <c r="A955" s="5"/>
      <c r="B955" s="5"/>
      <c r="C955" s="5"/>
      <c r="D955" s="5"/>
      <c r="E955" s="5"/>
      <c r="F955" s="5"/>
      <c r="G955" s="5"/>
      <c r="H955" s="5"/>
      <c r="I955" s="5"/>
      <c r="J955" s="5"/>
    </row>
    <row r="956" spans="1:10">
      <c r="A956" s="5"/>
      <c r="B956" s="5"/>
      <c r="C956" s="5"/>
      <c r="D956" s="5"/>
      <c r="E956" s="5"/>
      <c r="F956" s="5"/>
      <c r="G956" s="5"/>
      <c r="H956" s="5"/>
      <c r="I956" s="5"/>
      <c r="J956" s="5"/>
    </row>
    <row r="957" spans="1:10">
      <c r="A957" s="5"/>
      <c r="B957" s="5"/>
      <c r="C957" s="5"/>
      <c r="D957" s="5"/>
      <c r="E957" s="5"/>
      <c r="F957" s="5"/>
      <c r="G957" s="5"/>
      <c r="H957" s="5"/>
      <c r="I957" s="5"/>
      <c r="J957" s="5"/>
    </row>
    <row r="958" spans="1:10">
      <c r="A958" s="5"/>
      <c r="B958" s="5"/>
      <c r="C958" s="5"/>
      <c r="D958" s="5"/>
      <c r="E958" s="5"/>
      <c r="F958" s="5"/>
      <c r="G958" s="5"/>
      <c r="H958" s="5"/>
      <c r="I958" s="5"/>
      <c r="J958" s="5"/>
    </row>
    <row r="959" spans="1:10">
      <c r="A959" s="5"/>
      <c r="B959" s="5"/>
      <c r="C959" s="5"/>
      <c r="D959" s="5"/>
      <c r="E959" s="5"/>
      <c r="F959" s="5"/>
      <c r="G959" s="5"/>
      <c r="H959" s="5"/>
      <c r="I959" s="5"/>
      <c r="J959" s="5"/>
    </row>
    <row r="960" spans="1:10">
      <c r="A960" s="5"/>
      <c r="B960" s="5"/>
      <c r="C960" s="5"/>
      <c r="D960" s="5"/>
      <c r="E960" s="5"/>
      <c r="F960" s="5"/>
      <c r="G960" s="5"/>
      <c r="H960" s="5"/>
      <c r="I960" s="5"/>
      <c r="J960" s="5"/>
    </row>
    <row r="961" spans="1:10">
      <c r="A961" s="5"/>
      <c r="B961" s="5"/>
      <c r="C961" s="5"/>
      <c r="D961" s="5"/>
      <c r="E961" s="5"/>
      <c r="F961" s="5"/>
      <c r="G961" s="5"/>
      <c r="H961" s="5"/>
      <c r="I961" s="5"/>
      <c r="J961" s="5"/>
    </row>
    <row r="962" spans="1:10">
      <c r="A962" s="5"/>
      <c r="B962" s="5"/>
      <c r="C962" s="5"/>
      <c r="D962" s="5"/>
      <c r="E962" s="5"/>
      <c r="F962" s="5"/>
      <c r="G962" s="5"/>
      <c r="H962" s="5"/>
      <c r="I962" s="5"/>
      <c r="J962" s="5"/>
    </row>
    <row r="963" spans="1:10">
      <c r="A963" s="5"/>
      <c r="B963" s="5"/>
      <c r="C963" s="5"/>
      <c r="D963" s="5"/>
      <c r="E963" s="5"/>
      <c r="F963" s="5"/>
      <c r="G963" s="5"/>
      <c r="H963" s="5"/>
      <c r="I963" s="5"/>
      <c r="J963" s="5"/>
    </row>
    <row r="964" spans="1:10">
      <c r="A964" s="5"/>
      <c r="B964" s="5"/>
      <c r="C964" s="5"/>
      <c r="D964" s="5"/>
      <c r="E964" s="5"/>
      <c r="F964" s="5"/>
      <c r="G964" s="5"/>
      <c r="H964" s="5"/>
      <c r="I964" s="5"/>
      <c r="J964" s="5"/>
    </row>
    <row r="965" spans="1:10">
      <c r="A965" s="5"/>
      <c r="B965" s="5"/>
      <c r="C965" s="5"/>
      <c r="D965" s="5"/>
      <c r="E965" s="5"/>
      <c r="F965" s="5"/>
      <c r="G965" s="5"/>
      <c r="H965" s="5"/>
      <c r="I965" s="5"/>
      <c r="J965" s="5"/>
    </row>
    <row r="966" spans="1:10">
      <c r="A966" s="5"/>
      <c r="B966" s="5"/>
      <c r="C966" s="5"/>
      <c r="D966" s="5"/>
      <c r="E966" s="5"/>
      <c r="F966" s="5"/>
      <c r="G966" s="5"/>
      <c r="H966" s="5"/>
      <c r="I966" s="5"/>
      <c r="J966" s="5"/>
    </row>
    <row r="967" spans="1:10">
      <c r="A967" s="5"/>
      <c r="B967" s="5"/>
      <c r="C967" s="5"/>
      <c r="D967" s="5"/>
      <c r="E967" s="5"/>
      <c r="F967" s="5"/>
      <c r="G967" s="5"/>
      <c r="H967" s="5"/>
      <c r="I967" s="5"/>
      <c r="J967" s="5"/>
    </row>
    <row r="968" spans="1:10">
      <c r="A968" s="5"/>
      <c r="B968" s="5"/>
      <c r="C968" s="5"/>
      <c r="D968" s="5"/>
      <c r="E968" s="5"/>
      <c r="F968" s="5"/>
      <c r="G968" s="5"/>
      <c r="H968" s="5"/>
      <c r="I968" s="5"/>
      <c r="J968" s="5"/>
    </row>
    <row r="969" spans="1:10">
      <c r="A969" s="5"/>
      <c r="B969" s="5"/>
      <c r="C969" s="5"/>
      <c r="D969" s="5"/>
      <c r="E969" s="5"/>
      <c r="F969" s="5"/>
      <c r="G969" s="5"/>
      <c r="H969" s="5"/>
      <c r="I969" s="5"/>
      <c r="J969" s="5"/>
    </row>
    <row r="970" spans="1:10">
      <c r="A970" s="5"/>
      <c r="B970" s="5"/>
      <c r="C970" s="5"/>
      <c r="D970" s="5"/>
      <c r="E970" s="5"/>
      <c r="F970" s="5"/>
      <c r="G970" s="5"/>
      <c r="H970" s="5"/>
      <c r="I970" s="5"/>
      <c r="J970" s="5"/>
    </row>
    <row r="971" spans="1:10">
      <c r="A971" s="5"/>
      <c r="B971" s="5"/>
      <c r="C971" s="5"/>
      <c r="D971" s="5"/>
      <c r="E971" s="5"/>
      <c r="F971" s="5"/>
      <c r="G971" s="5"/>
      <c r="H971" s="5"/>
      <c r="I971" s="5"/>
      <c r="J971" s="5"/>
    </row>
    <row r="972" spans="1:10">
      <c r="A972" s="5"/>
      <c r="B972" s="5"/>
      <c r="C972" s="5"/>
      <c r="D972" s="5"/>
      <c r="E972" s="5"/>
      <c r="F972" s="5"/>
      <c r="G972" s="5"/>
      <c r="H972" s="5"/>
      <c r="I972" s="5"/>
      <c r="J972" s="5"/>
    </row>
    <row r="973" spans="1:10">
      <c r="A973" s="5"/>
      <c r="B973" s="5"/>
      <c r="C973" s="5"/>
      <c r="D973" s="5"/>
      <c r="E973" s="5"/>
      <c r="F973" s="5"/>
      <c r="G973" s="5"/>
      <c r="H973" s="5"/>
      <c r="I973" s="5"/>
      <c r="J973" s="5"/>
    </row>
    <row r="974" spans="1:10">
      <c r="A974" s="5"/>
      <c r="B974" s="5"/>
      <c r="C974" s="5"/>
      <c r="D974" s="5"/>
      <c r="E974" s="5"/>
      <c r="F974" s="5"/>
      <c r="G974" s="5"/>
      <c r="H974" s="5"/>
      <c r="I974" s="5"/>
      <c r="J974" s="5"/>
    </row>
    <row r="975" spans="1:10">
      <c r="A975" s="5"/>
      <c r="B975" s="5"/>
      <c r="C975" s="5"/>
      <c r="D975" s="5"/>
      <c r="E975" s="5"/>
      <c r="F975" s="5"/>
      <c r="G975" s="5"/>
      <c r="H975" s="5"/>
      <c r="I975" s="5"/>
      <c r="J975" s="5"/>
    </row>
    <row r="976" spans="1:10">
      <c r="A976" s="5"/>
      <c r="B976" s="5"/>
      <c r="C976" s="5"/>
      <c r="D976" s="5"/>
      <c r="E976" s="5"/>
      <c r="F976" s="5"/>
      <c r="G976" s="5"/>
      <c r="H976" s="5"/>
      <c r="I976" s="5"/>
      <c r="J976" s="5"/>
    </row>
    <row r="977" spans="1:10">
      <c r="A977" s="5"/>
      <c r="B977" s="5"/>
      <c r="C977" s="5"/>
      <c r="D977" s="5"/>
      <c r="E977" s="5"/>
      <c r="F977" s="5"/>
      <c r="G977" s="5"/>
      <c r="H977" s="5"/>
      <c r="I977" s="5"/>
      <c r="J977" s="5"/>
    </row>
    <row r="978" spans="1:10">
      <c r="A978" s="5"/>
      <c r="B978" s="5"/>
      <c r="C978" s="5"/>
      <c r="D978" s="5"/>
      <c r="E978" s="5"/>
      <c r="F978" s="5"/>
      <c r="G978" s="5"/>
      <c r="H978" s="5"/>
      <c r="I978" s="5"/>
      <c r="J978" s="5"/>
    </row>
    <row r="979" spans="1:10">
      <c r="A979" s="5"/>
      <c r="B979" s="5"/>
      <c r="C979" s="5"/>
      <c r="D979" s="5"/>
      <c r="E979" s="5"/>
      <c r="F979" s="5"/>
      <c r="G979" s="5"/>
      <c r="H979" s="5"/>
      <c r="I979" s="5"/>
      <c r="J979" s="5"/>
    </row>
    <row r="980" spans="1:10">
      <c r="A980" s="5"/>
      <c r="B980" s="5"/>
      <c r="C980" s="5"/>
      <c r="D980" s="5"/>
      <c r="E980" s="5"/>
      <c r="F980" s="5"/>
      <c r="G980" s="5"/>
      <c r="H980" s="5"/>
      <c r="I980" s="5"/>
      <c r="J980" s="5"/>
    </row>
    <row r="981" spans="1:10">
      <c r="A981" s="5"/>
      <c r="B981" s="5"/>
      <c r="C981" s="5"/>
      <c r="D981" s="5"/>
      <c r="E981" s="5"/>
      <c r="F981" s="5"/>
      <c r="G981" s="5"/>
      <c r="H981" s="5"/>
      <c r="I981" s="5"/>
      <c r="J981" s="5"/>
    </row>
    <row r="982" spans="1:10">
      <c r="A982" s="5"/>
      <c r="B982" s="5"/>
      <c r="C982" s="5"/>
      <c r="D982" s="5"/>
      <c r="E982" s="5"/>
      <c r="F982" s="5"/>
      <c r="G982" s="5"/>
      <c r="H982" s="5"/>
      <c r="I982" s="5"/>
      <c r="J982" s="5"/>
    </row>
    <row r="983" spans="1:10">
      <c r="A983" s="5"/>
      <c r="B983" s="5"/>
      <c r="C983" s="5"/>
      <c r="D983" s="5"/>
      <c r="E983" s="5"/>
      <c r="F983" s="5"/>
      <c r="G983" s="5"/>
      <c r="H983" s="5"/>
      <c r="I983" s="5"/>
      <c r="J983" s="5"/>
    </row>
    <row r="984" spans="1:10">
      <c r="A984" s="5"/>
      <c r="B984" s="5"/>
      <c r="C984" s="5"/>
      <c r="D984" s="5"/>
      <c r="E984" s="5"/>
      <c r="F984" s="5"/>
      <c r="G984" s="5"/>
      <c r="H984" s="5"/>
      <c r="I984" s="5"/>
      <c r="J984" s="5"/>
    </row>
    <row r="985" spans="1:10">
      <c r="A985" s="5"/>
      <c r="B985" s="5"/>
      <c r="C985" s="5"/>
      <c r="D985" s="5"/>
      <c r="E985" s="5"/>
      <c r="F985" s="5"/>
      <c r="G985" s="5"/>
      <c r="H985" s="5"/>
      <c r="I985" s="5"/>
      <c r="J985" s="5"/>
    </row>
    <row r="986" spans="1:10">
      <c r="A986" s="5"/>
      <c r="B986" s="5"/>
      <c r="C986" s="5"/>
      <c r="D986" s="5"/>
      <c r="E986" s="5"/>
      <c r="F986" s="5"/>
      <c r="G986" s="5"/>
      <c r="H986" s="5"/>
      <c r="I986" s="5"/>
      <c r="J986" s="5"/>
    </row>
    <row r="987" spans="1:10">
      <c r="A987" s="5"/>
      <c r="B987" s="5"/>
      <c r="C987" s="5"/>
      <c r="D987" s="5"/>
      <c r="E987" s="5"/>
      <c r="F987" s="5"/>
      <c r="G987" s="5"/>
      <c r="H987" s="5"/>
      <c r="I987" s="5"/>
      <c r="J987" s="5"/>
    </row>
    <row r="988" spans="1:10">
      <c r="A988" s="5"/>
      <c r="B988" s="5"/>
      <c r="C988" s="5"/>
      <c r="D988" s="5"/>
      <c r="E988" s="5"/>
      <c r="F988" s="5"/>
      <c r="G988" s="5"/>
      <c r="H988" s="5"/>
      <c r="I988" s="5"/>
      <c r="J988" s="5"/>
    </row>
    <row r="989" spans="1:10">
      <c r="A989" s="5"/>
      <c r="B989" s="5"/>
      <c r="C989" s="5"/>
      <c r="D989" s="5"/>
      <c r="E989" s="5"/>
      <c r="F989" s="5"/>
      <c r="G989" s="5"/>
      <c r="H989" s="5"/>
      <c r="I989" s="5"/>
      <c r="J989" s="5"/>
    </row>
    <row r="990" spans="1:10">
      <c r="A990" s="5"/>
      <c r="B990" s="5"/>
      <c r="C990" s="5"/>
      <c r="D990" s="5"/>
      <c r="E990" s="5"/>
      <c r="F990" s="5"/>
      <c r="G990" s="5"/>
      <c r="H990" s="5"/>
      <c r="I990" s="5"/>
      <c r="J990" s="5"/>
    </row>
    <row r="991" spans="1:10">
      <c r="A991" s="5"/>
      <c r="B991" s="5"/>
      <c r="C991" s="5"/>
      <c r="D991" s="5"/>
      <c r="E991" s="5"/>
      <c r="F991" s="5"/>
      <c r="G991" s="5"/>
      <c r="H991" s="5"/>
      <c r="I991" s="5"/>
      <c r="J991" s="5"/>
    </row>
    <row r="992" spans="1:10">
      <c r="A992" s="5"/>
      <c r="B992" s="5"/>
      <c r="C992" s="5"/>
      <c r="D992" s="5"/>
      <c r="E992" s="5"/>
      <c r="F992" s="5"/>
      <c r="G992" s="5"/>
      <c r="H992" s="5"/>
      <c r="I992" s="5"/>
      <c r="J992" s="5"/>
    </row>
    <row r="993" spans="1:10">
      <c r="A993" s="5"/>
      <c r="B993" s="5"/>
      <c r="C993" s="5"/>
      <c r="D993" s="5"/>
      <c r="E993" s="5"/>
      <c r="F993" s="5"/>
      <c r="G993" s="5"/>
      <c r="H993" s="5"/>
      <c r="I993" s="5"/>
      <c r="J993" s="5"/>
    </row>
    <row r="994" spans="1:10">
      <c r="A994" s="5"/>
      <c r="B994" s="5"/>
      <c r="C994" s="5"/>
      <c r="D994" s="5"/>
      <c r="E994" s="5"/>
      <c r="F994" s="5"/>
      <c r="G994" s="5"/>
      <c r="H994" s="5"/>
      <c r="I994" s="5"/>
      <c r="J994" s="5"/>
    </row>
    <row r="995" spans="1:10">
      <c r="A995" s="5"/>
      <c r="B995" s="5"/>
      <c r="C995" s="5"/>
      <c r="D995" s="5"/>
      <c r="E995" s="5"/>
      <c r="F995" s="5"/>
      <c r="G995" s="5"/>
      <c r="H995" s="5"/>
      <c r="I995" s="5"/>
      <c r="J995" s="5"/>
    </row>
    <row r="996" spans="1:10">
      <c r="A996" s="5"/>
      <c r="B996" s="5"/>
      <c r="C996" s="5"/>
      <c r="D996" s="5"/>
      <c r="E996" s="5"/>
      <c r="F996" s="5"/>
      <c r="G996" s="5"/>
      <c r="H996" s="5"/>
      <c r="I996" s="5"/>
      <c r="J996" s="5"/>
    </row>
    <row r="997" spans="1:10">
      <c r="A997" s="5"/>
      <c r="B997" s="5"/>
      <c r="C997" s="5"/>
      <c r="D997" s="5"/>
      <c r="E997" s="5"/>
      <c r="F997" s="5"/>
      <c r="G997" s="5"/>
      <c r="H997" s="5"/>
      <c r="I997" s="5"/>
      <c r="J997" s="5"/>
    </row>
    <row r="998" spans="1:10">
      <c r="A998" s="5"/>
      <c r="B998" s="5"/>
      <c r="C998" s="5"/>
      <c r="D998" s="5"/>
      <c r="E998" s="5"/>
      <c r="F998" s="5"/>
      <c r="G998" s="5"/>
      <c r="H998" s="5"/>
      <c r="I998" s="5"/>
      <c r="J998" s="5"/>
    </row>
    <row r="999" spans="1:10">
      <c r="A999" s="5"/>
      <c r="B999" s="5"/>
      <c r="C999" s="5"/>
      <c r="D999" s="5"/>
      <c r="E999" s="5"/>
      <c r="F999" s="5"/>
      <c r="G999" s="5"/>
      <c r="H999" s="5"/>
      <c r="I999" s="5"/>
      <c r="J999" s="5"/>
    </row>
    <row r="1000" spans="1:10">
      <c r="A1000" s="5"/>
      <c r="B1000" s="5"/>
      <c r="C1000" s="5"/>
      <c r="D1000" s="5"/>
      <c r="E1000" s="5"/>
      <c r="F1000" s="5"/>
      <c r="G1000" s="5"/>
      <c r="H1000" s="5"/>
      <c r="I1000" s="5"/>
      <c r="J1000" s="5"/>
    </row>
    <row r="1001" spans="1:10">
      <c r="A1001" s="5"/>
      <c r="B1001" s="5"/>
      <c r="C1001" s="5"/>
      <c r="D1001" s="5"/>
      <c r="E1001" s="5"/>
      <c r="F1001" s="5"/>
      <c r="G1001" s="5"/>
      <c r="H1001" s="5"/>
      <c r="I1001" s="5"/>
      <c r="J1001" s="5"/>
    </row>
    <row r="1002" spans="1:10">
      <c r="A1002" s="5"/>
      <c r="B1002" s="5"/>
      <c r="C1002" s="5"/>
      <c r="D1002" s="5"/>
      <c r="E1002" s="5"/>
      <c r="F1002" s="5"/>
      <c r="G1002" s="5"/>
      <c r="H1002" s="5"/>
      <c r="I1002" s="5"/>
      <c r="J1002" s="5"/>
    </row>
    <row r="1003" spans="1:10">
      <c r="A1003" s="5"/>
      <c r="B1003" s="5"/>
      <c r="C1003" s="5"/>
      <c r="D1003" s="5"/>
      <c r="E1003" s="5"/>
      <c r="F1003" s="5"/>
      <c r="G1003" s="5"/>
      <c r="H1003" s="5"/>
      <c r="I1003" s="5"/>
      <c r="J1003" s="5"/>
    </row>
    <row r="1004" spans="1:10">
      <c r="A1004" s="5"/>
      <c r="B1004" s="5"/>
      <c r="C1004" s="5"/>
      <c r="D1004" s="5"/>
      <c r="E1004" s="5"/>
      <c r="F1004" s="5"/>
      <c r="G1004" s="5"/>
      <c r="H1004" s="5"/>
      <c r="I1004" s="5"/>
      <c r="J1004" s="5"/>
    </row>
    <row r="1005" spans="1:10">
      <c r="A1005" s="5"/>
      <c r="B1005" s="5"/>
      <c r="C1005" s="5"/>
      <c r="D1005" s="5"/>
      <c r="E1005" s="5"/>
      <c r="F1005" s="5"/>
      <c r="G1005" s="5"/>
      <c r="H1005" s="5"/>
      <c r="I1005" s="5"/>
      <c r="J1005" s="5"/>
    </row>
    <row r="1006" spans="1:10">
      <c r="A1006" s="5"/>
      <c r="B1006" s="5"/>
      <c r="C1006" s="5"/>
      <c r="D1006" s="5"/>
      <c r="E1006" s="5"/>
      <c r="F1006" s="5"/>
      <c r="G1006" s="5"/>
      <c r="H1006" s="5"/>
      <c r="I1006" s="5"/>
      <c r="J1006" s="5"/>
    </row>
    <row r="1007" spans="1:10">
      <c r="A1007" s="5"/>
      <c r="B1007" s="5"/>
      <c r="C1007" s="5"/>
      <c r="D1007" s="5"/>
      <c r="E1007" s="5"/>
      <c r="F1007" s="5"/>
      <c r="G1007" s="5"/>
      <c r="H1007" s="5"/>
      <c r="I1007" s="5"/>
      <c r="J1007" s="5"/>
    </row>
    <row r="1008" spans="1:10">
      <c r="A1008" s="5"/>
      <c r="B1008" s="5"/>
      <c r="C1008" s="5"/>
      <c r="D1008" s="5"/>
      <c r="E1008" s="5"/>
      <c r="F1008" s="5"/>
      <c r="G1008" s="5"/>
      <c r="H1008" s="5"/>
      <c r="I1008" s="5"/>
      <c r="J1008" s="5"/>
    </row>
    <row r="1009" spans="1:10">
      <c r="A1009" s="5"/>
      <c r="B1009" s="5"/>
      <c r="C1009" s="5"/>
      <c r="D1009" s="5"/>
      <c r="E1009" s="5"/>
      <c r="F1009" s="5"/>
      <c r="G1009" s="5"/>
      <c r="H1009" s="5"/>
      <c r="I1009" s="5"/>
      <c r="J1009" s="5"/>
    </row>
    <row r="1010" spans="1:10">
      <c r="A1010" s="5"/>
      <c r="B1010" s="5"/>
      <c r="C1010" s="5"/>
      <c r="D1010" s="5"/>
      <c r="E1010" s="5"/>
      <c r="F1010" s="5"/>
      <c r="G1010" s="5"/>
      <c r="H1010" s="5"/>
      <c r="I1010" s="5"/>
      <c r="J1010" s="5"/>
    </row>
    <row r="1011" spans="1:10">
      <c r="A1011" s="5"/>
      <c r="B1011" s="5"/>
      <c r="C1011" s="5"/>
      <c r="D1011" s="5"/>
      <c r="E1011" s="5"/>
      <c r="F1011" s="5"/>
      <c r="G1011" s="5"/>
      <c r="H1011" s="5"/>
      <c r="I1011" s="5"/>
      <c r="J1011" s="5"/>
    </row>
    <row r="1012" spans="1:10">
      <c r="A1012" s="5"/>
      <c r="B1012" s="5"/>
      <c r="C1012" s="5"/>
      <c r="D1012" s="5"/>
      <c r="E1012" s="5"/>
      <c r="F1012" s="5"/>
      <c r="G1012" s="5"/>
      <c r="H1012" s="5"/>
      <c r="I1012" s="5"/>
      <c r="J1012" s="5"/>
    </row>
    <row r="1013" spans="1:10">
      <c r="A1013" s="5"/>
      <c r="B1013" s="5"/>
      <c r="C1013" s="5"/>
      <c r="D1013" s="5"/>
      <c r="E1013" s="5"/>
      <c r="F1013" s="5"/>
      <c r="G1013" s="5"/>
      <c r="H1013" s="5"/>
      <c r="I1013" s="5"/>
      <c r="J1013" s="5"/>
    </row>
    <row r="1014" spans="1:10">
      <c r="A1014" s="5"/>
      <c r="B1014" s="5"/>
      <c r="C1014" s="5"/>
      <c r="D1014" s="5"/>
      <c r="E1014" s="5"/>
      <c r="F1014" s="5"/>
      <c r="G1014" s="5"/>
      <c r="H1014" s="5"/>
      <c r="I1014" s="5"/>
      <c r="J1014" s="5"/>
    </row>
    <row r="1015" spans="1:10">
      <c r="A1015" s="5"/>
      <c r="B1015" s="5"/>
      <c r="C1015" s="5"/>
      <c r="D1015" s="5"/>
      <c r="E1015" s="5"/>
      <c r="F1015" s="5"/>
      <c r="G1015" s="5"/>
      <c r="H1015" s="5"/>
      <c r="I1015" s="5"/>
      <c r="J1015" s="5"/>
    </row>
    <row r="1016" spans="1:10">
      <c r="A1016" s="5"/>
      <c r="B1016" s="5"/>
      <c r="C1016" s="5"/>
      <c r="D1016" s="5"/>
      <c r="E1016" s="5"/>
      <c r="F1016" s="5"/>
      <c r="G1016" s="5"/>
      <c r="H1016" s="5"/>
      <c r="I1016" s="5"/>
      <c r="J1016" s="5"/>
    </row>
    <row r="1017" spans="1:10">
      <c r="A1017" s="5"/>
      <c r="B1017" s="5"/>
      <c r="C1017" s="5"/>
      <c r="D1017" s="5"/>
      <c r="E1017" s="5"/>
      <c r="F1017" s="5"/>
      <c r="G1017" s="5"/>
      <c r="H1017" s="5"/>
      <c r="I1017" s="5"/>
      <c r="J1017" s="5"/>
    </row>
    <row r="1018" spans="1:10">
      <c r="A1018" s="5"/>
      <c r="B1018" s="5"/>
      <c r="C1018" s="5"/>
      <c r="D1018" s="5"/>
      <c r="E1018" s="5"/>
      <c r="F1018" s="5"/>
      <c r="G1018" s="5"/>
      <c r="H1018" s="5"/>
      <c r="I1018" s="5"/>
      <c r="J1018" s="5"/>
    </row>
    <row r="1019" spans="1:10">
      <c r="A1019" s="5"/>
      <c r="B1019" s="5"/>
      <c r="C1019" s="5"/>
      <c r="D1019" s="5"/>
      <c r="E1019" s="5"/>
      <c r="F1019" s="5"/>
      <c r="G1019" s="5"/>
      <c r="H1019" s="5"/>
      <c r="I1019" s="5"/>
      <c r="J1019" s="5"/>
    </row>
    <row r="1020" spans="1:10">
      <c r="A1020" s="5"/>
      <c r="B1020" s="5"/>
      <c r="C1020" s="5"/>
      <c r="D1020" s="5"/>
      <c r="E1020" s="5"/>
      <c r="F1020" s="5"/>
      <c r="G1020" s="5"/>
      <c r="H1020" s="5"/>
      <c r="I1020" s="5"/>
      <c r="J1020" s="5"/>
    </row>
    <row r="1021" spans="1:10">
      <c r="A1021" s="5"/>
      <c r="B1021" s="5"/>
      <c r="C1021" s="5"/>
      <c r="D1021" s="5"/>
      <c r="E1021" s="5"/>
      <c r="F1021" s="5"/>
      <c r="G1021" s="5"/>
      <c r="H1021" s="5"/>
      <c r="I1021" s="5"/>
      <c r="J1021" s="5"/>
    </row>
    <row r="1022" spans="1:10">
      <c r="A1022" s="5"/>
      <c r="B1022" s="5"/>
      <c r="C1022" s="5"/>
      <c r="D1022" s="5"/>
      <c r="E1022" s="5"/>
      <c r="F1022" s="5"/>
      <c r="G1022" s="5"/>
      <c r="H1022" s="5"/>
      <c r="I1022" s="5"/>
      <c r="J1022" s="5"/>
    </row>
    <row r="1023" spans="1:10">
      <c r="A1023" s="5"/>
      <c r="B1023" s="5"/>
      <c r="C1023" s="5"/>
      <c r="D1023" s="5"/>
      <c r="E1023" s="5"/>
      <c r="F1023" s="5"/>
      <c r="G1023" s="5"/>
      <c r="H1023" s="5"/>
      <c r="I1023" s="5"/>
      <c r="J1023" s="5"/>
    </row>
    <row r="1024" spans="1:10">
      <c r="A1024" s="5"/>
      <c r="B1024" s="5"/>
      <c r="C1024" s="5"/>
      <c r="D1024" s="5"/>
      <c r="E1024" s="5"/>
      <c r="F1024" s="5"/>
      <c r="G1024" s="5"/>
      <c r="H1024" s="5"/>
      <c r="I1024" s="5"/>
      <c r="J1024" s="5"/>
    </row>
    <row r="1025" spans="1:10">
      <c r="A1025" s="5"/>
      <c r="B1025" s="5"/>
      <c r="C1025" s="5"/>
      <c r="D1025" s="5"/>
      <c r="E1025" s="5"/>
      <c r="F1025" s="5"/>
      <c r="G1025" s="5"/>
      <c r="H1025" s="5"/>
      <c r="I1025" s="5"/>
      <c r="J1025" s="5"/>
    </row>
    <row r="1026" spans="1:10">
      <c r="A1026" s="5"/>
      <c r="B1026" s="5"/>
      <c r="C1026" s="5"/>
      <c r="D1026" s="5"/>
      <c r="E1026" s="5"/>
      <c r="F1026" s="5"/>
      <c r="G1026" s="5"/>
      <c r="H1026" s="5"/>
      <c r="I1026" s="5"/>
      <c r="J1026" s="5"/>
    </row>
    <row r="1027" spans="1:10">
      <c r="A1027" s="5"/>
      <c r="B1027" s="5"/>
      <c r="C1027" s="5"/>
      <c r="D1027" s="5"/>
      <c r="E1027" s="5"/>
      <c r="F1027" s="5"/>
      <c r="G1027" s="5"/>
      <c r="H1027" s="5"/>
      <c r="I1027" s="5"/>
      <c r="J1027" s="5"/>
    </row>
    <row r="1028" spans="1:10">
      <c r="A1028" s="5"/>
      <c r="B1028" s="5"/>
      <c r="C1028" s="5"/>
      <c r="D1028" s="5"/>
      <c r="E1028" s="5"/>
      <c r="F1028" s="5"/>
      <c r="G1028" s="5"/>
      <c r="H1028" s="5"/>
      <c r="I1028" s="5"/>
      <c r="J1028" s="5"/>
    </row>
    <row r="1029" spans="1:10">
      <c r="A1029" s="5"/>
      <c r="B1029" s="5"/>
      <c r="C1029" s="5"/>
      <c r="D1029" s="5"/>
      <c r="E1029" s="5"/>
      <c r="F1029" s="5"/>
      <c r="G1029" s="5"/>
      <c r="H1029" s="5"/>
      <c r="I1029" s="5"/>
      <c r="J1029" s="5"/>
    </row>
    <row r="1030" spans="1:10">
      <c r="A1030" s="5"/>
      <c r="B1030" s="5"/>
      <c r="C1030" s="5"/>
      <c r="D1030" s="5"/>
      <c r="E1030" s="5"/>
      <c r="F1030" s="5"/>
      <c r="G1030" s="5"/>
      <c r="H1030" s="5"/>
      <c r="I1030" s="5"/>
      <c r="J1030" s="5"/>
    </row>
    <row r="1031" spans="1:10">
      <c r="A1031" s="5"/>
      <c r="B1031" s="5"/>
      <c r="C1031" s="5"/>
      <c r="D1031" s="5"/>
      <c r="E1031" s="5"/>
      <c r="F1031" s="5"/>
      <c r="G1031" s="5"/>
      <c r="H1031" s="5"/>
      <c r="I1031" s="5"/>
      <c r="J1031" s="5"/>
    </row>
    <row r="1032" spans="1:10">
      <c r="A1032" s="5"/>
      <c r="B1032" s="5"/>
      <c r="C1032" s="5"/>
      <c r="D1032" s="5"/>
      <c r="E1032" s="5"/>
      <c r="F1032" s="5"/>
      <c r="G1032" s="5"/>
      <c r="H1032" s="5"/>
      <c r="I1032" s="5"/>
      <c r="J1032" s="5"/>
    </row>
    <row r="1033" spans="1:10">
      <c r="A1033" s="5"/>
      <c r="B1033" s="5"/>
      <c r="C1033" s="5"/>
      <c r="D1033" s="5"/>
      <c r="E1033" s="5"/>
      <c r="F1033" s="5"/>
      <c r="G1033" s="5"/>
      <c r="H1033" s="5"/>
      <c r="I1033" s="5"/>
      <c r="J1033" s="5"/>
    </row>
    <row r="1034" spans="1:10">
      <c r="A1034" s="5"/>
      <c r="B1034" s="5"/>
      <c r="C1034" s="5"/>
      <c r="D1034" s="5"/>
      <c r="E1034" s="5"/>
      <c r="F1034" s="5"/>
      <c r="G1034" s="5"/>
      <c r="H1034" s="5"/>
      <c r="I1034" s="5"/>
      <c r="J1034" s="5"/>
    </row>
    <row r="1035" spans="1:10">
      <c r="A1035" s="5"/>
      <c r="B1035" s="5"/>
      <c r="C1035" s="5"/>
      <c r="D1035" s="5"/>
      <c r="E1035" s="5"/>
      <c r="F1035" s="5"/>
      <c r="G1035" s="5"/>
      <c r="H1035" s="5"/>
      <c r="I1035" s="5"/>
      <c r="J1035" s="5"/>
    </row>
    <row r="1036" spans="1:10">
      <c r="A1036" s="5"/>
      <c r="B1036" s="5"/>
      <c r="C1036" s="5"/>
      <c r="D1036" s="5"/>
      <c r="E1036" s="5"/>
      <c r="F1036" s="5"/>
      <c r="G1036" s="5"/>
      <c r="H1036" s="5"/>
      <c r="I1036" s="5"/>
      <c r="J1036" s="5"/>
    </row>
    <row r="1037" spans="1:10">
      <c r="A1037" s="5"/>
      <c r="B1037" s="5"/>
      <c r="C1037" s="5"/>
      <c r="D1037" s="5"/>
      <c r="E1037" s="5"/>
      <c r="F1037" s="5"/>
      <c r="G1037" s="5"/>
      <c r="H1037" s="5"/>
      <c r="I1037" s="5"/>
      <c r="J1037" s="5"/>
    </row>
    <row r="1038" spans="1:10">
      <c r="A1038" s="5"/>
      <c r="B1038" s="5"/>
      <c r="C1038" s="5"/>
      <c r="D1038" s="5"/>
      <c r="E1038" s="5"/>
      <c r="F1038" s="5"/>
      <c r="G1038" s="5"/>
      <c r="H1038" s="5"/>
      <c r="I1038" s="5"/>
      <c r="J1038" s="5"/>
    </row>
    <row r="1039" spans="1:10">
      <c r="A1039" s="5"/>
      <c r="B1039" s="5"/>
      <c r="C1039" s="5"/>
      <c r="D1039" s="5"/>
      <c r="E1039" s="5"/>
      <c r="F1039" s="5"/>
      <c r="G1039" s="5"/>
      <c r="H1039" s="5"/>
      <c r="I1039" s="5"/>
      <c r="J1039" s="5"/>
    </row>
    <row r="1040" spans="1:10">
      <c r="A1040" s="5"/>
      <c r="B1040" s="5"/>
      <c r="C1040" s="5"/>
      <c r="D1040" s="5"/>
      <c r="E1040" s="5"/>
      <c r="F1040" s="5"/>
      <c r="G1040" s="5"/>
      <c r="H1040" s="5"/>
      <c r="I1040" s="5"/>
      <c r="J1040" s="5"/>
    </row>
    <row r="1041" spans="1:10">
      <c r="A1041" s="5"/>
      <c r="B1041" s="5"/>
      <c r="C1041" s="5"/>
      <c r="D1041" s="5"/>
      <c r="E1041" s="5"/>
      <c r="F1041" s="5"/>
      <c r="G1041" s="5"/>
      <c r="H1041" s="5"/>
      <c r="I1041" s="5"/>
      <c r="J1041" s="5"/>
    </row>
    <row r="1042" spans="1:10">
      <c r="A1042" s="5"/>
      <c r="B1042" s="5"/>
      <c r="C1042" s="5"/>
      <c r="D1042" s="5"/>
      <c r="E1042" s="5"/>
      <c r="F1042" s="5"/>
      <c r="G1042" s="5"/>
      <c r="H1042" s="5"/>
      <c r="I1042" s="5"/>
      <c r="J1042" s="5"/>
    </row>
    <row r="1043" spans="1:10">
      <c r="A1043" s="5"/>
      <c r="B1043" s="5"/>
      <c r="C1043" s="5"/>
      <c r="D1043" s="5"/>
      <c r="E1043" s="5"/>
      <c r="F1043" s="5"/>
      <c r="G1043" s="5"/>
      <c r="H1043" s="5"/>
      <c r="I1043" s="5"/>
      <c r="J1043" s="5"/>
    </row>
    <row r="1044" spans="1:10">
      <c r="A1044" s="5"/>
      <c r="B1044" s="5"/>
      <c r="C1044" s="5"/>
      <c r="D1044" s="5"/>
      <c r="E1044" s="5"/>
      <c r="F1044" s="5"/>
      <c r="G1044" s="5"/>
      <c r="H1044" s="5"/>
      <c r="I1044" s="5"/>
      <c r="J1044" s="5"/>
    </row>
    <row r="1045" spans="1:10">
      <c r="A1045" s="5"/>
      <c r="B1045" s="5"/>
      <c r="C1045" s="5"/>
      <c r="D1045" s="5"/>
      <c r="E1045" s="5"/>
      <c r="F1045" s="5"/>
      <c r="G1045" s="5"/>
      <c r="H1045" s="5"/>
      <c r="I1045" s="5"/>
      <c r="J1045" s="5"/>
    </row>
    <row r="1046" spans="1:10">
      <c r="A1046" s="5"/>
      <c r="B1046" s="5"/>
      <c r="C1046" s="5"/>
      <c r="D1046" s="5"/>
      <c r="E1046" s="5"/>
      <c r="F1046" s="5"/>
      <c r="G1046" s="5"/>
      <c r="H1046" s="5"/>
      <c r="I1046" s="5"/>
      <c r="J1046" s="5"/>
    </row>
    <row r="1047" spans="1:10">
      <c r="A1047" s="5"/>
      <c r="B1047" s="5"/>
      <c r="C1047" s="5"/>
      <c r="D1047" s="5"/>
      <c r="E1047" s="5"/>
      <c r="F1047" s="5"/>
      <c r="G1047" s="5"/>
      <c r="H1047" s="5"/>
      <c r="I1047" s="5"/>
      <c r="J1047" s="5"/>
    </row>
    <row r="1048" spans="1:10">
      <c r="A1048" s="5"/>
      <c r="B1048" s="5"/>
      <c r="C1048" s="5"/>
      <c r="D1048" s="5"/>
      <c r="E1048" s="5"/>
      <c r="F1048" s="5"/>
      <c r="G1048" s="5"/>
      <c r="H1048" s="5"/>
      <c r="I1048" s="5"/>
      <c r="J1048" s="5"/>
    </row>
    <row r="1049" spans="1:10">
      <c r="A1049" s="5"/>
      <c r="B1049" s="5"/>
      <c r="C1049" s="5"/>
      <c r="D1049" s="5"/>
      <c r="E1049" s="5"/>
      <c r="F1049" s="5"/>
      <c r="G1049" s="5"/>
      <c r="H1049" s="5"/>
      <c r="I1049" s="5"/>
      <c r="J1049" s="5"/>
    </row>
    <row r="1050" spans="1:10">
      <c r="A1050" s="5"/>
      <c r="B1050" s="5"/>
      <c r="C1050" s="5"/>
      <c r="D1050" s="5"/>
      <c r="E1050" s="5"/>
      <c r="F1050" s="5"/>
      <c r="G1050" s="5"/>
      <c r="H1050" s="5"/>
      <c r="I1050" s="5"/>
      <c r="J1050" s="5"/>
    </row>
    <row r="1051" spans="1:10">
      <c r="A1051" s="5"/>
      <c r="B1051" s="5"/>
      <c r="C1051" s="5"/>
      <c r="D1051" s="5"/>
      <c r="E1051" s="5"/>
      <c r="F1051" s="5"/>
      <c r="G1051" s="5"/>
      <c r="H1051" s="5"/>
      <c r="I1051" s="5"/>
      <c r="J1051" s="5"/>
    </row>
    <row r="1052" spans="1:10">
      <c r="A1052" s="5"/>
      <c r="B1052" s="5"/>
      <c r="C1052" s="5"/>
      <c r="D1052" s="5"/>
      <c r="E1052" s="5"/>
      <c r="F1052" s="5"/>
      <c r="G1052" s="5"/>
      <c r="H1052" s="5"/>
      <c r="I1052" s="5"/>
      <c r="J1052" s="5"/>
    </row>
    <row r="1053" spans="1:10">
      <c r="A1053" s="5"/>
      <c r="B1053" s="5"/>
      <c r="C1053" s="5"/>
      <c r="D1053" s="5"/>
      <c r="E1053" s="5"/>
      <c r="F1053" s="5"/>
      <c r="G1053" s="5"/>
      <c r="H1053" s="5"/>
      <c r="I1053" s="5"/>
      <c r="J1053" s="5"/>
    </row>
    <row r="1054" spans="1:10">
      <c r="A1054" s="5"/>
      <c r="B1054" s="5"/>
      <c r="C1054" s="5"/>
      <c r="D1054" s="5"/>
      <c r="E1054" s="5"/>
      <c r="F1054" s="5"/>
      <c r="G1054" s="5"/>
      <c r="H1054" s="5"/>
      <c r="I1054" s="5"/>
      <c r="J1054" s="5"/>
    </row>
    <row r="1055" spans="1:10">
      <c r="A1055" s="5"/>
      <c r="B1055" s="5"/>
      <c r="C1055" s="5"/>
      <c r="D1055" s="5"/>
      <c r="E1055" s="5"/>
      <c r="F1055" s="5"/>
      <c r="G1055" s="5"/>
      <c r="H1055" s="5"/>
      <c r="I1055" s="5"/>
      <c r="J1055" s="5"/>
    </row>
    <row r="1056" spans="1:10">
      <c r="A1056" s="5"/>
      <c r="B1056" s="5"/>
      <c r="C1056" s="5"/>
      <c r="D1056" s="5"/>
      <c r="E1056" s="5"/>
      <c r="F1056" s="5"/>
      <c r="G1056" s="5"/>
      <c r="H1056" s="5"/>
      <c r="I1056" s="5"/>
      <c r="J1056" s="5"/>
    </row>
    <row r="1057" spans="1:10">
      <c r="A1057" s="5"/>
      <c r="B1057" s="5"/>
      <c r="C1057" s="5"/>
      <c r="D1057" s="5"/>
      <c r="E1057" s="5"/>
      <c r="F1057" s="5"/>
      <c r="G1057" s="5"/>
      <c r="H1057" s="5"/>
      <c r="I1057" s="5"/>
      <c r="J1057" s="5"/>
    </row>
    <row r="1058" spans="1:10">
      <c r="A1058" s="5"/>
      <c r="B1058" s="5"/>
      <c r="C1058" s="5"/>
      <c r="D1058" s="5"/>
      <c r="E1058" s="5"/>
      <c r="F1058" s="5"/>
      <c r="G1058" s="5"/>
      <c r="H1058" s="5"/>
      <c r="I1058" s="5"/>
      <c r="J1058" s="5"/>
    </row>
    <row r="1059" spans="1:10">
      <c r="A1059" s="5"/>
      <c r="B1059" s="5"/>
      <c r="C1059" s="5"/>
      <c r="D1059" s="5"/>
      <c r="E1059" s="5"/>
      <c r="F1059" s="5"/>
      <c r="G1059" s="5"/>
      <c r="H1059" s="5"/>
      <c r="I1059" s="5"/>
      <c r="J1059" s="5"/>
    </row>
    <row r="1060" spans="1:10">
      <c r="A1060" s="5"/>
      <c r="B1060" s="5"/>
      <c r="C1060" s="5"/>
      <c r="D1060" s="5"/>
      <c r="E1060" s="5"/>
      <c r="F1060" s="5"/>
      <c r="G1060" s="5"/>
      <c r="H1060" s="5"/>
      <c r="I1060" s="5"/>
      <c r="J1060" s="5"/>
    </row>
    <row r="1061" spans="1:10">
      <c r="A1061" s="5"/>
      <c r="B1061" s="5"/>
      <c r="C1061" s="5"/>
      <c r="D1061" s="5"/>
      <c r="E1061" s="5"/>
      <c r="F1061" s="5"/>
      <c r="G1061" s="5"/>
      <c r="H1061" s="5"/>
      <c r="I1061" s="5"/>
      <c r="J1061" s="5"/>
    </row>
    <row r="1062" spans="1:10">
      <c r="A1062" s="5"/>
      <c r="B1062" s="5"/>
      <c r="C1062" s="5"/>
      <c r="D1062" s="5"/>
      <c r="E1062" s="5"/>
      <c r="F1062" s="5"/>
      <c r="G1062" s="5"/>
      <c r="H1062" s="5"/>
      <c r="I1062" s="5"/>
      <c r="J1062" s="5"/>
    </row>
    <row r="1063" spans="1:10">
      <c r="A1063" s="5"/>
      <c r="B1063" s="5"/>
      <c r="C1063" s="5"/>
      <c r="D1063" s="5"/>
      <c r="E1063" s="5"/>
      <c r="F1063" s="5"/>
      <c r="G1063" s="5"/>
      <c r="H1063" s="5"/>
      <c r="I1063" s="5"/>
      <c r="J1063" s="5"/>
    </row>
    <row r="1064" spans="1:10">
      <c r="A1064" s="5"/>
      <c r="B1064" s="5"/>
      <c r="C1064" s="5"/>
      <c r="D1064" s="5"/>
      <c r="E1064" s="5"/>
      <c r="F1064" s="5"/>
      <c r="G1064" s="5"/>
      <c r="H1064" s="5"/>
      <c r="I1064" s="5"/>
      <c r="J1064" s="5"/>
    </row>
    <row r="1065" spans="1:10">
      <c r="A1065" s="5"/>
      <c r="B1065" s="5"/>
      <c r="C1065" s="5"/>
      <c r="D1065" s="5"/>
      <c r="E1065" s="5"/>
      <c r="F1065" s="5"/>
      <c r="G1065" s="5"/>
      <c r="H1065" s="5"/>
      <c r="I1065" s="5"/>
      <c r="J1065" s="5"/>
    </row>
    <row r="1066" spans="1:10">
      <c r="A1066" s="5"/>
      <c r="B1066" s="5"/>
      <c r="C1066" s="5"/>
      <c r="D1066" s="5"/>
      <c r="E1066" s="5"/>
      <c r="F1066" s="5"/>
      <c r="G1066" s="5"/>
      <c r="H1066" s="5"/>
      <c r="I1066" s="5"/>
      <c r="J1066" s="5"/>
    </row>
    <row r="1067" spans="1:10">
      <c r="A1067" s="5"/>
      <c r="B1067" s="5"/>
      <c r="C1067" s="5"/>
      <c r="D1067" s="5"/>
      <c r="E1067" s="5"/>
      <c r="F1067" s="5"/>
      <c r="G1067" s="5"/>
      <c r="H1067" s="5"/>
      <c r="I1067" s="5"/>
      <c r="J1067" s="5"/>
    </row>
    <row r="1068" spans="1:10">
      <c r="A1068" s="5"/>
      <c r="B1068" s="5"/>
      <c r="C1068" s="5"/>
      <c r="D1068" s="5"/>
      <c r="E1068" s="5"/>
      <c r="F1068" s="5"/>
      <c r="G1068" s="5"/>
      <c r="H1068" s="5"/>
      <c r="I1068" s="5"/>
      <c r="J1068" s="5"/>
    </row>
    <row r="1069" spans="1:10">
      <c r="A1069" s="5"/>
      <c r="B1069" s="5"/>
      <c r="C1069" s="5"/>
      <c r="D1069" s="5"/>
      <c r="E1069" s="5"/>
      <c r="F1069" s="5"/>
      <c r="G1069" s="5"/>
      <c r="H1069" s="5"/>
      <c r="I1069" s="5"/>
      <c r="J1069" s="5"/>
    </row>
    <row r="1070" spans="1:10">
      <c r="A1070" s="5"/>
      <c r="B1070" s="5"/>
      <c r="C1070" s="5"/>
      <c r="D1070" s="5"/>
      <c r="E1070" s="5"/>
      <c r="F1070" s="5"/>
      <c r="G1070" s="5"/>
      <c r="H1070" s="5"/>
      <c r="I1070" s="5"/>
      <c r="J1070" s="5"/>
    </row>
    <row r="1071" spans="1:10">
      <c r="A1071" s="5"/>
      <c r="B1071" s="5"/>
      <c r="C1071" s="5"/>
      <c r="D1071" s="5"/>
      <c r="E1071" s="5"/>
      <c r="F1071" s="5"/>
      <c r="G1071" s="5"/>
      <c r="H1071" s="5"/>
      <c r="I1071" s="5"/>
      <c r="J1071" s="5"/>
    </row>
    <row r="1072" spans="1:10">
      <c r="A1072" s="5"/>
      <c r="B1072" s="5"/>
      <c r="C1072" s="5"/>
      <c r="D1072" s="5"/>
      <c r="E1072" s="5"/>
      <c r="F1072" s="5"/>
      <c r="G1072" s="5"/>
      <c r="H1072" s="5"/>
      <c r="I1072" s="5"/>
      <c r="J1072" s="5"/>
    </row>
    <row r="1073" spans="1:10">
      <c r="A1073" s="5"/>
      <c r="B1073" s="5"/>
      <c r="C1073" s="5"/>
      <c r="D1073" s="5"/>
      <c r="E1073" s="5"/>
      <c r="F1073" s="5"/>
      <c r="G1073" s="5"/>
      <c r="H1073" s="5"/>
      <c r="I1073" s="5"/>
      <c r="J1073" s="5"/>
    </row>
    <row r="1074" spans="1:10">
      <c r="A1074" s="5"/>
      <c r="B1074" s="5"/>
      <c r="C1074" s="5"/>
      <c r="D1074" s="5"/>
      <c r="E1074" s="5"/>
      <c r="F1074" s="5"/>
      <c r="G1074" s="5"/>
      <c r="H1074" s="5"/>
      <c r="I1074" s="5"/>
      <c r="J1074" s="5"/>
    </row>
    <row r="1075" spans="1:10">
      <c r="A1075" s="5"/>
      <c r="B1075" s="5"/>
      <c r="C1075" s="5"/>
      <c r="D1075" s="5"/>
      <c r="E1075" s="5"/>
      <c r="F1075" s="5"/>
      <c r="G1075" s="5"/>
      <c r="H1075" s="5"/>
      <c r="I1075" s="5"/>
      <c r="J1075" s="5"/>
    </row>
    <row r="1076" spans="1:10">
      <c r="A1076" s="5"/>
      <c r="B1076" s="5"/>
      <c r="C1076" s="5"/>
      <c r="D1076" s="5"/>
      <c r="E1076" s="5"/>
      <c r="F1076" s="5"/>
      <c r="G1076" s="5"/>
      <c r="H1076" s="5"/>
      <c r="I1076" s="5"/>
      <c r="J1076" s="5"/>
    </row>
    <row r="1077" spans="1:10">
      <c r="A1077" s="5"/>
      <c r="B1077" s="5"/>
      <c r="C1077" s="5"/>
      <c r="D1077" s="5"/>
      <c r="E1077" s="5"/>
      <c r="F1077" s="5"/>
      <c r="G1077" s="5"/>
      <c r="H1077" s="5"/>
      <c r="I1077" s="5"/>
      <c r="J1077" s="5"/>
    </row>
    <row r="1078" spans="1:10">
      <c r="A1078" s="5"/>
      <c r="B1078" s="5"/>
      <c r="C1078" s="5"/>
      <c r="D1078" s="5"/>
      <c r="E1078" s="5"/>
      <c r="F1078" s="5"/>
      <c r="G1078" s="5"/>
      <c r="H1078" s="5"/>
      <c r="I1078" s="5"/>
      <c r="J1078" s="5"/>
    </row>
    <row r="1079" spans="1:10">
      <c r="A1079" s="5"/>
      <c r="B1079" s="5"/>
      <c r="C1079" s="5"/>
      <c r="D1079" s="5"/>
      <c r="E1079" s="5"/>
      <c r="F1079" s="5"/>
      <c r="G1079" s="5"/>
      <c r="H1079" s="5"/>
      <c r="I1079" s="5"/>
      <c r="J1079" s="5"/>
    </row>
    <row r="1080" spans="1:10">
      <c r="A1080" s="5"/>
      <c r="B1080" s="5"/>
      <c r="C1080" s="5"/>
      <c r="D1080" s="5"/>
      <c r="E1080" s="5"/>
      <c r="F1080" s="5"/>
      <c r="G1080" s="5"/>
      <c r="H1080" s="5"/>
      <c r="I1080" s="5"/>
      <c r="J1080" s="5"/>
    </row>
    <row r="1081" spans="1:10">
      <c r="A1081" s="5"/>
      <c r="B1081" s="5"/>
      <c r="C1081" s="5"/>
      <c r="D1081" s="5"/>
      <c r="E1081" s="5"/>
      <c r="F1081" s="5"/>
      <c r="G1081" s="5"/>
      <c r="H1081" s="5"/>
      <c r="I1081" s="5"/>
      <c r="J1081" s="5"/>
    </row>
    <row r="1082" spans="1:10">
      <c r="A1082" s="5"/>
      <c r="B1082" s="5"/>
      <c r="C1082" s="5"/>
      <c r="D1082" s="5"/>
      <c r="E1082" s="5"/>
      <c r="F1082" s="5"/>
      <c r="G1082" s="5"/>
      <c r="H1082" s="5"/>
      <c r="I1082" s="5"/>
      <c r="J1082" s="5"/>
    </row>
    <row r="1083" spans="1:10">
      <c r="A1083" s="5"/>
      <c r="B1083" s="5"/>
      <c r="C1083" s="5"/>
      <c r="D1083" s="5"/>
      <c r="E1083" s="5"/>
      <c r="F1083" s="5"/>
      <c r="G1083" s="5"/>
      <c r="H1083" s="5"/>
      <c r="I1083" s="5"/>
      <c r="J1083" s="5"/>
    </row>
    <row r="1084" spans="1:10">
      <c r="A1084" s="5"/>
      <c r="B1084" s="5"/>
      <c r="C1084" s="5"/>
      <c r="D1084" s="5"/>
      <c r="E1084" s="5"/>
      <c r="F1084" s="5"/>
      <c r="G1084" s="5"/>
      <c r="H1084" s="5"/>
      <c r="I1084" s="5"/>
      <c r="J1084" s="5"/>
    </row>
    <row r="1085" spans="1:10">
      <c r="A1085" s="5"/>
      <c r="B1085" s="5"/>
      <c r="C1085" s="5"/>
      <c r="D1085" s="5"/>
      <c r="E1085" s="5"/>
      <c r="F1085" s="5"/>
      <c r="G1085" s="5"/>
      <c r="H1085" s="5"/>
      <c r="I1085" s="5"/>
      <c r="J1085" s="5"/>
    </row>
    <row r="1086" spans="1:10">
      <c r="A1086" s="5"/>
      <c r="B1086" s="5"/>
      <c r="C1086" s="5"/>
      <c r="D1086" s="5"/>
      <c r="E1086" s="5"/>
      <c r="F1086" s="5"/>
      <c r="G1086" s="5"/>
      <c r="H1086" s="5"/>
      <c r="I1086" s="5"/>
      <c r="J1086" s="5"/>
    </row>
    <row r="1087" spans="1:10">
      <c r="A1087" s="5"/>
      <c r="B1087" s="5"/>
      <c r="C1087" s="5"/>
      <c r="D1087" s="5"/>
      <c r="E1087" s="5"/>
      <c r="F1087" s="5"/>
      <c r="G1087" s="5"/>
      <c r="H1087" s="5"/>
      <c r="I1087" s="5"/>
      <c r="J1087" s="5"/>
    </row>
    <row r="1088" spans="1:10">
      <c r="A1088" s="5"/>
      <c r="B1088" s="5"/>
      <c r="C1088" s="5"/>
      <c r="D1088" s="5"/>
      <c r="E1088" s="5"/>
      <c r="F1088" s="5"/>
      <c r="G1088" s="5"/>
      <c r="H1088" s="5"/>
      <c r="I1088" s="5"/>
      <c r="J1088" s="5"/>
    </row>
    <row r="1089" spans="1:10">
      <c r="A1089" s="5"/>
      <c r="B1089" s="5"/>
      <c r="C1089" s="5"/>
      <c r="D1089" s="5"/>
      <c r="E1089" s="5"/>
      <c r="F1089" s="5"/>
      <c r="G1089" s="5"/>
      <c r="H1089" s="5"/>
      <c r="I1089" s="5"/>
      <c r="J1089" s="5"/>
    </row>
    <row r="1090" spans="1:10">
      <c r="A1090" s="5"/>
      <c r="B1090" s="5"/>
      <c r="C1090" s="5"/>
      <c r="D1090" s="5"/>
      <c r="E1090" s="5"/>
      <c r="F1090" s="5"/>
      <c r="G1090" s="5"/>
      <c r="H1090" s="5"/>
      <c r="I1090" s="5"/>
      <c r="J1090" s="5"/>
    </row>
    <row r="1091" spans="1:10">
      <c r="A1091" s="5"/>
      <c r="B1091" s="5"/>
      <c r="C1091" s="5"/>
      <c r="D1091" s="5"/>
      <c r="E1091" s="5"/>
      <c r="F1091" s="5"/>
      <c r="G1091" s="5"/>
      <c r="H1091" s="5"/>
      <c r="I1091" s="5"/>
      <c r="J1091" s="5"/>
    </row>
    <row r="1092" spans="1:10">
      <c r="A1092" s="5"/>
      <c r="B1092" s="5"/>
      <c r="C1092" s="5"/>
      <c r="D1092" s="5"/>
      <c r="E1092" s="5"/>
      <c r="F1092" s="5"/>
      <c r="G1092" s="5"/>
      <c r="H1092" s="5"/>
      <c r="I1092" s="5"/>
      <c r="J1092" s="5"/>
    </row>
    <row r="1093" spans="1:10">
      <c r="A1093" s="5"/>
      <c r="B1093" s="5"/>
      <c r="C1093" s="5"/>
      <c r="D1093" s="5"/>
      <c r="E1093" s="5"/>
      <c r="F1093" s="5"/>
      <c r="G1093" s="5"/>
      <c r="H1093" s="5"/>
      <c r="I1093" s="5"/>
      <c r="J1093" s="5"/>
    </row>
    <row r="1094" spans="1:10">
      <c r="A1094" s="5"/>
      <c r="B1094" s="5"/>
      <c r="C1094" s="5"/>
      <c r="D1094" s="5"/>
      <c r="E1094" s="5"/>
      <c r="F1094" s="5"/>
      <c r="G1094" s="5"/>
      <c r="H1094" s="5"/>
      <c r="I1094" s="5"/>
      <c r="J1094" s="5"/>
    </row>
    <row r="1095" spans="1:10">
      <c r="A1095" s="5"/>
      <c r="B1095" s="5"/>
      <c r="C1095" s="5"/>
      <c r="D1095" s="5"/>
      <c r="E1095" s="5"/>
      <c r="F1095" s="5"/>
      <c r="G1095" s="5"/>
      <c r="H1095" s="5"/>
      <c r="I1095" s="5"/>
      <c r="J1095" s="5"/>
    </row>
    <row r="1096" spans="1:10">
      <c r="A1096" s="5"/>
      <c r="B1096" s="5"/>
      <c r="C1096" s="5"/>
      <c r="D1096" s="5"/>
      <c r="E1096" s="5"/>
      <c r="F1096" s="5"/>
      <c r="G1096" s="5"/>
      <c r="H1096" s="5"/>
      <c r="I1096" s="5"/>
      <c r="J1096" s="5"/>
    </row>
    <row r="1097" spans="1:10">
      <c r="A1097" s="5"/>
      <c r="B1097" s="5"/>
      <c r="C1097" s="5"/>
      <c r="D1097" s="5"/>
      <c r="E1097" s="5"/>
      <c r="F1097" s="5"/>
      <c r="G1097" s="5"/>
      <c r="H1097" s="5"/>
      <c r="I1097" s="5"/>
      <c r="J1097" s="5"/>
    </row>
    <row r="1098" spans="1:10">
      <c r="A1098" s="5"/>
      <c r="B1098" s="5"/>
      <c r="C1098" s="5"/>
      <c r="D1098" s="5"/>
      <c r="E1098" s="5"/>
      <c r="F1098" s="5"/>
      <c r="G1098" s="5"/>
      <c r="H1098" s="5"/>
      <c r="I1098" s="5"/>
      <c r="J1098" s="5"/>
    </row>
    <row r="1099" spans="1:10">
      <c r="A1099" s="5"/>
      <c r="B1099" s="5"/>
      <c r="C1099" s="5"/>
      <c r="D1099" s="5"/>
      <c r="E1099" s="5"/>
      <c r="F1099" s="5"/>
      <c r="G1099" s="5"/>
      <c r="H1099" s="5"/>
      <c r="I1099" s="5"/>
      <c r="J1099" s="5"/>
    </row>
    <row r="1100" spans="1:10">
      <c r="A1100" s="5"/>
      <c r="B1100" s="5"/>
      <c r="C1100" s="5"/>
      <c r="D1100" s="5"/>
      <c r="E1100" s="5"/>
      <c r="F1100" s="5"/>
      <c r="G1100" s="5"/>
      <c r="H1100" s="5"/>
      <c r="I1100" s="5"/>
      <c r="J1100" s="5"/>
    </row>
    <row r="1101" spans="1:10">
      <c r="A1101" s="5"/>
      <c r="B1101" s="5"/>
      <c r="C1101" s="5"/>
      <c r="D1101" s="5"/>
      <c r="E1101" s="5"/>
      <c r="F1101" s="5"/>
      <c r="G1101" s="5"/>
      <c r="H1101" s="5"/>
      <c r="I1101" s="5"/>
      <c r="J1101" s="5"/>
    </row>
    <row r="1102" spans="1:10">
      <c r="A1102" s="5"/>
      <c r="B1102" s="5"/>
      <c r="C1102" s="5"/>
      <c r="D1102" s="5"/>
      <c r="E1102" s="5"/>
      <c r="F1102" s="5"/>
      <c r="G1102" s="5"/>
      <c r="H1102" s="5"/>
      <c r="I1102" s="5"/>
      <c r="J1102" s="5"/>
    </row>
    <row r="1103" spans="1:10">
      <c r="A1103" s="5"/>
      <c r="B1103" s="5"/>
      <c r="C1103" s="5"/>
      <c r="D1103" s="5"/>
      <c r="E1103" s="5"/>
      <c r="F1103" s="5"/>
      <c r="G1103" s="5"/>
      <c r="H1103" s="5"/>
      <c r="I1103" s="5"/>
      <c r="J1103" s="5"/>
    </row>
    <row r="1104" spans="1:10">
      <c r="A1104" s="5"/>
      <c r="B1104" s="5"/>
      <c r="C1104" s="5"/>
      <c r="D1104" s="5"/>
      <c r="E1104" s="5"/>
      <c r="F1104" s="5"/>
      <c r="G1104" s="5"/>
      <c r="H1104" s="5"/>
      <c r="I1104" s="5"/>
      <c r="J1104" s="5"/>
    </row>
    <row r="1105" spans="1:10">
      <c r="A1105" s="5"/>
      <c r="B1105" s="5"/>
      <c r="C1105" s="5"/>
      <c r="D1105" s="5"/>
      <c r="E1105" s="5"/>
      <c r="F1105" s="5"/>
      <c r="G1105" s="5"/>
      <c r="H1105" s="5"/>
      <c r="I1105" s="5"/>
      <c r="J1105" s="5"/>
    </row>
    <row r="1106" spans="1:10">
      <c r="A1106" s="5"/>
      <c r="B1106" s="5"/>
      <c r="C1106" s="5"/>
      <c r="D1106" s="5"/>
      <c r="E1106" s="5"/>
      <c r="F1106" s="5"/>
      <c r="G1106" s="5"/>
      <c r="H1106" s="5"/>
      <c r="I1106" s="5"/>
      <c r="J1106" s="5"/>
    </row>
    <row r="1107" spans="1:10">
      <c r="A1107" s="5"/>
      <c r="B1107" s="5"/>
      <c r="C1107" s="5"/>
      <c r="D1107" s="5"/>
      <c r="E1107" s="5"/>
      <c r="F1107" s="5"/>
      <c r="G1107" s="5"/>
      <c r="H1107" s="5"/>
      <c r="I1107" s="5"/>
      <c r="J1107" s="5"/>
    </row>
    <row r="1108" spans="1:10">
      <c r="A1108" s="5"/>
      <c r="B1108" s="5"/>
      <c r="C1108" s="5"/>
      <c r="D1108" s="5"/>
      <c r="E1108" s="5"/>
      <c r="F1108" s="5"/>
      <c r="G1108" s="5"/>
      <c r="H1108" s="5"/>
      <c r="I1108" s="5"/>
      <c r="J1108" s="5"/>
    </row>
    <row r="1109" spans="1:10">
      <c r="A1109" s="5"/>
      <c r="B1109" s="5"/>
      <c r="C1109" s="5"/>
      <c r="D1109" s="5"/>
      <c r="E1109" s="5"/>
      <c r="F1109" s="5"/>
      <c r="G1109" s="5"/>
      <c r="H1109" s="5"/>
      <c r="I1109" s="5"/>
      <c r="J1109" s="5"/>
    </row>
    <row r="1110" spans="1:10">
      <c r="A1110" s="5"/>
      <c r="B1110" s="5"/>
      <c r="C1110" s="5"/>
      <c r="D1110" s="5"/>
      <c r="E1110" s="5"/>
      <c r="F1110" s="5"/>
      <c r="G1110" s="5"/>
      <c r="H1110" s="5"/>
      <c r="I1110" s="5"/>
      <c r="J1110" s="5"/>
    </row>
    <row r="1111" spans="1:10">
      <c r="A1111" s="5"/>
      <c r="B1111" s="5"/>
      <c r="C1111" s="5"/>
      <c r="D1111" s="5"/>
      <c r="E1111" s="5"/>
      <c r="F1111" s="5"/>
      <c r="G1111" s="5"/>
      <c r="H1111" s="5"/>
      <c r="I1111" s="5"/>
      <c r="J1111" s="5"/>
    </row>
    <row r="1112" spans="1:10">
      <c r="A1112" s="5"/>
      <c r="B1112" s="5"/>
      <c r="C1112" s="5"/>
      <c r="D1112" s="5"/>
      <c r="E1112" s="5"/>
      <c r="F1112" s="5"/>
      <c r="G1112" s="5"/>
      <c r="H1112" s="5"/>
      <c r="I1112" s="5"/>
      <c r="J1112" s="5"/>
    </row>
    <row r="1113" spans="1:10">
      <c r="A1113" s="5"/>
      <c r="B1113" s="5"/>
      <c r="C1113" s="5"/>
      <c r="D1113" s="5"/>
      <c r="E1113" s="5"/>
      <c r="F1113" s="5"/>
      <c r="G1113" s="5"/>
      <c r="H1113" s="5"/>
      <c r="I1113" s="5"/>
      <c r="J1113" s="5"/>
    </row>
    <row r="1114" spans="1:10">
      <c r="A1114" s="5"/>
      <c r="B1114" s="5"/>
      <c r="C1114" s="5"/>
      <c r="D1114" s="5"/>
      <c r="E1114" s="5"/>
      <c r="F1114" s="5"/>
      <c r="G1114" s="5"/>
      <c r="H1114" s="5"/>
      <c r="I1114" s="5"/>
      <c r="J1114" s="5"/>
    </row>
    <row r="1115" spans="1:10">
      <c r="A1115" s="5"/>
      <c r="B1115" s="5"/>
      <c r="C1115" s="5"/>
      <c r="D1115" s="5"/>
      <c r="E1115" s="5"/>
      <c r="F1115" s="5"/>
      <c r="G1115" s="5"/>
      <c r="H1115" s="5"/>
      <c r="I1115" s="5"/>
      <c r="J1115" s="5"/>
    </row>
    <row r="1116" spans="1:10">
      <c r="A1116" s="5"/>
      <c r="B1116" s="5"/>
      <c r="C1116" s="5"/>
      <c r="D1116" s="5"/>
      <c r="E1116" s="5"/>
      <c r="F1116" s="5"/>
      <c r="G1116" s="5"/>
      <c r="H1116" s="5"/>
      <c r="I1116" s="5"/>
      <c r="J1116" s="5"/>
    </row>
    <row r="1117" spans="1:10">
      <c r="A1117" s="5"/>
      <c r="B1117" s="5"/>
      <c r="C1117" s="5"/>
      <c r="D1117" s="5"/>
      <c r="E1117" s="5"/>
      <c r="F1117" s="5"/>
      <c r="G1117" s="5"/>
      <c r="H1117" s="5"/>
      <c r="I1117" s="5"/>
      <c r="J1117" s="5"/>
    </row>
    <row r="1118" spans="1:10">
      <c r="A1118" s="5"/>
      <c r="B1118" s="5"/>
      <c r="C1118" s="5"/>
      <c r="D1118" s="5"/>
      <c r="E1118" s="5"/>
      <c r="F1118" s="5"/>
      <c r="G1118" s="5"/>
      <c r="H1118" s="5"/>
      <c r="I1118" s="5"/>
      <c r="J1118" s="5"/>
    </row>
    <row r="1119" spans="1:10">
      <c r="A1119" s="5"/>
      <c r="B1119" s="5"/>
      <c r="C1119" s="5"/>
      <c r="D1119" s="5"/>
      <c r="E1119" s="5"/>
      <c r="F1119" s="5"/>
      <c r="G1119" s="5"/>
      <c r="H1119" s="5"/>
      <c r="I1119" s="5"/>
      <c r="J1119" s="5"/>
    </row>
    <row r="1120" spans="1:10">
      <c r="A1120" s="5"/>
      <c r="B1120" s="5"/>
      <c r="C1120" s="5"/>
      <c r="D1120" s="5"/>
      <c r="E1120" s="5"/>
      <c r="F1120" s="5"/>
      <c r="G1120" s="5"/>
      <c r="H1120" s="5"/>
      <c r="I1120" s="5"/>
      <c r="J1120" s="5"/>
    </row>
    <row r="1121" spans="1:10">
      <c r="A1121" s="5"/>
      <c r="B1121" s="5"/>
      <c r="C1121" s="5"/>
      <c r="D1121" s="5"/>
      <c r="E1121" s="5"/>
      <c r="F1121" s="5"/>
      <c r="G1121" s="5"/>
      <c r="H1121" s="5"/>
      <c r="I1121" s="5"/>
      <c r="J1121" s="5"/>
    </row>
    <row r="1122" spans="1:10">
      <c r="A1122" s="5"/>
      <c r="B1122" s="5"/>
      <c r="C1122" s="5"/>
      <c r="D1122" s="5"/>
      <c r="E1122" s="5"/>
      <c r="F1122" s="5"/>
      <c r="G1122" s="5"/>
      <c r="H1122" s="5"/>
      <c r="I1122" s="5"/>
      <c r="J1122" s="5"/>
    </row>
    <row r="1123" spans="1:10">
      <c r="A1123" s="5"/>
      <c r="B1123" s="5"/>
      <c r="C1123" s="5"/>
      <c r="D1123" s="5"/>
      <c r="E1123" s="5"/>
      <c r="F1123" s="5"/>
      <c r="G1123" s="5"/>
      <c r="H1123" s="5"/>
      <c r="I1123" s="5"/>
      <c r="J1123" s="5"/>
    </row>
    <row r="1124" spans="1:10">
      <c r="A1124" s="5"/>
      <c r="B1124" s="5"/>
      <c r="C1124" s="5"/>
      <c r="D1124" s="5"/>
      <c r="E1124" s="5"/>
      <c r="F1124" s="5"/>
      <c r="G1124" s="5"/>
      <c r="H1124" s="5"/>
      <c r="I1124" s="5"/>
      <c r="J1124" s="5"/>
    </row>
    <row r="1125" spans="1:10">
      <c r="A1125" s="5"/>
      <c r="B1125" s="5"/>
      <c r="C1125" s="5"/>
      <c r="D1125" s="5"/>
      <c r="E1125" s="5"/>
      <c r="F1125" s="5"/>
      <c r="G1125" s="5"/>
      <c r="H1125" s="5"/>
      <c r="I1125" s="5"/>
      <c r="J1125" s="5"/>
    </row>
    <row r="1126" spans="1:10">
      <c r="A1126" s="5"/>
      <c r="B1126" s="5"/>
      <c r="C1126" s="5"/>
      <c r="D1126" s="5"/>
      <c r="E1126" s="5"/>
      <c r="F1126" s="5"/>
      <c r="G1126" s="5"/>
      <c r="H1126" s="5"/>
      <c r="I1126" s="5"/>
      <c r="J1126" s="5"/>
    </row>
    <row r="1127" spans="1:10">
      <c r="A1127" s="5"/>
      <c r="B1127" s="5"/>
      <c r="C1127" s="5"/>
      <c r="D1127" s="5"/>
      <c r="E1127" s="5"/>
      <c r="F1127" s="5"/>
      <c r="G1127" s="5"/>
      <c r="H1127" s="5"/>
      <c r="I1127" s="5"/>
      <c r="J1127" s="5"/>
    </row>
    <row r="1128" spans="1:10">
      <c r="A1128" s="5"/>
      <c r="B1128" s="5"/>
      <c r="C1128" s="5"/>
      <c r="D1128" s="5"/>
      <c r="E1128" s="5"/>
      <c r="F1128" s="5"/>
      <c r="G1128" s="5"/>
      <c r="H1128" s="5"/>
      <c r="I1128" s="5"/>
      <c r="J1128" s="5"/>
    </row>
    <row r="1129" spans="1:10">
      <c r="A1129" s="5"/>
      <c r="B1129" s="5"/>
      <c r="C1129" s="5"/>
      <c r="D1129" s="5"/>
      <c r="E1129" s="5"/>
      <c r="F1129" s="5"/>
      <c r="G1129" s="5"/>
      <c r="H1129" s="5"/>
      <c r="I1129" s="5"/>
      <c r="J1129" s="5"/>
    </row>
    <row r="1130" spans="1:10">
      <c r="A1130" s="5"/>
      <c r="B1130" s="5"/>
      <c r="C1130" s="5"/>
      <c r="D1130" s="5"/>
      <c r="E1130" s="5"/>
      <c r="F1130" s="5"/>
      <c r="G1130" s="5"/>
      <c r="H1130" s="5"/>
      <c r="I1130" s="5"/>
      <c r="J1130" s="5"/>
    </row>
    <row r="1131" spans="1:10">
      <c r="A1131" s="5"/>
      <c r="B1131" s="5"/>
      <c r="C1131" s="5"/>
      <c r="D1131" s="5"/>
      <c r="E1131" s="5"/>
      <c r="F1131" s="5"/>
      <c r="G1131" s="5"/>
      <c r="H1131" s="5"/>
      <c r="I1131" s="5"/>
      <c r="J1131" s="5"/>
    </row>
    <row r="1132" spans="1:10">
      <c r="A1132" s="5"/>
      <c r="B1132" s="5"/>
      <c r="C1132" s="5"/>
      <c r="D1132" s="5"/>
      <c r="E1132" s="5"/>
      <c r="F1132" s="5"/>
      <c r="G1132" s="5"/>
      <c r="H1132" s="5"/>
      <c r="I1132" s="5"/>
      <c r="J1132" s="5"/>
    </row>
    <row r="1133" spans="1:10">
      <c r="A1133" s="5"/>
      <c r="B1133" s="5"/>
      <c r="C1133" s="5"/>
      <c r="D1133" s="5"/>
      <c r="E1133" s="5"/>
      <c r="F1133" s="5"/>
      <c r="G1133" s="5"/>
      <c r="H1133" s="5"/>
      <c r="I1133" s="5"/>
      <c r="J1133" s="5"/>
    </row>
    <row r="1134" spans="1:10">
      <c r="A1134" s="5"/>
      <c r="B1134" s="5"/>
      <c r="C1134" s="5"/>
      <c r="D1134" s="5"/>
      <c r="E1134" s="5"/>
      <c r="F1134" s="5"/>
      <c r="G1134" s="5"/>
      <c r="H1134" s="5"/>
      <c r="I1134" s="5"/>
      <c r="J1134" s="5"/>
    </row>
    <row r="1135" spans="1:10">
      <c r="A1135" s="5"/>
      <c r="B1135" s="5"/>
      <c r="C1135" s="5"/>
      <c r="D1135" s="5"/>
      <c r="E1135" s="5"/>
      <c r="F1135" s="5"/>
      <c r="G1135" s="5"/>
      <c r="H1135" s="5"/>
      <c r="I1135" s="5"/>
      <c r="J1135" s="5"/>
    </row>
    <row r="1136" spans="1:10">
      <c r="A1136" s="5"/>
      <c r="B1136" s="5"/>
      <c r="C1136" s="5"/>
      <c r="D1136" s="5"/>
      <c r="E1136" s="5"/>
      <c r="F1136" s="5"/>
      <c r="G1136" s="5"/>
      <c r="H1136" s="5"/>
      <c r="I1136" s="5"/>
      <c r="J1136" s="5"/>
    </row>
    <row r="1137" spans="1:10">
      <c r="A1137" s="5"/>
      <c r="B1137" s="5"/>
      <c r="C1137" s="5"/>
      <c r="D1137" s="5"/>
      <c r="E1137" s="5"/>
      <c r="F1137" s="5"/>
      <c r="G1137" s="5"/>
      <c r="H1137" s="5"/>
      <c r="I1137" s="5"/>
      <c r="J1137" s="5"/>
    </row>
    <row r="1138" spans="1:10">
      <c r="A1138" s="5"/>
      <c r="B1138" s="5"/>
      <c r="C1138" s="5"/>
      <c r="D1138" s="5"/>
      <c r="E1138" s="5"/>
      <c r="F1138" s="5"/>
      <c r="G1138" s="5"/>
      <c r="H1138" s="5"/>
      <c r="I1138" s="5"/>
      <c r="J1138" s="5"/>
    </row>
    <row r="1139" spans="1:10">
      <c r="A1139" s="5"/>
      <c r="B1139" s="5"/>
      <c r="C1139" s="5"/>
      <c r="D1139" s="5"/>
      <c r="E1139" s="5"/>
      <c r="F1139" s="5"/>
      <c r="G1139" s="5"/>
      <c r="H1139" s="5"/>
      <c r="I1139" s="5"/>
      <c r="J1139" s="5"/>
    </row>
    <row r="1140" spans="1:10">
      <c r="A1140" s="5"/>
      <c r="B1140" s="5"/>
      <c r="C1140" s="5"/>
      <c r="D1140" s="5"/>
      <c r="E1140" s="5"/>
      <c r="F1140" s="5"/>
      <c r="G1140" s="5"/>
      <c r="H1140" s="5"/>
      <c r="I1140" s="5"/>
      <c r="J1140" s="5"/>
    </row>
    <row r="1141" spans="1:10">
      <c r="A1141" s="5"/>
      <c r="B1141" s="5"/>
      <c r="C1141" s="5"/>
      <c r="D1141" s="5"/>
      <c r="E1141" s="5"/>
      <c r="F1141" s="5"/>
      <c r="G1141" s="5"/>
      <c r="H1141" s="5"/>
      <c r="I1141" s="5"/>
      <c r="J1141" s="5"/>
    </row>
    <row r="1142" spans="1:10">
      <c r="A1142" s="5"/>
      <c r="B1142" s="5"/>
      <c r="C1142" s="5"/>
      <c r="D1142" s="5"/>
      <c r="E1142" s="5"/>
      <c r="F1142" s="5"/>
      <c r="G1142" s="5"/>
      <c r="H1142" s="5"/>
      <c r="I1142" s="5"/>
      <c r="J1142" s="5"/>
    </row>
    <row r="1143" spans="1:10">
      <c r="A1143" s="5"/>
      <c r="B1143" s="5"/>
      <c r="C1143" s="5"/>
      <c r="D1143" s="5"/>
      <c r="E1143" s="5"/>
      <c r="F1143" s="5"/>
      <c r="G1143" s="5"/>
      <c r="H1143" s="5"/>
      <c r="I1143" s="5"/>
      <c r="J1143" s="5"/>
    </row>
    <row r="1144" spans="1:10">
      <c r="A1144" s="5"/>
      <c r="B1144" s="5"/>
      <c r="C1144" s="5"/>
      <c r="D1144" s="5"/>
      <c r="E1144" s="5"/>
      <c r="F1144" s="5"/>
      <c r="G1144" s="5"/>
      <c r="H1144" s="5"/>
      <c r="I1144" s="5"/>
      <c r="J1144" s="5"/>
    </row>
    <row r="1145" spans="1:10">
      <c r="A1145" s="5"/>
      <c r="B1145" s="5"/>
      <c r="C1145" s="5"/>
      <c r="D1145" s="5"/>
      <c r="E1145" s="5"/>
      <c r="F1145" s="5"/>
      <c r="G1145" s="5"/>
      <c r="H1145" s="5"/>
      <c r="I1145" s="5"/>
      <c r="J1145" s="5"/>
    </row>
    <row r="1146" spans="1:10">
      <c r="A1146" s="5"/>
      <c r="B1146" s="5"/>
      <c r="C1146" s="5"/>
      <c r="D1146" s="5"/>
      <c r="E1146" s="5"/>
      <c r="F1146" s="5"/>
      <c r="G1146" s="5"/>
      <c r="H1146" s="5"/>
      <c r="I1146" s="5"/>
      <c r="J1146" s="5"/>
    </row>
    <row r="1147" spans="1:10">
      <c r="A1147" s="5"/>
      <c r="B1147" s="5"/>
      <c r="C1147" s="5"/>
      <c r="D1147" s="5"/>
      <c r="E1147" s="5"/>
      <c r="F1147" s="5"/>
      <c r="G1147" s="5"/>
      <c r="H1147" s="5"/>
      <c r="I1147" s="5"/>
      <c r="J1147" s="5"/>
    </row>
    <row r="1148" spans="1:10">
      <c r="A1148" s="5"/>
      <c r="B1148" s="5"/>
      <c r="C1148" s="5"/>
      <c r="D1148" s="5"/>
      <c r="E1148" s="5"/>
      <c r="F1148" s="5"/>
      <c r="G1148" s="5"/>
      <c r="H1148" s="5"/>
      <c r="I1148" s="5"/>
      <c r="J1148" s="5"/>
    </row>
    <row r="1149" spans="1:10">
      <c r="A1149" s="5"/>
      <c r="B1149" s="5"/>
      <c r="C1149" s="5"/>
      <c r="D1149" s="5"/>
      <c r="E1149" s="5"/>
      <c r="F1149" s="5"/>
      <c r="G1149" s="5"/>
      <c r="H1149" s="5"/>
      <c r="I1149" s="5"/>
      <c r="J1149" s="5"/>
    </row>
    <row r="1150" spans="1:10">
      <c r="A1150" s="5"/>
      <c r="B1150" s="5"/>
      <c r="C1150" s="5"/>
      <c r="D1150" s="5"/>
      <c r="E1150" s="5"/>
      <c r="F1150" s="5"/>
      <c r="G1150" s="5"/>
      <c r="H1150" s="5"/>
      <c r="I1150" s="5"/>
      <c r="J1150" s="5"/>
    </row>
    <row r="1151" spans="1:10">
      <c r="A1151" s="5"/>
      <c r="B1151" s="5"/>
      <c r="C1151" s="5"/>
      <c r="D1151" s="5"/>
      <c r="E1151" s="5"/>
      <c r="F1151" s="5"/>
      <c r="G1151" s="5"/>
      <c r="H1151" s="5"/>
      <c r="I1151" s="5"/>
      <c r="J1151" s="5"/>
    </row>
    <row r="1152" spans="1:10">
      <c r="A1152" s="5"/>
      <c r="B1152" s="5"/>
      <c r="C1152" s="5"/>
      <c r="D1152" s="5"/>
      <c r="E1152" s="5"/>
      <c r="F1152" s="5"/>
      <c r="G1152" s="5"/>
      <c r="H1152" s="5"/>
      <c r="I1152" s="5"/>
      <c r="J1152" s="5"/>
    </row>
    <row r="1153" spans="1:10">
      <c r="A1153" s="5"/>
      <c r="B1153" s="5"/>
      <c r="C1153" s="5"/>
      <c r="D1153" s="5"/>
      <c r="E1153" s="5"/>
      <c r="F1153" s="5"/>
      <c r="G1153" s="5"/>
      <c r="H1153" s="5"/>
      <c r="I1153" s="5"/>
      <c r="J1153" s="5"/>
    </row>
    <row r="1154" spans="1:10">
      <c r="A1154" s="5"/>
      <c r="B1154" s="5"/>
      <c r="C1154" s="5"/>
      <c r="D1154" s="5"/>
      <c r="E1154" s="5"/>
      <c r="F1154" s="5"/>
      <c r="G1154" s="5"/>
      <c r="H1154" s="5"/>
      <c r="I1154" s="5"/>
      <c r="J1154" s="5"/>
    </row>
    <row r="1155" spans="1:10">
      <c r="A1155" s="5"/>
      <c r="B1155" s="5"/>
      <c r="C1155" s="5"/>
      <c r="D1155" s="5"/>
      <c r="E1155" s="5"/>
      <c r="F1155" s="5"/>
      <c r="G1155" s="5"/>
      <c r="H1155" s="5"/>
      <c r="I1155" s="5"/>
      <c r="J1155" s="5"/>
    </row>
    <row r="1156" spans="1:10">
      <c r="A1156" s="5"/>
      <c r="B1156" s="5"/>
      <c r="C1156" s="5"/>
      <c r="D1156" s="5"/>
      <c r="E1156" s="5"/>
      <c r="F1156" s="5"/>
      <c r="G1156" s="5"/>
      <c r="H1156" s="5"/>
      <c r="I1156" s="5"/>
      <c r="J1156" s="5"/>
    </row>
    <row r="1157" spans="1:10">
      <c r="A1157" s="5"/>
      <c r="B1157" s="5"/>
      <c r="C1157" s="5"/>
      <c r="D1157" s="5"/>
      <c r="E1157" s="5"/>
      <c r="F1157" s="5"/>
      <c r="G1157" s="5"/>
      <c r="H1157" s="5"/>
      <c r="I1157" s="5"/>
      <c r="J1157" s="5"/>
    </row>
    <row r="1158" spans="1:10">
      <c r="A1158" s="5"/>
      <c r="B1158" s="5"/>
      <c r="C1158" s="5"/>
      <c r="D1158" s="5"/>
      <c r="E1158" s="5"/>
      <c r="F1158" s="5"/>
      <c r="G1158" s="5"/>
      <c r="H1158" s="5"/>
      <c r="I1158" s="5"/>
      <c r="J1158" s="5"/>
    </row>
    <row r="1159" spans="1:10">
      <c r="A1159" s="5"/>
      <c r="B1159" s="5"/>
      <c r="C1159" s="5"/>
      <c r="D1159" s="5"/>
      <c r="E1159" s="5"/>
      <c r="F1159" s="5"/>
      <c r="G1159" s="5"/>
      <c r="H1159" s="5"/>
      <c r="I1159" s="5"/>
      <c r="J1159" s="5"/>
    </row>
    <row r="1160" spans="1:10">
      <c r="A1160" s="5"/>
      <c r="B1160" s="5"/>
      <c r="C1160" s="5"/>
      <c r="D1160" s="5"/>
      <c r="E1160" s="5"/>
      <c r="F1160" s="5"/>
      <c r="G1160" s="5"/>
      <c r="H1160" s="5"/>
      <c r="I1160" s="5"/>
      <c r="J1160" s="5"/>
    </row>
    <row r="1161" spans="1:10">
      <c r="A1161" s="5"/>
      <c r="B1161" s="5"/>
      <c r="C1161" s="5"/>
      <c r="D1161" s="5"/>
      <c r="E1161" s="5"/>
      <c r="F1161" s="5"/>
      <c r="G1161" s="5"/>
      <c r="H1161" s="5"/>
      <c r="I1161" s="5"/>
      <c r="J1161" s="5"/>
    </row>
    <row r="1162" spans="1:10">
      <c r="A1162" s="5"/>
      <c r="B1162" s="5"/>
      <c r="C1162" s="5"/>
      <c r="D1162" s="5"/>
      <c r="E1162" s="5"/>
      <c r="F1162" s="5"/>
      <c r="G1162" s="5"/>
      <c r="H1162" s="5"/>
      <c r="I1162" s="5"/>
      <c r="J1162" s="5"/>
    </row>
    <row r="1163" spans="1:10">
      <c r="A1163" s="5"/>
      <c r="B1163" s="5"/>
      <c r="C1163" s="5"/>
      <c r="D1163" s="5"/>
      <c r="E1163" s="5"/>
      <c r="F1163" s="5"/>
      <c r="G1163" s="5"/>
      <c r="H1163" s="5"/>
      <c r="I1163" s="5"/>
      <c r="J1163" s="5"/>
    </row>
    <row r="1164" spans="1:10">
      <c r="A1164" s="5"/>
      <c r="B1164" s="5"/>
      <c r="C1164" s="5"/>
      <c r="D1164" s="5"/>
      <c r="E1164" s="5"/>
      <c r="F1164" s="5"/>
      <c r="G1164" s="5"/>
      <c r="H1164" s="5"/>
      <c r="I1164" s="5"/>
      <c r="J1164" s="5"/>
    </row>
    <row r="1165" spans="1:10">
      <c r="A1165" s="5"/>
      <c r="B1165" s="5"/>
      <c r="C1165" s="5"/>
      <c r="D1165" s="5"/>
      <c r="E1165" s="5"/>
      <c r="F1165" s="5"/>
      <c r="G1165" s="5"/>
      <c r="H1165" s="5"/>
      <c r="I1165" s="5"/>
      <c r="J1165" s="5"/>
    </row>
    <row r="1166" spans="1:10">
      <c r="A1166" s="5"/>
      <c r="B1166" s="5"/>
      <c r="C1166" s="5"/>
      <c r="D1166" s="5"/>
      <c r="E1166" s="5"/>
      <c r="F1166" s="5"/>
      <c r="G1166" s="5"/>
      <c r="H1166" s="5"/>
      <c r="I1166" s="5"/>
      <c r="J1166" s="5"/>
    </row>
    <row r="1167" spans="1:10">
      <c r="A1167" s="5"/>
      <c r="B1167" s="5"/>
      <c r="C1167" s="5"/>
      <c r="D1167" s="5"/>
      <c r="E1167" s="5"/>
      <c r="F1167" s="5"/>
      <c r="G1167" s="5"/>
      <c r="H1167" s="5"/>
      <c r="I1167" s="5"/>
      <c r="J1167" s="5"/>
    </row>
    <row r="1168" spans="1:10">
      <c r="A1168" s="5"/>
      <c r="B1168" s="5"/>
      <c r="C1168" s="5"/>
      <c r="D1168" s="5"/>
      <c r="E1168" s="5"/>
      <c r="F1168" s="5"/>
      <c r="G1168" s="5"/>
      <c r="H1168" s="5"/>
      <c r="I1168" s="5"/>
      <c r="J1168" s="5"/>
    </row>
    <row r="1169" spans="1:10">
      <c r="A1169" s="5"/>
      <c r="B1169" s="5"/>
      <c r="C1169" s="5"/>
      <c r="D1169" s="5"/>
      <c r="E1169" s="5"/>
      <c r="F1169" s="5"/>
      <c r="G1169" s="5"/>
      <c r="H1169" s="5"/>
      <c r="I1169" s="5"/>
      <c r="J1169" s="5"/>
    </row>
    <row r="1170" spans="1:10">
      <c r="A1170" s="5"/>
      <c r="B1170" s="5"/>
      <c r="C1170" s="5"/>
      <c r="D1170" s="5"/>
      <c r="E1170" s="5"/>
      <c r="F1170" s="5"/>
      <c r="G1170" s="5"/>
      <c r="H1170" s="5"/>
      <c r="I1170" s="5"/>
      <c r="J1170" s="5"/>
    </row>
    <row r="1171" spans="1:10">
      <c r="A1171" s="5"/>
      <c r="B1171" s="5"/>
      <c r="C1171" s="5"/>
      <c r="D1171" s="5"/>
      <c r="E1171" s="5"/>
      <c r="F1171" s="5"/>
      <c r="G1171" s="5"/>
      <c r="H1171" s="5"/>
      <c r="I1171" s="5"/>
      <c r="J1171" s="5"/>
    </row>
    <row r="1172" spans="1:10">
      <c r="A1172" s="5"/>
      <c r="B1172" s="5"/>
      <c r="C1172" s="5"/>
      <c r="D1172" s="5"/>
      <c r="E1172" s="5"/>
      <c r="F1172" s="5"/>
      <c r="G1172" s="5"/>
      <c r="H1172" s="5"/>
      <c r="I1172" s="5"/>
      <c r="J1172" s="5"/>
    </row>
    <row r="1173" spans="1:10">
      <c r="A1173" s="5"/>
      <c r="B1173" s="5"/>
      <c r="C1173" s="5"/>
      <c r="D1173" s="5"/>
      <c r="E1173" s="5"/>
      <c r="F1173" s="5"/>
      <c r="G1173" s="5"/>
      <c r="H1173" s="5"/>
      <c r="I1173" s="5"/>
      <c r="J1173" s="5"/>
    </row>
    <row r="1174" spans="1:10">
      <c r="A1174" s="5"/>
      <c r="B1174" s="5"/>
      <c r="C1174" s="5"/>
      <c r="D1174" s="5"/>
      <c r="E1174" s="5"/>
      <c r="F1174" s="5"/>
      <c r="G1174" s="5"/>
      <c r="H1174" s="5"/>
      <c r="I1174" s="5"/>
      <c r="J1174" s="5"/>
    </row>
    <row r="1175" spans="1:10">
      <c r="A1175" s="5"/>
      <c r="B1175" s="5"/>
      <c r="C1175" s="5"/>
      <c r="D1175" s="5"/>
      <c r="E1175" s="5"/>
      <c r="F1175" s="5"/>
      <c r="G1175" s="5"/>
      <c r="H1175" s="5"/>
      <c r="I1175" s="5"/>
      <c r="J1175" s="5"/>
    </row>
    <row r="1176" spans="1:10">
      <c r="A1176" s="5"/>
      <c r="B1176" s="5"/>
      <c r="C1176" s="5"/>
      <c r="D1176" s="5"/>
      <c r="E1176" s="5"/>
      <c r="F1176" s="5"/>
      <c r="G1176" s="5"/>
      <c r="H1176" s="5"/>
      <c r="I1176" s="5"/>
      <c r="J1176" s="5"/>
    </row>
    <row r="1177" spans="1:10">
      <c r="A1177" s="5"/>
      <c r="B1177" s="5"/>
      <c r="C1177" s="5"/>
      <c r="D1177" s="5"/>
      <c r="E1177" s="5"/>
      <c r="F1177" s="5"/>
      <c r="G1177" s="5"/>
      <c r="H1177" s="5"/>
      <c r="I1177" s="5"/>
      <c r="J1177" s="5"/>
    </row>
    <row r="1178" spans="1:10">
      <c r="A1178" s="5"/>
      <c r="B1178" s="5"/>
      <c r="C1178" s="5"/>
      <c r="D1178" s="5"/>
      <c r="E1178" s="5"/>
      <c r="F1178" s="5"/>
      <c r="G1178" s="5"/>
      <c r="H1178" s="5"/>
      <c r="I1178" s="5"/>
      <c r="J1178" s="5"/>
    </row>
    <row r="1179" spans="1:10">
      <c r="A1179" s="5"/>
      <c r="B1179" s="5"/>
      <c r="C1179" s="5"/>
      <c r="D1179" s="5"/>
      <c r="E1179" s="5"/>
      <c r="F1179" s="5"/>
      <c r="G1179" s="5"/>
      <c r="H1179" s="5"/>
      <c r="I1179" s="5"/>
      <c r="J1179" s="5"/>
    </row>
    <row r="1180" spans="1:10">
      <c r="A1180" s="5"/>
      <c r="B1180" s="5"/>
      <c r="C1180" s="5"/>
      <c r="D1180" s="5"/>
      <c r="E1180" s="5"/>
      <c r="F1180" s="5"/>
      <c r="G1180" s="5"/>
      <c r="H1180" s="5"/>
      <c r="I1180" s="5"/>
      <c r="J1180" s="5"/>
    </row>
    <row r="1181" spans="1:10">
      <c r="A1181" s="5"/>
      <c r="B1181" s="5"/>
      <c r="C1181" s="5"/>
      <c r="D1181" s="5"/>
      <c r="E1181" s="5"/>
      <c r="F1181" s="5"/>
      <c r="G1181" s="5"/>
      <c r="H1181" s="5"/>
      <c r="I1181" s="5"/>
      <c r="J1181" s="5"/>
    </row>
    <row r="1182" spans="1:10">
      <c r="A1182" s="5"/>
      <c r="B1182" s="5"/>
      <c r="C1182" s="5"/>
      <c r="D1182" s="5"/>
      <c r="E1182" s="5"/>
      <c r="F1182" s="5"/>
      <c r="G1182" s="5"/>
      <c r="H1182" s="5"/>
      <c r="I1182" s="5"/>
      <c r="J1182" s="5"/>
    </row>
    <row r="1183" spans="1:10">
      <c r="A1183" s="5"/>
      <c r="B1183" s="5"/>
      <c r="C1183" s="5"/>
      <c r="D1183" s="5"/>
      <c r="E1183" s="5"/>
      <c r="F1183" s="5"/>
      <c r="G1183" s="5"/>
      <c r="H1183" s="5"/>
      <c r="I1183" s="5"/>
      <c r="J1183" s="5"/>
    </row>
    <row r="1184" spans="1:10">
      <c r="A1184" s="5"/>
      <c r="B1184" s="5"/>
      <c r="C1184" s="5"/>
      <c r="D1184" s="5"/>
      <c r="E1184" s="5"/>
      <c r="F1184" s="5"/>
      <c r="G1184" s="5"/>
      <c r="H1184" s="5"/>
      <c r="I1184" s="5"/>
      <c r="J1184" s="5"/>
    </row>
    <row r="1185" spans="1:10">
      <c r="A1185" s="5"/>
      <c r="B1185" s="5"/>
      <c r="C1185" s="5"/>
      <c r="D1185" s="5"/>
      <c r="E1185" s="5"/>
      <c r="F1185" s="5"/>
      <c r="G1185" s="5"/>
      <c r="H1185" s="5"/>
      <c r="I1185" s="5"/>
      <c r="J1185" s="5"/>
    </row>
    <row r="1186" spans="1:10">
      <c r="A1186" s="5"/>
      <c r="B1186" s="5"/>
      <c r="C1186" s="5"/>
      <c r="D1186" s="5"/>
      <c r="E1186" s="5"/>
      <c r="F1186" s="5"/>
      <c r="G1186" s="5"/>
      <c r="H1186" s="5"/>
      <c r="I1186" s="5"/>
      <c r="J1186" s="5"/>
    </row>
    <row r="1187" spans="1:10">
      <c r="A1187" s="5"/>
      <c r="B1187" s="5"/>
      <c r="C1187" s="5"/>
      <c r="D1187" s="5"/>
      <c r="E1187" s="5"/>
      <c r="F1187" s="5"/>
      <c r="G1187" s="5"/>
      <c r="H1187" s="5"/>
      <c r="I1187" s="5"/>
      <c r="J1187" s="5"/>
    </row>
    <row r="1188" spans="1:10">
      <c r="A1188" s="5"/>
      <c r="B1188" s="5"/>
      <c r="C1188" s="5"/>
      <c r="D1188" s="5"/>
      <c r="E1188" s="5"/>
      <c r="F1188" s="5"/>
      <c r="G1188" s="5"/>
      <c r="H1188" s="5"/>
      <c r="I1188" s="5"/>
      <c r="J1188" s="5"/>
    </row>
    <row r="1189" spans="1:10">
      <c r="A1189" s="5"/>
      <c r="B1189" s="5"/>
      <c r="C1189" s="5"/>
      <c r="D1189" s="5"/>
      <c r="E1189" s="5"/>
      <c r="F1189" s="5"/>
      <c r="G1189" s="5"/>
      <c r="H1189" s="5"/>
      <c r="I1189" s="5"/>
      <c r="J1189" s="5"/>
    </row>
    <row r="1190" spans="1:10">
      <c r="A1190" s="5"/>
      <c r="B1190" s="5"/>
      <c r="C1190" s="5"/>
      <c r="D1190" s="5"/>
      <c r="E1190" s="5"/>
      <c r="F1190" s="5"/>
      <c r="G1190" s="5"/>
      <c r="H1190" s="5"/>
      <c r="I1190" s="5"/>
      <c r="J1190" s="5"/>
    </row>
    <row r="1191" spans="1:10">
      <c r="A1191" s="5"/>
      <c r="B1191" s="5"/>
      <c r="C1191" s="5"/>
      <c r="D1191" s="5"/>
      <c r="E1191" s="5"/>
      <c r="F1191" s="5"/>
      <c r="G1191" s="5"/>
      <c r="H1191" s="5"/>
      <c r="I1191" s="5"/>
      <c r="J1191" s="5"/>
    </row>
    <row r="1192" spans="1:10">
      <c r="A1192" s="5"/>
      <c r="B1192" s="5"/>
      <c r="C1192" s="5"/>
      <c r="D1192" s="5"/>
      <c r="E1192" s="5"/>
      <c r="F1192" s="5"/>
      <c r="G1192" s="5"/>
      <c r="H1192" s="5"/>
      <c r="I1192" s="5"/>
      <c r="J1192" s="5"/>
    </row>
    <row r="1193" spans="1:10">
      <c r="A1193" s="5"/>
      <c r="B1193" s="5"/>
      <c r="C1193" s="5"/>
      <c r="D1193" s="5"/>
      <c r="E1193" s="5"/>
      <c r="F1193" s="5"/>
      <c r="G1193" s="5"/>
      <c r="H1193" s="5"/>
      <c r="I1193" s="5"/>
      <c r="J1193" s="5"/>
    </row>
    <row r="1194" spans="1:10">
      <c r="A1194" s="5"/>
      <c r="B1194" s="5"/>
      <c r="C1194" s="5"/>
      <c r="D1194" s="5"/>
      <c r="E1194" s="5"/>
      <c r="F1194" s="5"/>
      <c r="G1194" s="5"/>
      <c r="H1194" s="5"/>
      <c r="I1194" s="5"/>
      <c r="J1194" s="5"/>
    </row>
    <row r="1195" spans="1:10">
      <c r="A1195" s="5"/>
      <c r="B1195" s="5"/>
      <c r="C1195" s="5"/>
      <c r="D1195" s="5"/>
      <c r="E1195" s="5"/>
      <c r="F1195" s="5"/>
      <c r="G1195" s="5"/>
      <c r="H1195" s="5"/>
      <c r="I1195" s="5"/>
      <c r="J1195" s="5"/>
    </row>
    <row r="1196" spans="1:10">
      <c r="A1196" s="5"/>
      <c r="B1196" s="5"/>
      <c r="C1196" s="5"/>
      <c r="D1196" s="5"/>
      <c r="E1196" s="5"/>
      <c r="F1196" s="5"/>
      <c r="G1196" s="5"/>
      <c r="H1196" s="5"/>
      <c r="I1196" s="5"/>
      <c r="J1196" s="5"/>
    </row>
    <row r="1197" spans="1:10">
      <c r="A1197" s="5"/>
      <c r="B1197" s="5"/>
      <c r="C1197" s="5"/>
      <c r="D1197" s="5"/>
      <c r="E1197" s="5"/>
      <c r="F1197" s="5"/>
      <c r="G1197" s="5"/>
      <c r="H1197" s="5"/>
      <c r="I1197" s="5"/>
      <c r="J1197" s="5"/>
    </row>
    <row r="1198" spans="1:10">
      <c r="A1198" s="5"/>
      <c r="B1198" s="5"/>
      <c r="C1198" s="5"/>
      <c r="D1198" s="5"/>
      <c r="E1198" s="5"/>
      <c r="F1198" s="5"/>
      <c r="G1198" s="5"/>
      <c r="H1198" s="5"/>
      <c r="I1198" s="5"/>
      <c r="J1198" s="5"/>
    </row>
    <row r="1199" spans="1:10">
      <c r="A1199" s="5"/>
      <c r="B1199" s="5"/>
      <c r="C1199" s="5"/>
      <c r="D1199" s="5"/>
      <c r="E1199" s="5"/>
      <c r="F1199" s="5"/>
      <c r="G1199" s="5"/>
      <c r="H1199" s="5"/>
      <c r="I1199" s="5"/>
      <c r="J1199" s="5"/>
    </row>
    <row r="1200" spans="1:10">
      <c r="A1200" s="5"/>
      <c r="B1200" s="5"/>
      <c r="C1200" s="5"/>
      <c r="D1200" s="5"/>
      <c r="E1200" s="5"/>
      <c r="F1200" s="5"/>
      <c r="G1200" s="5"/>
      <c r="H1200" s="5"/>
      <c r="I1200" s="5"/>
      <c r="J1200" s="5"/>
    </row>
    <row r="1201" spans="1:10">
      <c r="A1201" s="5"/>
      <c r="B1201" s="5"/>
      <c r="C1201" s="5"/>
      <c r="D1201" s="5"/>
      <c r="E1201" s="5"/>
      <c r="F1201" s="5"/>
      <c r="G1201" s="5"/>
      <c r="H1201" s="5"/>
      <c r="I1201" s="5"/>
      <c r="J1201" s="5"/>
    </row>
    <row r="1202" spans="1:10">
      <c r="A1202" s="5"/>
      <c r="B1202" s="5"/>
      <c r="C1202" s="5"/>
      <c r="D1202" s="5"/>
      <c r="E1202" s="5"/>
      <c r="F1202" s="5"/>
      <c r="G1202" s="5"/>
      <c r="H1202" s="5"/>
      <c r="I1202" s="5"/>
      <c r="J1202" s="5"/>
    </row>
    <row r="1203" spans="1:10">
      <c r="A1203" s="5"/>
      <c r="B1203" s="5"/>
      <c r="C1203" s="5"/>
      <c r="D1203" s="5"/>
      <c r="E1203" s="5"/>
      <c r="F1203" s="5"/>
      <c r="G1203" s="5"/>
      <c r="H1203" s="5"/>
      <c r="I1203" s="5"/>
      <c r="J1203" s="5"/>
    </row>
    <row r="1204" spans="1:10">
      <c r="A1204" s="5"/>
      <c r="B1204" s="5"/>
      <c r="C1204" s="5"/>
      <c r="D1204" s="5"/>
      <c r="E1204" s="5"/>
      <c r="F1204" s="5"/>
      <c r="G1204" s="5"/>
      <c r="H1204" s="5"/>
      <c r="I1204" s="5"/>
      <c r="J1204" s="5"/>
    </row>
    <row r="1205" spans="1:10">
      <c r="A1205" s="5"/>
      <c r="B1205" s="5"/>
      <c r="C1205" s="5"/>
      <c r="D1205" s="5"/>
      <c r="E1205" s="5"/>
      <c r="F1205" s="5"/>
      <c r="G1205" s="5"/>
      <c r="H1205" s="5"/>
      <c r="I1205" s="5"/>
      <c r="J1205" s="5"/>
    </row>
    <row r="1206" spans="1:10">
      <c r="A1206" s="5"/>
      <c r="B1206" s="5"/>
      <c r="C1206" s="5"/>
      <c r="D1206" s="5"/>
      <c r="E1206" s="5"/>
      <c r="F1206" s="5"/>
      <c r="G1206" s="5"/>
      <c r="H1206" s="5"/>
      <c r="I1206" s="5"/>
      <c r="J1206" s="5"/>
    </row>
    <row r="1207" spans="1:10">
      <c r="A1207" s="5"/>
      <c r="B1207" s="5"/>
      <c r="C1207" s="5"/>
      <c r="D1207" s="5"/>
      <c r="E1207" s="5"/>
      <c r="F1207" s="5"/>
      <c r="G1207" s="5"/>
      <c r="H1207" s="5"/>
      <c r="I1207" s="5"/>
      <c r="J1207" s="5"/>
    </row>
    <row r="1208" spans="1:10">
      <c r="A1208" s="5"/>
      <c r="B1208" s="5"/>
      <c r="C1208" s="5"/>
      <c r="D1208" s="5"/>
      <c r="E1208" s="5"/>
      <c r="F1208" s="5"/>
      <c r="G1208" s="5"/>
      <c r="H1208" s="5"/>
      <c r="I1208" s="5"/>
      <c r="J1208" s="5"/>
    </row>
    <row r="1209" spans="1:10">
      <c r="A1209" s="5"/>
      <c r="B1209" s="5"/>
      <c r="C1209" s="5"/>
      <c r="D1209" s="5"/>
      <c r="E1209" s="5"/>
      <c r="F1209" s="5"/>
      <c r="G1209" s="5"/>
      <c r="H1209" s="5"/>
      <c r="I1209" s="5"/>
      <c r="J1209" s="5"/>
    </row>
    <row r="1210" spans="1:10">
      <c r="A1210" s="5"/>
      <c r="B1210" s="5"/>
      <c r="C1210" s="5"/>
      <c r="D1210" s="5"/>
      <c r="E1210" s="5"/>
      <c r="F1210" s="5"/>
      <c r="G1210" s="5"/>
      <c r="H1210" s="5"/>
      <c r="I1210" s="5"/>
      <c r="J1210" s="5"/>
    </row>
    <row r="1211" spans="1:10">
      <c r="A1211" s="5"/>
      <c r="B1211" s="5"/>
      <c r="C1211" s="5"/>
      <c r="D1211" s="5"/>
      <c r="E1211" s="5"/>
      <c r="F1211" s="5"/>
      <c r="G1211" s="5"/>
      <c r="H1211" s="5"/>
      <c r="I1211" s="5"/>
      <c r="J1211" s="5"/>
    </row>
    <row r="1212" spans="1:10">
      <c r="A1212" s="5"/>
      <c r="B1212" s="5"/>
      <c r="C1212" s="5"/>
      <c r="D1212" s="5"/>
      <c r="E1212" s="5"/>
      <c r="F1212" s="5"/>
      <c r="G1212" s="5"/>
      <c r="H1212" s="5"/>
      <c r="I1212" s="5"/>
      <c r="J1212" s="5"/>
    </row>
    <row r="1213" spans="1:10">
      <c r="A1213" s="5"/>
      <c r="B1213" s="5"/>
      <c r="C1213" s="5"/>
      <c r="D1213" s="5"/>
      <c r="E1213" s="5"/>
      <c r="F1213" s="5"/>
      <c r="G1213" s="5"/>
      <c r="H1213" s="5"/>
      <c r="I1213" s="5"/>
      <c r="J1213" s="5"/>
    </row>
    <row r="1214" spans="1:10">
      <c r="A1214" s="5"/>
      <c r="B1214" s="5"/>
      <c r="C1214" s="5"/>
      <c r="D1214" s="5"/>
      <c r="E1214" s="5"/>
      <c r="F1214" s="5"/>
      <c r="G1214" s="5"/>
      <c r="H1214" s="5"/>
      <c r="I1214" s="5"/>
      <c r="J1214" s="5"/>
    </row>
    <row r="1215" spans="1:10">
      <c r="A1215" s="5"/>
      <c r="B1215" s="5"/>
      <c r="C1215" s="5"/>
      <c r="D1215" s="5"/>
      <c r="E1215" s="5"/>
      <c r="F1215" s="5"/>
      <c r="G1215" s="5"/>
      <c r="H1215" s="5"/>
      <c r="I1215" s="5"/>
      <c r="J1215" s="5"/>
    </row>
    <row r="1216" spans="1:10">
      <c r="A1216" s="5"/>
      <c r="B1216" s="5"/>
      <c r="C1216" s="5"/>
      <c r="D1216" s="5"/>
      <c r="E1216" s="5"/>
      <c r="F1216" s="5"/>
      <c r="G1216" s="5"/>
      <c r="H1216" s="5"/>
      <c r="I1216" s="5"/>
      <c r="J1216" s="5"/>
    </row>
    <row r="1217" spans="1:10">
      <c r="A1217" s="5"/>
      <c r="B1217" s="5"/>
      <c r="C1217" s="5"/>
      <c r="D1217" s="5"/>
      <c r="E1217" s="5"/>
      <c r="F1217" s="5"/>
      <c r="G1217" s="5"/>
      <c r="H1217" s="5"/>
      <c r="I1217" s="5"/>
      <c r="J1217" s="5"/>
    </row>
    <row r="1218" spans="1:10">
      <c r="A1218" s="5"/>
      <c r="B1218" s="5"/>
      <c r="C1218" s="5"/>
      <c r="D1218" s="5"/>
      <c r="E1218" s="5"/>
      <c r="F1218" s="5"/>
      <c r="G1218" s="5"/>
      <c r="H1218" s="5"/>
      <c r="I1218" s="5"/>
      <c r="J1218" s="5"/>
    </row>
    <row r="1219" spans="1:10">
      <c r="A1219" s="5"/>
      <c r="B1219" s="5"/>
      <c r="C1219" s="5"/>
      <c r="D1219" s="5"/>
      <c r="E1219" s="5"/>
      <c r="F1219" s="5"/>
      <c r="G1219" s="5"/>
      <c r="H1219" s="5"/>
      <c r="I1219" s="5"/>
      <c r="J1219" s="5"/>
    </row>
    <row r="1220" spans="1:10">
      <c r="A1220" s="5"/>
      <c r="B1220" s="5"/>
      <c r="C1220" s="5"/>
      <c r="D1220" s="5"/>
      <c r="E1220" s="5"/>
      <c r="F1220" s="5"/>
      <c r="G1220" s="5"/>
      <c r="H1220" s="5"/>
      <c r="I1220" s="5"/>
      <c r="J1220" s="5"/>
    </row>
    <row r="1221" spans="1:10">
      <c r="A1221" s="5"/>
      <c r="B1221" s="5"/>
      <c r="C1221" s="5"/>
      <c r="D1221" s="5"/>
      <c r="E1221" s="5"/>
      <c r="F1221" s="5"/>
      <c r="G1221" s="5"/>
      <c r="H1221" s="5"/>
      <c r="I1221" s="5"/>
      <c r="J1221" s="5"/>
    </row>
    <row r="1222" spans="1:10">
      <c r="A1222" s="5"/>
      <c r="B1222" s="5"/>
      <c r="C1222" s="5"/>
      <c r="D1222" s="5"/>
      <c r="E1222" s="5"/>
      <c r="F1222" s="5"/>
      <c r="G1222" s="5"/>
      <c r="H1222" s="5"/>
      <c r="I1222" s="5"/>
      <c r="J1222" s="5"/>
    </row>
    <row r="1223" spans="1:10">
      <c r="A1223" s="5"/>
      <c r="B1223" s="5"/>
      <c r="C1223" s="5"/>
      <c r="D1223" s="5"/>
      <c r="E1223" s="5"/>
      <c r="F1223" s="5"/>
      <c r="G1223" s="5"/>
      <c r="H1223" s="5"/>
      <c r="I1223" s="5"/>
      <c r="J1223" s="5"/>
    </row>
    <row r="1224" spans="1:10">
      <c r="A1224" s="5"/>
      <c r="B1224" s="5"/>
      <c r="C1224" s="5"/>
      <c r="D1224" s="5"/>
      <c r="E1224" s="5"/>
      <c r="F1224" s="5"/>
      <c r="G1224" s="5"/>
      <c r="H1224" s="5"/>
      <c r="I1224" s="5"/>
      <c r="J1224" s="5"/>
    </row>
    <row r="1225" spans="1:10">
      <c r="A1225" s="5"/>
      <c r="B1225" s="5"/>
      <c r="C1225" s="5"/>
      <c r="D1225" s="5"/>
      <c r="E1225" s="5"/>
      <c r="F1225" s="5"/>
      <c r="G1225" s="5"/>
      <c r="H1225" s="5"/>
      <c r="I1225" s="5"/>
      <c r="J1225" s="5"/>
    </row>
    <row r="1226" spans="1:10">
      <c r="A1226" s="5"/>
      <c r="B1226" s="5"/>
      <c r="C1226" s="5"/>
      <c r="D1226" s="5"/>
      <c r="E1226" s="5"/>
      <c r="F1226" s="5"/>
      <c r="G1226" s="5"/>
      <c r="H1226" s="5"/>
      <c r="I1226" s="5"/>
      <c r="J1226" s="5"/>
    </row>
    <row r="1227" spans="1:10">
      <c r="A1227" s="5"/>
      <c r="B1227" s="5"/>
      <c r="C1227" s="5"/>
      <c r="D1227" s="5"/>
      <c r="E1227" s="5"/>
      <c r="F1227" s="5"/>
      <c r="G1227" s="5"/>
      <c r="H1227" s="5"/>
      <c r="I1227" s="5"/>
      <c r="J1227" s="5"/>
    </row>
    <row r="1228" spans="1:10">
      <c r="A1228" s="5"/>
      <c r="B1228" s="5"/>
      <c r="C1228" s="5"/>
      <c r="D1228" s="5"/>
      <c r="E1228" s="5"/>
      <c r="F1228" s="5"/>
      <c r="G1228" s="5"/>
      <c r="H1228" s="5"/>
      <c r="I1228" s="5"/>
      <c r="J1228" s="5"/>
    </row>
    <row r="1229" spans="1:10">
      <c r="A1229" s="5"/>
      <c r="B1229" s="5"/>
      <c r="C1229" s="5"/>
      <c r="D1229" s="5"/>
      <c r="E1229" s="5"/>
      <c r="F1229" s="5"/>
      <c r="G1229" s="5"/>
      <c r="H1229" s="5"/>
      <c r="I1229" s="5"/>
      <c r="J1229" s="5"/>
    </row>
    <row r="1230" spans="1:10">
      <c r="A1230" s="5"/>
      <c r="B1230" s="5"/>
      <c r="C1230" s="5"/>
      <c r="D1230" s="5"/>
      <c r="E1230" s="5"/>
      <c r="F1230" s="5"/>
      <c r="G1230" s="5"/>
      <c r="H1230" s="5"/>
      <c r="I1230" s="5"/>
      <c r="J1230" s="5"/>
    </row>
    <row r="1231" spans="1:10">
      <c r="A1231" s="5"/>
      <c r="B1231" s="5"/>
      <c r="C1231" s="5"/>
      <c r="D1231" s="5"/>
      <c r="E1231" s="5"/>
      <c r="F1231" s="5"/>
      <c r="G1231" s="5"/>
      <c r="H1231" s="5"/>
      <c r="I1231" s="5"/>
      <c r="J1231" s="5"/>
    </row>
    <row r="1232" spans="1:10">
      <c r="A1232" s="5"/>
      <c r="B1232" s="5"/>
      <c r="C1232" s="5"/>
      <c r="D1232" s="5"/>
      <c r="E1232" s="5"/>
      <c r="F1232" s="5"/>
      <c r="G1232" s="5"/>
      <c r="H1232" s="5"/>
      <c r="I1232" s="5"/>
      <c r="J1232" s="5"/>
    </row>
    <row r="1233" spans="1:10">
      <c r="A1233" s="5"/>
      <c r="B1233" s="5"/>
      <c r="C1233" s="5"/>
      <c r="D1233" s="5"/>
      <c r="E1233" s="5"/>
      <c r="F1233" s="5"/>
      <c r="G1233" s="5"/>
      <c r="H1233" s="5"/>
      <c r="I1233" s="5"/>
      <c r="J1233" s="5"/>
    </row>
    <row r="1234" spans="1:10">
      <c r="A1234" s="5"/>
      <c r="B1234" s="5"/>
      <c r="C1234" s="5"/>
      <c r="D1234" s="5"/>
      <c r="E1234" s="5"/>
      <c r="F1234" s="5"/>
      <c r="G1234" s="5"/>
      <c r="H1234" s="5"/>
      <c r="I1234" s="5"/>
      <c r="J1234" s="5"/>
    </row>
    <row r="1235" spans="1:10">
      <c r="A1235" s="5"/>
      <c r="B1235" s="5"/>
      <c r="C1235" s="5"/>
      <c r="D1235" s="5"/>
      <c r="E1235" s="5"/>
      <c r="F1235" s="5"/>
      <c r="G1235" s="5"/>
      <c r="H1235" s="5"/>
      <c r="I1235" s="5"/>
      <c r="J1235" s="5"/>
    </row>
    <row r="1236" spans="1:10">
      <c r="A1236" s="5"/>
      <c r="B1236" s="5"/>
      <c r="C1236" s="5"/>
      <c r="D1236" s="5"/>
      <c r="E1236" s="5"/>
      <c r="F1236" s="5"/>
      <c r="G1236" s="5"/>
      <c r="H1236" s="5"/>
      <c r="I1236" s="5"/>
      <c r="J1236" s="5"/>
    </row>
    <row r="1237" spans="1:10">
      <c r="A1237" s="5"/>
      <c r="B1237" s="5"/>
      <c r="C1237" s="5"/>
      <c r="D1237" s="5"/>
      <c r="E1237" s="5"/>
      <c r="F1237" s="5"/>
      <c r="G1237" s="5"/>
      <c r="H1237" s="5"/>
      <c r="I1237" s="5"/>
      <c r="J1237" s="5"/>
    </row>
    <row r="1238" spans="1:10">
      <c r="A1238" s="5"/>
      <c r="B1238" s="5"/>
      <c r="C1238" s="5"/>
      <c r="D1238" s="5"/>
      <c r="E1238" s="5"/>
      <c r="F1238" s="5"/>
      <c r="G1238" s="5"/>
      <c r="H1238" s="5"/>
      <c r="I1238" s="5"/>
      <c r="J1238" s="5"/>
    </row>
    <row r="1239" spans="1:10">
      <c r="A1239" s="5"/>
      <c r="B1239" s="5"/>
      <c r="C1239" s="5"/>
      <c r="D1239" s="5"/>
      <c r="E1239" s="5"/>
      <c r="F1239" s="5"/>
      <c r="G1239" s="5"/>
      <c r="H1239" s="5"/>
      <c r="I1239" s="5"/>
      <c r="J1239" s="5"/>
    </row>
    <row r="1240" spans="1:10">
      <c r="A1240" s="5"/>
      <c r="B1240" s="5"/>
      <c r="C1240" s="5"/>
      <c r="D1240" s="5"/>
      <c r="E1240" s="5"/>
      <c r="F1240" s="5"/>
      <c r="G1240" s="5"/>
      <c r="H1240" s="5"/>
      <c r="I1240" s="5"/>
      <c r="J1240" s="5"/>
    </row>
    <row r="1241" spans="1:10">
      <c r="A1241" s="5"/>
      <c r="B1241" s="5"/>
      <c r="C1241" s="5"/>
      <c r="D1241" s="5"/>
      <c r="E1241" s="5"/>
      <c r="F1241" s="5"/>
      <c r="G1241" s="5"/>
      <c r="H1241" s="5"/>
      <c r="I1241" s="5"/>
      <c r="J1241" s="5"/>
    </row>
    <row r="1242" spans="1:10">
      <c r="A1242" s="5"/>
      <c r="B1242" s="5"/>
      <c r="C1242" s="5"/>
      <c r="D1242" s="5"/>
      <c r="E1242" s="5"/>
      <c r="F1242" s="5"/>
      <c r="G1242" s="5"/>
      <c r="H1242" s="5"/>
      <c r="I1242" s="5"/>
      <c r="J1242" s="5"/>
    </row>
    <row r="1243" spans="1:10">
      <c r="A1243" s="5"/>
      <c r="B1243" s="5"/>
      <c r="C1243" s="5"/>
      <c r="D1243" s="5"/>
      <c r="E1243" s="5"/>
      <c r="F1243" s="5"/>
      <c r="G1243" s="5"/>
      <c r="H1243" s="5"/>
      <c r="I1243" s="5"/>
      <c r="J1243" s="5"/>
    </row>
    <row r="1244" spans="1:10">
      <c r="A1244" s="5"/>
      <c r="B1244" s="5"/>
      <c r="C1244" s="5"/>
      <c r="D1244" s="5"/>
      <c r="E1244" s="5"/>
      <c r="F1244" s="5"/>
      <c r="G1244" s="5"/>
      <c r="H1244" s="5"/>
      <c r="I1244" s="5"/>
      <c r="J1244" s="5"/>
    </row>
    <row r="1245" spans="1:10">
      <c r="A1245" s="5"/>
      <c r="B1245" s="5"/>
      <c r="C1245" s="5"/>
      <c r="D1245" s="5"/>
      <c r="E1245" s="5"/>
      <c r="F1245" s="5"/>
      <c r="G1245" s="5"/>
      <c r="H1245" s="5"/>
      <c r="I1245" s="5"/>
      <c r="J1245" s="5"/>
    </row>
    <row r="1246" spans="1:10">
      <c r="A1246" s="5"/>
      <c r="B1246" s="5"/>
      <c r="C1246" s="5"/>
      <c r="D1246" s="5"/>
      <c r="E1246" s="5"/>
      <c r="F1246" s="5"/>
      <c r="G1246" s="5"/>
      <c r="H1246" s="5"/>
      <c r="I1246" s="5"/>
      <c r="J1246" s="5"/>
    </row>
    <row r="1247" spans="1:10">
      <c r="A1247" s="5"/>
      <c r="B1247" s="5"/>
      <c r="C1247" s="5"/>
      <c r="D1247" s="5"/>
      <c r="E1247" s="5"/>
      <c r="F1247" s="5"/>
      <c r="G1247" s="5"/>
      <c r="H1247" s="5"/>
      <c r="I1247" s="5"/>
      <c r="J1247" s="5"/>
    </row>
    <row r="1248" spans="1:10">
      <c r="A1248" s="5"/>
      <c r="B1248" s="5"/>
      <c r="C1248" s="5"/>
      <c r="D1248" s="5"/>
      <c r="E1248" s="5"/>
      <c r="F1248" s="5"/>
      <c r="G1248" s="5"/>
      <c r="H1248" s="5"/>
      <c r="I1248" s="5"/>
      <c r="J1248" s="5"/>
    </row>
    <row r="1249" spans="1:10">
      <c r="A1249" s="5"/>
      <c r="B1249" s="5"/>
      <c r="C1249" s="5"/>
      <c r="D1249" s="5"/>
      <c r="E1249" s="5"/>
      <c r="F1249" s="5"/>
      <c r="G1249" s="5"/>
      <c r="H1249" s="5"/>
      <c r="I1249" s="5"/>
      <c r="J1249" s="5"/>
    </row>
    <row r="1250" spans="1:10">
      <c r="A1250" s="5"/>
      <c r="B1250" s="5"/>
      <c r="C1250" s="5"/>
      <c r="D1250" s="5"/>
      <c r="E1250" s="5"/>
      <c r="F1250" s="5"/>
      <c r="G1250" s="5"/>
      <c r="H1250" s="5"/>
      <c r="I1250" s="5"/>
      <c r="J1250" s="5"/>
    </row>
    <row r="1251" spans="1:10">
      <c r="A1251" s="5"/>
      <c r="B1251" s="5"/>
      <c r="C1251" s="5"/>
      <c r="D1251" s="5"/>
      <c r="E1251" s="5"/>
      <c r="F1251" s="5"/>
      <c r="G1251" s="5"/>
      <c r="H1251" s="5"/>
      <c r="I1251" s="5"/>
      <c r="J1251" s="5"/>
    </row>
    <row r="1252" spans="1:10">
      <c r="A1252" s="5"/>
      <c r="B1252" s="5"/>
      <c r="C1252" s="5"/>
      <c r="D1252" s="5"/>
      <c r="E1252" s="5"/>
      <c r="F1252" s="5"/>
      <c r="G1252" s="5"/>
      <c r="H1252" s="5"/>
      <c r="I1252" s="5"/>
      <c r="J1252" s="5"/>
    </row>
    <row r="1253" spans="1:10">
      <c r="A1253" s="5"/>
      <c r="B1253" s="5"/>
      <c r="C1253" s="5"/>
      <c r="D1253" s="5"/>
      <c r="E1253" s="5"/>
      <c r="F1253" s="5"/>
      <c r="G1253" s="5"/>
      <c r="H1253" s="5"/>
      <c r="I1253" s="5"/>
      <c r="J1253" s="5"/>
    </row>
    <row r="1254" spans="1:10">
      <c r="A1254" s="5"/>
      <c r="B1254" s="5"/>
      <c r="C1254" s="5"/>
      <c r="D1254" s="5"/>
      <c r="E1254" s="5"/>
      <c r="F1254" s="5"/>
      <c r="G1254" s="5"/>
      <c r="H1254" s="5"/>
      <c r="I1254" s="5"/>
      <c r="J1254" s="5"/>
    </row>
    <row r="1255" spans="1:10">
      <c r="A1255" s="5"/>
      <c r="B1255" s="5"/>
      <c r="C1255" s="5"/>
      <c r="D1255" s="5"/>
      <c r="E1255" s="5"/>
      <c r="F1255" s="5"/>
      <c r="G1255" s="5"/>
      <c r="H1255" s="5"/>
      <c r="I1255" s="5"/>
      <c r="J1255" s="5"/>
    </row>
    <row r="1256" spans="1:10">
      <c r="A1256" s="5"/>
      <c r="B1256" s="5"/>
      <c r="C1256" s="5"/>
      <c r="D1256" s="5"/>
      <c r="E1256" s="5"/>
      <c r="F1256" s="5"/>
      <c r="G1256" s="5"/>
      <c r="H1256" s="5"/>
      <c r="I1256" s="5"/>
      <c r="J1256" s="5"/>
    </row>
    <row r="1257" spans="1:10">
      <c r="A1257" s="5"/>
      <c r="B1257" s="5"/>
      <c r="C1257" s="5"/>
      <c r="D1257" s="5"/>
      <c r="E1257" s="5"/>
      <c r="F1257" s="5"/>
      <c r="G1257" s="5"/>
      <c r="H1257" s="5"/>
      <c r="I1257" s="5"/>
      <c r="J1257" s="5"/>
    </row>
    <row r="1258" spans="1:10">
      <c r="A1258" s="5"/>
      <c r="B1258" s="5"/>
      <c r="C1258" s="5"/>
      <c r="D1258" s="5"/>
      <c r="E1258" s="5"/>
      <c r="F1258" s="5"/>
      <c r="G1258" s="5"/>
      <c r="H1258" s="5"/>
      <c r="I1258" s="5"/>
      <c r="J1258" s="5"/>
    </row>
    <row r="1259" spans="1:10">
      <c r="A1259" s="5"/>
      <c r="B1259" s="5"/>
      <c r="C1259" s="5"/>
      <c r="D1259" s="5"/>
      <c r="E1259" s="5"/>
      <c r="F1259" s="5"/>
      <c r="G1259" s="5"/>
      <c r="H1259" s="5"/>
      <c r="I1259" s="5"/>
      <c r="J1259" s="5"/>
    </row>
    <row r="1260" spans="1:10">
      <c r="A1260" s="5"/>
      <c r="B1260" s="5"/>
      <c r="C1260" s="5"/>
      <c r="D1260" s="5"/>
      <c r="E1260" s="5"/>
      <c r="F1260" s="5"/>
      <c r="G1260" s="5"/>
      <c r="H1260" s="5"/>
      <c r="I1260" s="5"/>
      <c r="J1260" s="5"/>
    </row>
    <row r="1261" spans="1:10">
      <c r="A1261" s="5"/>
      <c r="B1261" s="5"/>
      <c r="C1261" s="5"/>
      <c r="D1261" s="5"/>
      <c r="E1261" s="5"/>
      <c r="F1261" s="5"/>
      <c r="G1261" s="5"/>
      <c r="H1261" s="5"/>
      <c r="I1261" s="5"/>
      <c r="J1261" s="5"/>
    </row>
    <row r="1262" spans="1:10">
      <c r="A1262" s="5"/>
      <c r="B1262" s="5"/>
      <c r="C1262" s="5"/>
      <c r="D1262" s="5"/>
      <c r="E1262" s="5"/>
      <c r="F1262" s="5"/>
      <c r="G1262" s="5"/>
      <c r="H1262" s="5"/>
      <c r="I1262" s="5"/>
      <c r="J1262" s="5"/>
    </row>
    <row r="1263" spans="1:10">
      <c r="A1263" s="5"/>
      <c r="B1263" s="5"/>
      <c r="C1263" s="5"/>
      <c r="D1263" s="5"/>
      <c r="E1263" s="5"/>
      <c r="F1263" s="5"/>
      <c r="G1263" s="5"/>
      <c r="H1263" s="5"/>
      <c r="I1263" s="5"/>
      <c r="J1263" s="5"/>
    </row>
    <row r="1264" spans="1:10">
      <c r="A1264" s="5"/>
      <c r="B1264" s="5"/>
      <c r="C1264" s="5"/>
      <c r="D1264" s="5"/>
      <c r="E1264" s="5"/>
      <c r="F1264" s="5"/>
      <c r="G1264" s="5"/>
      <c r="H1264" s="5"/>
      <c r="I1264" s="5"/>
      <c r="J1264" s="5"/>
    </row>
    <row r="1265" spans="1:10">
      <c r="A1265" s="5"/>
      <c r="B1265" s="5"/>
      <c r="C1265" s="5"/>
      <c r="D1265" s="5"/>
      <c r="E1265" s="5"/>
      <c r="F1265" s="5"/>
      <c r="G1265" s="5"/>
      <c r="H1265" s="5"/>
      <c r="I1265" s="5"/>
      <c r="J1265" s="5"/>
    </row>
    <row r="1266" spans="1:10">
      <c r="A1266" s="5"/>
      <c r="B1266" s="5"/>
      <c r="C1266" s="5"/>
      <c r="D1266" s="5"/>
      <c r="E1266" s="5"/>
      <c r="F1266" s="5"/>
      <c r="G1266" s="5"/>
      <c r="H1266" s="5"/>
      <c r="I1266" s="5"/>
      <c r="J1266" s="5"/>
    </row>
    <row r="1267" spans="1:10">
      <c r="A1267" s="5"/>
      <c r="B1267" s="5"/>
      <c r="C1267" s="5"/>
      <c r="D1267" s="5"/>
      <c r="E1267" s="5"/>
      <c r="F1267" s="5"/>
      <c r="G1267" s="5"/>
      <c r="H1267" s="5"/>
      <c r="I1267" s="5"/>
      <c r="J1267" s="5"/>
    </row>
    <row r="1268" spans="1:10">
      <c r="A1268" s="5"/>
      <c r="B1268" s="5"/>
      <c r="C1268" s="5"/>
      <c r="D1268" s="5"/>
      <c r="E1268" s="5"/>
      <c r="F1268" s="5"/>
      <c r="G1268" s="5"/>
      <c r="H1268" s="5"/>
      <c r="I1268" s="5"/>
      <c r="J1268" s="5"/>
    </row>
    <row r="1269" spans="1:10">
      <c r="A1269" s="5"/>
      <c r="B1269" s="5"/>
      <c r="C1269" s="5"/>
      <c r="D1269" s="5"/>
      <c r="E1269" s="5"/>
      <c r="F1269" s="5"/>
      <c r="G1269" s="5"/>
      <c r="H1269" s="5"/>
      <c r="I1269" s="5"/>
      <c r="J1269" s="5"/>
    </row>
    <row r="1270" spans="1:10">
      <c r="A1270" s="5"/>
      <c r="B1270" s="5"/>
      <c r="C1270" s="5"/>
      <c r="D1270" s="5"/>
      <c r="E1270" s="5"/>
      <c r="F1270" s="5"/>
      <c r="G1270" s="5"/>
      <c r="H1270" s="5"/>
      <c r="I1270" s="5"/>
      <c r="J1270" s="5"/>
    </row>
    <row r="1271" spans="1:10">
      <c r="A1271" s="5"/>
      <c r="B1271" s="5"/>
      <c r="C1271" s="5"/>
      <c r="D1271" s="5"/>
      <c r="E1271" s="5"/>
      <c r="F1271" s="5"/>
      <c r="G1271" s="5"/>
      <c r="H1271" s="5"/>
      <c r="I1271" s="5"/>
      <c r="J1271" s="5"/>
    </row>
    <row r="1272" spans="1:10">
      <c r="A1272" s="5"/>
      <c r="B1272" s="5"/>
      <c r="C1272" s="5"/>
      <c r="D1272" s="5"/>
      <c r="E1272" s="5"/>
      <c r="F1272" s="5"/>
      <c r="G1272" s="5"/>
      <c r="H1272" s="5"/>
      <c r="I1272" s="5"/>
      <c r="J1272" s="5"/>
    </row>
    <row r="1273" spans="1:10">
      <c r="A1273" s="5"/>
      <c r="B1273" s="5"/>
      <c r="C1273" s="5"/>
      <c r="D1273" s="5"/>
      <c r="E1273" s="5"/>
      <c r="F1273" s="5"/>
      <c r="G1273" s="5"/>
      <c r="H1273" s="5"/>
      <c r="I1273" s="5"/>
      <c r="J1273" s="5"/>
    </row>
    <row r="1274" spans="1:10">
      <c r="A1274" s="5"/>
      <c r="B1274" s="5"/>
      <c r="C1274" s="5"/>
      <c r="D1274" s="5"/>
      <c r="E1274" s="5"/>
      <c r="F1274" s="5"/>
      <c r="G1274" s="5"/>
      <c r="H1274" s="5"/>
      <c r="I1274" s="5"/>
      <c r="J1274" s="5"/>
    </row>
    <row r="1275" spans="1:10">
      <c r="A1275" s="5"/>
      <c r="B1275" s="5"/>
      <c r="C1275" s="5"/>
      <c r="D1275" s="5"/>
      <c r="E1275" s="5"/>
      <c r="F1275" s="5"/>
      <c r="G1275" s="5"/>
      <c r="H1275" s="5"/>
      <c r="I1275" s="5"/>
      <c r="J1275" s="5"/>
    </row>
    <row r="1276" spans="1:10">
      <c r="A1276" s="5"/>
      <c r="B1276" s="5"/>
      <c r="C1276" s="5"/>
      <c r="D1276" s="5"/>
      <c r="E1276" s="5"/>
      <c r="F1276" s="5"/>
      <c r="G1276" s="5"/>
      <c r="H1276" s="5"/>
      <c r="I1276" s="5"/>
      <c r="J1276" s="5"/>
    </row>
    <row r="1277" spans="1:10">
      <c r="A1277" s="5"/>
      <c r="B1277" s="5"/>
      <c r="C1277" s="5"/>
      <c r="D1277" s="5"/>
      <c r="E1277" s="5"/>
      <c r="F1277" s="5"/>
      <c r="G1277" s="5"/>
      <c r="H1277" s="5"/>
      <c r="I1277" s="5"/>
      <c r="J1277" s="5"/>
    </row>
    <row r="1278" spans="1:10">
      <c r="A1278" s="5"/>
      <c r="B1278" s="5"/>
      <c r="C1278" s="5"/>
      <c r="D1278" s="5"/>
      <c r="E1278" s="5"/>
      <c r="F1278" s="5"/>
      <c r="G1278" s="5"/>
      <c r="H1278" s="5"/>
      <c r="I1278" s="5"/>
      <c r="J1278" s="5"/>
    </row>
    <row r="1279" spans="1:10">
      <c r="A1279" s="5"/>
      <c r="B1279" s="5"/>
      <c r="C1279" s="5"/>
      <c r="D1279" s="5"/>
      <c r="E1279" s="5"/>
      <c r="F1279" s="5"/>
      <c r="G1279" s="5"/>
      <c r="H1279" s="5"/>
      <c r="I1279" s="5"/>
      <c r="J1279" s="5"/>
    </row>
    <row r="1280" spans="1:10">
      <c r="A1280" s="5"/>
      <c r="B1280" s="5"/>
      <c r="C1280" s="5"/>
      <c r="D1280" s="5"/>
      <c r="E1280" s="5"/>
      <c r="F1280" s="5"/>
      <c r="G1280" s="5"/>
      <c r="H1280" s="5"/>
      <c r="I1280" s="5"/>
      <c r="J1280" s="5"/>
    </row>
    <row r="1281" spans="1:10">
      <c r="A1281" s="5"/>
      <c r="B1281" s="5"/>
      <c r="C1281" s="5"/>
      <c r="D1281" s="5"/>
      <c r="E1281" s="5"/>
      <c r="F1281" s="5"/>
      <c r="G1281" s="5"/>
      <c r="H1281" s="5"/>
      <c r="I1281" s="5"/>
      <c r="J1281" s="5"/>
    </row>
    <row r="1282" spans="1:10">
      <c r="A1282" s="5"/>
      <c r="B1282" s="5"/>
      <c r="C1282" s="5"/>
      <c r="D1282" s="5"/>
      <c r="E1282" s="5"/>
      <c r="F1282" s="5"/>
      <c r="G1282" s="5"/>
      <c r="H1282" s="5"/>
      <c r="I1282" s="5"/>
      <c r="J1282" s="5"/>
    </row>
    <row r="1283" spans="1:10">
      <c r="A1283" s="5"/>
      <c r="B1283" s="5"/>
      <c r="C1283" s="5"/>
      <c r="D1283" s="5"/>
      <c r="E1283" s="5"/>
      <c r="F1283" s="5"/>
      <c r="G1283" s="5"/>
      <c r="H1283" s="5"/>
      <c r="I1283" s="5"/>
      <c r="J1283" s="5"/>
    </row>
    <row r="1284" spans="1:10">
      <c r="A1284" s="5"/>
      <c r="B1284" s="5"/>
      <c r="C1284" s="5"/>
      <c r="D1284" s="5"/>
      <c r="E1284" s="5"/>
      <c r="F1284" s="5"/>
      <c r="G1284" s="5"/>
      <c r="H1284" s="5"/>
      <c r="I1284" s="5"/>
      <c r="J1284" s="5"/>
    </row>
    <row r="1285" spans="1:10">
      <c r="A1285" s="5"/>
      <c r="B1285" s="5"/>
      <c r="C1285" s="5"/>
      <c r="D1285" s="5"/>
      <c r="E1285" s="5"/>
      <c r="F1285" s="5"/>
      <c r="G1285" s="5"/>
      <c r="H1285" s="5"/>
      <c r="I1285" s="5"/>
      <c r="J1285" s="5"/>
    </row>
    <row r="1286" spans="1:10">
      <c r="A1286" s="5"/>
      <c r="B1286" s="5"/>
      <c r="C1286" s="5"/>
      <c r="D1286" s="5"/>
      <c r="E1286" s="5"/>
      <c r="F1286" s="5"/>
      <c r="G1286" s="5"/>
      <c r="H1286" s="5"/>
      <c r="I1286" s="5"/>
      <c r="J1286" s="5"/>
    </row>
    <row r="1287" spans="1:10">
      <c r="A1287" s="5"/>
      <c r="B1287" s="5"/>
      <c r="C1287" s="5"/>
      <c r="D1287" s="5"/>
      <c r="E1287" s="5"/>
      <c r="F1287" s="5"/>
      <c r="G1287" s="5"/>
      <c r="H1287" s="5"/>
      <c r="I1287" s="5"/>
      <c r="J1287" s="5"/>
    </row>
    <row r="1288" spans="1:10">
      <c r="A1288" s="5"/>
      <c r="B1288" s="5"/>
      <c r="C1288" s="5"/>
      <c r="D1288" s="5"/>
      <c r="E1288" s="5"/>
      <c r="F1288" s="5"/>
      <c r="G1288" s="5"/>
      <c r="H1288" s="5"/>
      <c r="I1288" s="5"/>
      <c r="J1288" s="5"/>
    </row>
    <row r="1289" spans="1:10">
      <c r="A1289" s="5"/>
      <c r="B1289" s="5"/>
      <c r="C1289" s="5"/>
      <c r="D1289" s="5"/>
      <c r="E1289" s="5"/>
      <c r="F1289" s="5"/>
      <c r="G1289" s="5"/>
      <c r="H1289" s="5"/>
      <c r="I1289" s="5"/>
      <c r="J1289" s="5"/>
    </row>
    <row r="1290" spans="1:10">
      <c r="A1290" s="5"/>
      <c r="B1290" s="5"/>
      <c r="C1290" s="5"/>
      <c r="D1290" s="5"/>
      <c r="E1290" s="5"/>
      <c r="F1290" s="5"/>
      <c r="G1290" s="5"/>
      <c r="H1290" s="5"/>
      <c r="I1290" s="5"/>
      <c r="J1290" s="5"/>
    </row>
    <row r="1291" spans="1:10">
      <c r="A1291" s="5"/>
      <c r="B1291" s="5"/>
      <c r="C1291" s="5"/>
      <c r="D1291" s="5"/>
      <c r="E1291" s="5"/>
      <c r="F1291" s="5"/>
      <c r="G1291" s="5"/>
      <c r="H1291" s="5"/>
      <c r="I1291" s="5"/>
      <c r="J1291" s="5"/>
    </row>
    <row r="1292" spans="1:10">
      <c r="A1292" s="5"/>
      <c r="B1292" s="5"/>
      <c r="C1292" s="5"/>
      <c r="D1292" s="5"/>
      <c r="E1292" s="5"/>
      <c r="F1292" s="5"/>
      <c r="G1292" s="5"/>
      <c r="H1292" s="5"/>
      <c r="I1292" s="5"/>
      <c r="J1292" s="5"/>
    </row>
    <row r="1293" spans="1:10">
      <c r="A1293" s="5"/>
      <c r="B1293" s="5"/>
      <c r="C1293" s="5"/>
      <c r="D1293" s="5"/>
      <c r="E1293" s="5"/>
      <c r="F1293" s="5"/>
      <c r="G1293" s="5"/>
      <c r="H1293" s="5"/>
      <c r="I1293" s="5"/>
      <c r="J1293" s="5"/>
    </row>
    <row r="1294" spans="1:10">
      <c r="A1294" s="5"/>
      <c r="B1294" s="5"/>
      <c r="C1294" s="5"/>
      <c r="D1294" s="5"/>
      <c r="E1294" s="5"/>
      <c r="F1294" s="5"/>
      <c r="G1294" s="5"/>
      <c r="H1294" s="5"/>
      <c r="I1294" s="5"/>
      <c r="J1294" s="5"/>
    </row>
    <row r="1295" spans="1:10">
      <c r="A1295" s="5"/>
      <c r="B1295" s="5"/>
      <c r="C1295" s="5"/>
      <c r="D1295" s="5"/>
      <c r="E1295" s="5"/>
      <c r="F1295" s="5"/>
      <c r="G1295" s="5"/>
      <c r="H1295" s="5"/>
      <c r="I1295" s="5"/>
      <c r="J1295" s="5"/>
    </row>
    <row r="1296" spans="1:10">
      <c r="A1296" s="5"/>
      <c r="B1296" s="5"/>
      <c r="C1296" s="5"/>
      <c r="D1296" s="5"/>
      <c r="E1296" s="5"/>
      <c r="F1296" s="5"/>
      <c r="G1296" s="5"/>
      <c r="H1296" s="5"/>
      <c r="I1296" s="5"/>
      <c r="J1296" s="5"/>
    </row>
    <row r="1297" spans="1:10">
      <c r="A1297" s="5"/>
      <c r="B1297" s="5"/>
      <c r="C1297" s="5"/>
      <c r="D1297" s="5"/>
      <c r="E1297" s="5"/>
      <c r="F1297" s="5"/>
      <c r="G1297" s="5"/>
      <c r="H1297" s="5"/>
      <c r="I1297" s="5"/>
      <c r="J1297" s="5"/>
    </row>
    <row r="1298" spans="1:10">
      <c r="A1298" s="5"/>
      <c r="B1298" s="5"/>
      <c r="C1298" s="5"/>
      <c r="D1298" s="5"/>
      <c r="E1298" s="5"/>
      <c r="F1298" s="5"/>
      <c r="G1298" s="5"/>
      <c r="H1298" s="5"/>
      <c r="I1298" s="5"/>
      <c r="J1298" s="5"/>
    </row>
    <row r="1299" spans="1:10">
      <c r="A1299" s="5"/>
      <c r="B1299" s="5"/>
      <c r="C1299" s="5"/>
      <c r="D1299" s="5"/>
      <c r="E1299" s="5"/>
      <c r="F1299" s="5"/>
      <c r="G1299" s="5"/>
      <c r="H1299" s="5"/>
      <c r="I1299" s="5"/>
      <c r="J1299" s="5"/>
    </row>
    <row r="1300" spans="1:10">
      <c r="A1300" s="5"/>
      <c r="B1300" s="5"/>
      <c r="C1300" s="5"/>
      <c r="D1300" s="5"/>
      <c r="E1300" s="5"/>
      <c r="F1300" s="5"/>
      <c r="G1300" s="5"/>
      <c r="H1300" s="5"/>
      <c r="I1300" s="5"/>
      <c r="J1300" s="5"/>
    </row>
    <row r="1301" spans="1:10">
      <c r="A1301" s="5"/>
      <c r="B1301" s="5"/>
      <c r="C1301" s="5"/>
      <c r="D1301" s="5"/>
      <c r="E1301" s="5"/>
      <c r="F1301" s="5"/>
      <c r="G1301" s="5"/>
      <c r="H1301" s="5"/>
      <c r="I1301" s="5"/>
      <c r="J1301" s="5"/>
    </row>
    <row r="1302" spans="1:10">
      <c r="A1302" s="5"/>
      <c r="B1302" s="5"/>
      <c r="C1302" s="5"/>
      <c r="D1302" s="5"/>
      <c r="E1302" s="5"/>
      <c r="F1302" s="5"/>
      <c r="G1302" s="5"/>
      <c r="H1302" s="5"/>
      <c r="I1302" s="5"/>
      <c r="J1302" s="5"/>
    </row>
    <row r="1303" spans="1:10">
      <c r="A1303" s="5"/>
      <c r="B1303" s="5"/>
      <c r="C1303" s="5"/>
      <c r="D1303" s="5"/>
      <c r="E1303" s="5"/>
      <c r="F1303" s="5"/>
      <c r="G1303" s="5"/>
      <c r="H1303" s="5"/>
      <c r="I1303" s="5"/>
      <c r="J1303" s="5"/>
    </row>
    <row r="1304" spans="1:10">
      <c r="A1304" s="5"/>
      <c r="B1304" s="5"/>
      <c r="C1304" s="5"/>
      <c r="D1304" s="5"/>
      <c r="E1304" s="5"/>
      <c r="F1304" s="5"/>
      <c r="G1304" s="5"/>
      <c r="H1304" s="5"/>
      <c r="I1304" s="5"/>
      <c r="J1304" s="5"/>
    </row>
    <row r="1305" spans="1:10">
      <c r="A1305" s="5"/>
      <c r="B1305" s="5"/>
      <c r="C1305" s="5"/>
      <c r="D1305" s="5"/>
      <c r="E1305" s="5"/>
      <c r="F1305" s="5"/>
      <c r="G1305" s="5"/>
      <c r="H1305" s="5"/>
      <c r="I1305" s="5"/>
      <c r="J1305" s="5"/>
    </row>
    <row r="1306" spans="1:10">
      <c r="A1306" s="5"/>
      <c r="B1306" s="5"/>
      <c r="C1306" s="5"/>
      <c r="D1306" s="5"/>
      <c r="E1306" s="5"/>
      <c r="F1306" s="5"/>
      <c r="G1306" s="5"/>
      <c r="H1306" s="5"/>
      <c r="I1306" s="5"/>
      <c r="J1306" s="5"/>
    </row>
    <row r="1307" spans="1:10">
      <c r="A1307" s="5"/>
      <c r="B1307" s="5"/>
      <c r="C1307" s="5"/>
      <c r="D1307" s="5"/>
      <c r="E1307" s="5"/>
      <c r="F1307" s="5"/>
      <c r="G1307" s="5"/>
      <c r="H1307" s="5"/>
      <c r="I1307" s="5"/>
      <c r="J1307" s="5"/>
    </row>
    <row r="1308" spans="1:10">
      <c r="A1308" s="5"/>
      <c r="B1308" s="5"/>
      <c r="C1308" s="5"/>
      <c r="D1308" s="5"/>
      <c r="E1308" s="5"/>
      <c r="F1308" s="5"/>
      <c r="G1308" s="5"/>
      <c r="H1308" s="5"/>
      <c r="I1308" s="5"/>
      <c r="J1308" s="5"/>
    </row>
    <row r="1309" spans="1:10">
      <c r="A1309" s="5"/>
      <c r="B1309" s="5"/>
      <c r="C1309" s="5"/>
      <c r="D1309" s="5"/>
      <c r="E1309" s="5"/>
      <c r="F1309" s="5"/>
      <c r="G1309" s="5"/>
      <c r="H1309" s="5"/>
      <c r="I1309" s="5"/>
      <c r="J1309" s="5"/>
    </row>
    <row r="1310" spans="1:10">
      <c r="A1310" s="5"/>
      <c r="B1310" s="5"/>
      <c r="C1310" s="5"/>
      <c r="D1310" s="5"/>
      <c r="E1310" s="5"/>
      <c r="F1310" s="5"/>
      <c r="G1310" s="5"/>
      <c r="H1310" s="5"/>
      <c r="I1310" s="5"/>
      <c r="J1310" s="5"/>
    </row>
    <row r="1311" spans="1:10">
      <c r="A1311" s="5"/>
      <c r="B1311" s="5"/>
      <c r="C1311" s="5"/>
      <c r="D1311" s="5"/>
      <c r="E1311" s="5"/>
      <c r="F1311" s="5"/>
      <c r="G1311" s="5"/>
      <c r="H1311" s="5"/>
      <c r="I1311" s="5"/>
      <c r="J1311" s="5"/>
    </row>
    <row r="1312" spans="1:10">
      <c r="A1312" s="5"/>
      <c r="B1312" s="5"/>
      <c r="C1312" s="5"/>
      <c r="D1312" s="5"/>
      <c r="E1312" s="5"/>
      <c r="F1312" s="5"/>
      <c r="G1312" s="5"/>
      <c r="H1312" s="5"/>
      <c r="I1312" s="5"/>
      <c r="J1312" s="5"/>
    </row>
    <row r="1313" spans="1:10">
      <c r="A1313" s="5"/>
      <c r="B1313" s="5"/>
      <c r="C1313" s="5"/>
      <c r="D1313" s="5"/>
      <c r="E1313" s="5"/>
      <c r="F1313" s="5"/>
      <c r="G1313" s="5"/>
      <c r="H1313" s="5"/>
      <c r="I1313" s="5"/>
      <c r="J1313" s="5"/>
    </row>
    <row r="1314" spans="1:10">
      <c r="A1314" s="5"/>
      <c r="B1314" s="5"/>
      <c r="C1314" s="5"/>
      <c r="D1314" s="5"/>
      <c r="E1314" s="5"/>
      <c r="F1314" s="5"/>
      <c r="G1314" s="5"/>
      <c r="H1314" s="5"/>
      <c r="I1314" s="5"/>
      <c r="J1314" s="5"/>
    </row>
    <row r="1315" spans="1:10">
      <c r="A1315" s="5"/>
      <c r="B1315" s="5"/>
      <c r="C1315" s="5"/>
      <c r="D1315" s="5"/>
      <c r="E1315" s="5"/>
      <c r="F1315" s="5"/>
      <c r="G1315" s="5"/>
      <c r="H1315" s="5"/>
      <c r="I1315" s="5"/>
      <c r="J1315" s="5"/>
    </row>
    <row r="1316" spans="1:10">
      <c r="A1316" s="5"/>
      <c r="B1316" s="5"/>
      <c r="C1316" s="5"/>
      <c r="D1316" s="5"/>
      <c r="E1316" s="5"/>
      <c r="F1316" s="5"/>
      <c r="G1316" s="5"/>
      <c r="H1316" s="5"/>
      <c r="I1316" s="5"/>
      <c r="J1316" s="5"/>
    </row>
    <row r="1317" spans="1:10">
      <c r="A1317" s="5"/>
      <c r="B1317" s="5"/>
      <c r="C1317" s="5"/>
      <c r="D1317" s="5"/>
      <c r="E1317" s="5"/>
      <c r="F1317" s="5"/>
      <c r="G1317" s="5"/>
      <c r="H1317" s="5"/>
      <c r="I1317" s="5"/>
      <c r="J1317" s="5"/>
    </row>
    <row r="1318" spans="1:10">
      <c r="A1318" s="5"/>
      <c r="B1318" s="5"/>
      <c r="C1318" s="5"/>
      <c r="D1318" s="5"/>
      <c r="E1318" s="5"/>
      <c r="F1318" s="5"/>
      <c r="G1318" s="5"/>
      <c r="H1318" s="5"/>
      <c r="I1318" s="5"/>
      <c r="J1318" s="5"/>
    </row>
    <row r="1319" spans="1:10">
      <c r="A1319" s="5"/>
      <c r="B1319" s="5"/>
      <c r="C1319" s="5"/>
      <c r="D1319" s="5"/>
      <c r="E1319" s="5"/>
      <c r="F1319" s="5"/>
      <c r="G1319" s="5"/>
      <c r="H1319" s="5"/>
      <c r="I1319" s="5"/>
      <c r="J1319" s="5"/>
    </row>
    <row r="1320" spans="1:10">
      <c r="A1320" s="5"/>
      <c r="B1320" s="5"/>
      <c r="C1320" s="5"/>
      <c r="D1320" s="5"/>
      <c r="E1320" s="5"/>
      <c r="F1320" s="5"/>
      <c r="G1320" s="5"/>
      <c r="H1320" s="5"/>
      <c r="I1320" s="5"/>
      <c r="J1320" s="5"/>
    </row>
    <row r="1321" spans="1:10">
      <c r="A1321" s="5"/>
      <c r="B1321" s="5"/>
      <c r="C1321" s="5"/>
      <c r="D1321" s="5"/>
      <c r="E1321" s="5"/>
      <c r="F1321" s="5"/>
      <c r="G1321" s="5"/>
      <c r="H1321" s="5"/>
      <c r="I1321" s="5"/>
      <c r="J1321" s="5"/>
    </row>
    <row r="1322" spans="1:10">
      <c r="A1322" s="5"/>
      <c r="B1322" s="5"/>
      <c r="C1322" s="5"/>
      <c r="D1322" s="5"/>
      <c r="E1322" s="5"/>
      <c r="F1322" s="5"/>
      <c r="G1322" s="5"/>
      <c r="H1322" s="5"/>
      <c r="I1322" s="5"/>
      <c r="J1322" s="5"/>
    </row>
    <row r="1323" spans="1:10">
      <c r="A1323" s="5"/>
      <c r="B1323" s="5"/>
      <c r="C1323" s="5"/>
      <c r="D1323" s="5"/>
      <c r="E1323" s="5"/>
      <c r="F1323" s="5"/>
      <c r="G1323" s="5"/>
      <c r="H1323" s="5"/>
      <c r="I1323" s="5"/>
      <c r="J1323" s="5"/>
    </row>
    <row r="1324" spans="1:10">
      <c r="A1324" s="5"/>
      <c r="B1324" s="5"/>
      <c r="C1324" s="5"/>
      <c r="D1324" s="5"/>
      <c r="E1324" s="5"/>
      <c r="F1324" s="5"/>
      <c r="G1324" s="5"/>
      <c r="H1324" s="5"/>
      <c r="I1324" s="5"/>
      <c r="J1324" s="5"/>
    </row>
    <row r="1325" spans="1:10">
      <c r="A1325" s="5"/>
      <c r="B1325" s="5"/>
      <c r="C1325" s="5"/>
      <c r="D1325" s="5"/>
      <c r="E1325" s="5"/>
      <c r="F1325" s="5"/>
      <c r="G1325" s="5"/>
      <c r="H1325" s="5"/>
      <c r="I1325" s="5"/>
      <c r="J1325" s="5"/>
    </row>
    <row r="1326" spans="1:10">
      <c r="A1326" s="5"/>
      <c r="B1326" s="5"/>
      <c r="C1326" s="5"/>
      <c r="D1326" s="5"/>
      <c r="E1326" s="5"/>
      <c r="F1326" s="5"/>
      <c r="G1326" s="5"/>
      <c r="H1326" s="5"/>
      <c r="I1326" s="5"/>
      <c r="J1326" s="5"/>
    </row>
    <row r="1327" spans="1:10">
      <c r="A1327" s="5"/>
      <c r="B1327" s="5"/>
      <c r="C1327" s="5"/>
      <c r="D1327" s="5"/>
      <c r="E1327" s="5"/>
      <c r="F1327" s="5"/>
      <c r="G1327" s="5"/>
      <c r="H1327" s="5"/>
      <c r="I1327" s="5"/>
      <c r="J1327" s="5"/>
    </row>
    <row r="1328" spans="1:10">
      <c r="A1328" s="5"/>
      <c r="B1328" s="5"/>
      <c r="C1328" s="5"/>
      <c r="D1328" s="5"/>
      <c r="E1328" s="5"/>
      <c r="F1328" s="5"/>
      <c r="G1328" s="5"/>
      <c r="H1328" s="5"/>
      <c r="I1328" s="5"/>
      <c r="J1328" s="5"/>
    </row>
    <row r="1329" spans="1:10">
      <c r="A1329" s="5"/>
      <c r="B1329" s="5"/>
      <c r="C1329" s="5"/>
      <c r="D1329" s="5"/>
      <c r="E1329" s="5"/>
      <c r="F1329" s="5"/>
      <c r="G1329" s="5"/>
      <c r="H1329" s="5"/>
      <c r="I1329" s="5"/>
      <c r="J1329" s="5"/>
    </row>
    <row r="1330" spans="1:10">
      <c r="A1330" s="5"/>
      <c r="B1330" s="5"/>
      <c r="C1330" s="5"/>
      <c r="D1330" s="5"/>
      <c r="E1330" s="5"/>
      <c r="F1330" s="5"/>
      <c r="G1330" s="5"/>
      <c r="H1330" s="5"/>
      <c r="I1330" s="5"/>
      <c r="J1330" s="5"/>
    </row>
    <row r="1331" spans="1:10">
      <c r="A1331" s="5"/>
      <c r="B1331" s="5"/>
      <c r="C1331" s="5"/>
      <c r="D1331" s="5"/>
      <c r="E1331" s="5"/>
      <c r="F1331" s="5"/>
      <c r="G1331" s="5"/>
      <c r="H1331" s="5"/>
      <c r="I1331" s="5"/>
      <c r="J1331" s="5"/>
    </row>
    <row r="1332" spans="1:10">
      <c r="A1332" s="5"/>
      <c r="B1332" s="5"/>
      <c r="C1332" s="5"/>
      <c r="D1332" s="5"/>
      <c r="E1332" s="5"/>
      <c r="F1332" s="5"/>
      <c r="G1332" s="5"/>
      <c r="H1332" s="5"/>
      <c r="I1332" s="5"/>
      <c r="J1332" s="5"/>
    </row>
    <row r="1333" spans="1:10">
      <c r="A1333" s="5"/>
      <c r="B1333" s="5"/>
      <c r="C1333" s="5"/>
      <c r="D1333" s="5"/>
      <c r="E1333" s="5"/>
      <c r="F1333" s="5"/>
      <c r="G1333" s="5"/>
      <c r="H1333" s="5"/>
      <c r="I1333" s="5"/>
      <c r="J1333" s="5"/>
    </row>
    <row r="1334" spans="1:10">
      <c r="A1334" s="5"/>
      <c r="B1334" s="5"/>
      <c r="C1334" s="5"/>
      <c r="D1334" s="5"/>
      <c r="E1334" s="5"/>
      <c r="F1334" s="5"/>
      <c r="G1334" s="5"/>
      <c r="H1334" s="5"/>
      <c r="I1334" s="5"/>
      <c r="J1334" s="5"/>
    </row>
    <row r="1335" spans="1:10">
      <c r="A1335" s="5"/>
      <c r="B1335" s="5"/>
      <c r="C1335" s="5"/>
      <c r="D1335" s="5"/>
      <c r="E1335" s="5"/>
      <c r="F1335" s="5"/>
      <c r="G1335" s="5"/>
      <c r="H1335" s="5"/>
      <c r="I1335" s="5"/>
      <c r="J1335" s="5"/>
    </row>
    <row r="1336" spans="1:10">
      <c r="A1336" s="5"/>
      <c r="B1336" s="5"/>
      <c r="C1336" s="5"/>
      <c r="D1336" s="5"/>
      <c r="E1336" s="5"/>
      <c r="F1336" s="5"/>
      <c r="G1336" s="5"/>
      <c r="H1336" s="5"/>
      <c r="I1336" s="5"/>
      <c r="J1336" s="5"/>
    </row>
    <row r="1337" spans="1:10">
      <c r="A1337" s="5"/>
      <c r="B1337" s="5"/>
      <c r="C1337" s="5"/>
      <c r="D1337" s="5"/>
      <c r="E1337" s="5"/>
      <c r="F1337" s="5"/>
      <c r="G1337" s="5"/>
      <c r="H1337" s="5"/>
      <c r="I1337" s="5"/>
      <c r="J1337" s="5"/>
    </row>
    <row r="1338" spans="1:10">
      <c r="A1338" s="5"/>
      <c r="B1338" s="5"/>
      <c r="C1338" s="5"/>
      <c r="D1338" s="5"/>
      <c r="E1338" s="5"/>
      <c r="F1338" s="5"/>
      <c r="G1338" s="5"/>
      <c r="H1338" s="5"/>
      <c r="I1338" s="5"/>
      <c r="J1338" s="5"/>
    </row>
    <row r="1339" spans="1:10">
      <c r="A1339" s="5"/>
      <c r="B1339" s="5"/>
      <c r="C1339" s="5"/>
      <c r="D1339" s="5"/>
      <c r="E1339" s="5"/>
      <c r="F1339" s="5"/>
      <c r="G1339" s="5"/>
      <c r="H1339" s="5"/>
      <c r="I1339" s="5"/>
      <c r="J1339" s="5"/>
    </row>
    <row r="1340" spans="1:10">
      <c r="A1340" s="5"/>
      <c r="B1340" s="5"/>
      <c r="C1340" s="5"/>
      <c r="D1340" s="5"/>
      <c r="E1340" s="5"/>
      <c r="F1340" s="5"/>
      <c r="G1340" s="5"/>
      <c r="H1340" s="5"/>
      <c r="I1340" s="5"/>
      <c r="J1340" s="5"/>
    </row>
    <row r="1341" spans="1:10">
      <c r="A1341" s="5"/>
      <c r="B1341" s="5"/>
      <c r="C1341" s="5"/>
      <c r="D1341" s="5"/>
      <c r="E1341" s="5"/>
      <c r="F1341" s="5"/>
      <c r="G1341" s="5"/>
      <c r="H1341" s="5"/>
      <c r="I1341" s="5"/>
      <c r="J1341" s="5"/>
    </row>
    <row r="1342" spans="1:10">
      <c r="A1342" s="5"/>
      <c r="B1342" s="5"/>
      <c r="C1342" s="5"/>
      <c r="D1342" s="5"/>
      <c r="E1342" s="5"/>
      <c r="F1342" s="5"/>
      <c r="G1342" s="5"/>
      <c r="H1342" s="5"/>
      <c r="I1342" s="5"/>
      <c r="J1342" s="5"/>
    </row>
    <row r="1343" spans="1:10">
      <c r="A1343" s="5"/>
      <c r="B1343" s="5"/>
      <c r="C1343" s="5"/>
      <c r="D1343" s="5"/>
      <c r="E1343" s="5"/>
      <c r="F1343" s="5"/>
      <c r="G1343" s="5"/>
      <c r="H1343" s="5"/>
      <c r="I1343" s="5"/>
      <c r="J1343" s="5"/>
    </row>
    <row r="1344" spans="1:10">
      <c r="A1344" s="5"/>
      <c r="B1344" s="5"/>
      <c r="C1344" s="5"/>
      <c r="D1344" s="5"/>
      <c r="E1344" s="5"/>
      <c r="F1344" s="5"/>
      <c r="G1344" s="5"/>
      <c r="H1344" s="5"/>
      <c r="I1344" s="5"/>
      <c r="J1344" s="5"/>
    </row>
    <row r="1345" spans="1:10">
      <c r="A1345" s="5"/>
      <c r="B1345" s="5"/>
      <c r="C1345" s="5"/>
      <c r="D1345" s="5"/>
      <c r="E1345" s="5"/>
      <c r="F1345" s="5"/>
      <c r="G1345" s="5"/>
      <c r="H1345" s="5"/>
      <c r="I1345" s="5"/>
      <c r="J1345" s="5"/>
    </row>
    <row r="1346" spans="1:10">
      <c r="A1346" s="5"/>
      <c r="B1346" s="5"/>
      <c r="C1346" s="5"/>
      <c r="D1346" s="5"/>
      <c r="E1346" s="5"/>
      <c r="F1346" s="5"/>
      <c r="G1346" s="5"/>
      <c r="H1346" s="5"/>
      <c r="I1346" s="5"/>
      <c r="J1346" s="5"/>
    </row>
    <row r="1347" spans="1:10">
      <c r="A1347" s="5"/>
      <c r="B1347" s="5"/>
      <c r="C1347" s="5"/>
      <c r="D1347" s="5"/>
      <c r="E1347" s="5"/>
      <c r="F1347" s="5"/>
      <c r="G1347" s="5"/>
      <c r="H1347" s="5"/>
      <c r="I1347" s="5"/>
      <c r="J1347" s="5"/>
    </row>
    <row r="1348" spans="1:10">
      <c r="A1348" s="5"/>
      <c r="B1348" s="5"/>
      <c r="C1348" s="5"/>
      <c r="D1348" s="5"/>
      <c r="E1348" s="5"/>
      <c r="F1348" s="5"/>
      <c r="G1348" s="5"/>
      <c r="H1348" s="5"/>
      <c r="I1348" s="5"/>
      <c r="J1348" s="5"/>
    </row>
    <row r="1349" spans="1:10">
      <c r="A1349" s="5"/>
      <c r="B1349" s="5"/>
      <c r="C1349" s="5"/>
      <c r="D1349" s="5"/>
      <c r="E1349" s="5"/>
      <c r="F1349" s="5"/>
      <c r="G1349" s="5"/>
      <c r="H1349" s="5"/>
      <c r="I1349" s="5"/>
      <c r="J1349" s="5"/>
    </row>
    <row r="1350" spans="1:10">
      <c r="A1350" s="5"/>
      <c r="B1350" s="5"/>
      <c r="C1350" s="5"/>
      <c r="D1350" s="5"/>
      <c r="E1350" s="5"/>
      <c r="F1350" s="5"/>
      <c r="G1350" s="5"/>
      <c r="H1350" s="5"/>
      <c r="I1350" s="5"/>
      <c r="J1350" s="5"/>
    </row>
    <row r="1351" spans="1:10">
      <c r="A1351" s="5"/>
      <c r="B1351" s="5"/>
      <c r="C1351" s="5"/>
      <c r="D1351" s="5"/>
      <c r="E1351" s="5"/>
      <c r="F1351" s="5"/>
      <c r="G1351" s="5"/>
      <c r="H1351" s="5"/>
      <c r="I1351" s="5"/>
      <c r="J1351" s="5"/>
    </row>
    <row r="1352" spans="1:10">
      <c r="A1352" s="5"/>
      <c r="B1352" s="5"/>
      <c r="C1352" s="5"/>
      <c r="D1352" s="5"/>
      <c r="E1352" s="5"/>
      <c r="F1352" s="5"/>
      <c r="G1352" s="5"/>
      <c r="H1352" s="5"/>
      <c r="I1352" s="5"/>
      <c r="J1352" s="5"/>
    </row>
    <row r="1353" spans="1:10">
      <c r="A1353" s="5"/>
      <c r="B1353" s="5"/>
      <c r="C1353" s="5"/>
      <c r="D1353" s="5"/>
      <c r="E1353" s="5"/>
      <c r="F1353" s="5"/>
      <c r="G1353" s="5"/>
      <c r="H1353" s="5"/>
      <c r="I1353" s="5"/>
      <c r="J1353" s="5"/>
    </row>
    <row r="1354" spans="1:10">
      <c r="A1354" s="5"/>
      <c r="B1354" s="5"/>
      <c r="C1354" s="5"/>
      <c r="D1354" s="5"/>
      <c r="E1354" s="5"/>
      <c r="F1354" s="5"/>
      <c r="G1354" s="5"/>
      <c r="H1354" s="5"/>
      <c r="I1354" s="5"/>
      <c r="J1354" s="5"/>
    </row>
    <row r="1355" spans="1:10">
      <c r="A1355" s="5"/>
      <c r="B1355" s="5"/>
      <c r="C1355" s="5"/>
      <c r="D1355" s="5"/>
      <c r="E1355" s="5"/>
      <c r="F1355" s="5"/>
      <c r="G1355" s="5"/>
      <c r="H1355" s="5"/>
      <c r="I1355" s="5"/>
      <c r="J1355" s="5"/>
    </row>
    <row r="1356" spans="1:10">
      <c r="A1356" s="5"/>
      <c r="B1356" s="5"/>
      <c r="C1356" s="5"/>
      <c r="D1356" s="5"/>
      <c r="E1356" s="5"/>
      <c r="F1356" s="5"/>
      <c r="G1356" s="5"/>
      <c r="H1356" s="5"/>
      <c r="I1356" s="5"/>
      <c r="J1356" s="5"/>
    </row>
    <row r="1357" spans="1:10">
      <c r="A1357" s="5"/>
      <c r="B1357" s="5"/>
      <c r="C1357" s="5"/>
      <c r="D1357" s="5"/>
      <c r="E1357" s="5"/>
      <c r="F1357" s="5"/>
      <c r="G1357" s="5"/>
      <c r="H1357" s="5"/>
      <c r="I1357" s="5"/>
      <c r="J1357" s="5"/>
    </row>
    <row r="1358" spans="1:10">
      <c r="A1358" s="5"/>
      <c r="B1358" s="5"/>
      <c r="C1358" s="5"/>
      <c r="D1358" s="5"/>
      <c r="E1358" s="5"/>
      <c r="F1358" s="5"/>
      <c r="G1358" s="5"/>
      <c r="H1358" s="5"/>
      <c r="I1358" s="5"/>
      <c r="J1358" s="5"/>
    </row>
    <row r="1359" spans="1:10">
      <c r="A1359" s="5"/>
      <c r="B1359" s="5"/>
      <c r="C1359" s="5"/>
      <c r="D1359" s="5"/>
      <c r="E1359" s="5"/>
      <c r="F1359" s="5"/>
      <c r="G1359" s="5"/>
      <c r="H1359" s="5"/>
      <c r="I1359" s="5"/>
      <c r="J1359" s="5"/>
    </row>
    <row r="1360" spans="1:10">
      <c r="A1360" s="5"/>
      <c r="B1360" s="5"/>
      <c r="C1360" s="5"/>
      <c r="D1360" s="5"/>
      <c r="E1360" s="5"/>
      <c r="F1360" s="5"/>
      <c r="G1360" s="5"/>
      <c r="H1360" s="5"/>
      <c r="I1360" s="5"/>
      <c r="J1360" s="5"/>
    </row>
    <row r="1361" spans="1:10">
      <c r="A1361" s="5"/>
      <c r="B1361" s="5"/>
      <c r="C1361" s="5"/>
      <c r="D1361" s="5"/>
      <c r="E1361" s="5"/>
      <c r="F1361" s="5"/>
      <c r="G1361" s="5"/>
      <c r="H1361" s="5"/>
      <c r="I1361" s="5"/>
      <c r="J1361" s="5"/>
    </row>
    <row r="1362" spans="1:10">
      <c r="A1362" s="5"/>
      <c r="B1362" s="5"/>
      <c r="C1362" s="5"/>
      <c r="D1362" s="5"/>
      <c r="E1362" s="5"/>
      <c r="F1362" s="5"/>
      <c r="G1362" s="5"/>
      <c r="H1362" s="5"/>
      <c r="I1362" s="5"/>
      <c r="J1362" s="5"/>
    </row>
    <row r="1363" spans="1:10">
      <c r="A1363" s="5"/>
      <c r="B1363" s="5"/>
      <c r="C1363" s="5"/>
      <c r="D1363" s="5"/>
      <c r="E1363" s="5"/>
      <c r="F1363" s="5"/>
      <c r="G1363" s="5"/>
      <c r="H1363" s="5"/>
      <c r="I1363" s="5"/>
      <c r="J1363" s="5"/>
    </row>
    <row r="1364" spans="1:10">
      <c r="A1364" s="5"/>
      <c r="B1364" s="5"/>
      <c r="C1364" s="5"/>
      <c r="D1364" s="5"/>
      <c r="E1364" s="5"/>
      <c r="F1364" s="5"/>
      <c r="G1364" s="5"/>
      <c r="H1364" s="5"/>
      <c r="I1364" s="5"/>
      <c r="J1364" s="5"/>
    </row>
    <row r="1365" spans="1:10">
      <c r="A1365" s="5"/>
      <c r="B1365" s="5"/>
      <c r="C1365" s="5"/>
      <c r="D1365" s="5"/>
      <c r="E1365" s="5"/>
      <c r="F1365" s="5"/>
      <c r="G1365" s="5"/>
      <c r="H1365" s="5"/>
      <c r="I1365" s="5"/>
      <c r="J1365" s="5"/>
    </row>
    <row r="1366" spans="1:10">
      <c r="A1366" s="5"/>
      <c r="B1366" s="5"/>
      <c r="C1366" s="5"/>
      <c r="D1366" s="5"/>
      <c r="E1366" s="5"/>
      <c r="F1366" s="5"/>
      <c r="G1366" s="5"/>
      <c r="H1366" s="5"/>
      <c r="I1366" s="5"/>
      <c r="J1366" s="5"/>
    </row>
    <row r="1367" spans="1:10">
      <c r="A1367" s="5"/>
      <c r="B1367" s="5"/>
      <c r="C1367" s="5"/>
      <c r="D1367" s="5"/>
      <c r="E1367" s="5"/>
      <c r="F1367" s="5"/>
      <c r="G1367" s="5"/>
      <c r="H1367" s="5"/>
      <c r="I1367" s="5"/>
      <c r="J1367" s="5"/>
    </row>
    <row r="1368" spans="1:10">
      <c r="A1368" s="5"/>
      <c r="B1368" s="5"/>
      <c r="C1368" s="5"/>
      <c r="D1368" s="5"/>
      <c r="E1368" s="5"/>
      <c r="F1368" s="5"/>
      <c r="G1368" s="5"/>
      <c r="H1368" s="5"/>
      <c r="I1368" s="5"/>
      <c r="J1368" s="5"/>
    </row>
    <row r="1369" spans="1:10">
      <c r="A1369" s="5"/>
      <c r="B1369" s="5"/>
      <c r="C1369" s="5"/>
      <c r="D1369" s="5"/>
      <c r="E1369" s="5"/>
      <c r="F1369" s="5"/>
      <c r="G1369" s="5"/>
      <c r="H1369" s="5"/>
      <c r="I1369" s="5"/>
      <c r="J1369" s="5"/>
    </row>
    <row r="1370" spans="1:10">
      <c r="A1370" s="5"/>
      <c r="B1370" s="5"/>
      <c r="C1370" s="5"/>
      <c r="D1370" s="5"/>
      <c r="E1370" s="5"/>
      <c r="F1370" s="5"/>
      <c r="G1370" s="5"/>
      <c r="H1370" s="5"/>
      <c r="I1370" s="5"/>
      <c r="J1370" s="5"/>
    </row>
    <row r="1371" spans="1:10">
      <c r="A1371" s="5"/>
      <c r="B1371" s="5"/>
      <c r="C1371" s="5"/>
      <c r="D1371" s="5"/>
      <c r="E1371" s="5"/>
      <c r="F1371" s="5"/>
      <c r="G1371" s="5"/>
      <c r="H1371" s="5"/>
      <c r="I1371" s="5"/>
      <c r="J1371" s="5"/>
    </row>
    <row r="1372" spans="1:10">
      <c r="A1372" s="5"/>
      <c r="B1372" s="5"/>
      <c r="C1372" s="5"/>
      <c r="D1372" s="5"/>
      <c r="E1372" s="5"/>
      <c r="F1372" s="5"/>
      <c r="G1372" s="5"/>
      <c r="H1372" s="5"/>
      <c r="I1372" s="5"/>
      <c r="J1372" s="5"/>
    </row>
    <row r="1373" spans="1:10">
      <c r="A1373" s="5"/>
      <c r="B1373" s="5"/>
      <c r="C1373" s="5"/>
      <c r="D1373" s="5"/>
      <c r="E1373" s="5"/>
      <c r="F1373" s="5"/>
      <c r="G1373" s="5"/>
      <c r="H1373" s="5"/>
      <c r="I1373" s="5"/>
      <c r="J1373" s="5"/>
    </row>
    <row r="1374" spans="1:10">
      <c r="A1374" s="5"/>
      <c r="B1374" s="5"/>
      <c r="C1374" s="5"/>
      <c r="D1374" s="5"/>
      <c r="E1374" s="5"/>
      <c r="F1374" s="5"/>
      <c r="G1374" s="5"/>
      <c r="H1374" s="5"/>
      <c r="I1374" s="5"/>
      <c r="J1374" s="5"/>
    </row>
    <row r="1375" spans="1:10">
      <c r="A1375" s="5"/>
      <c r="B1375" s="5"/>
      <c r="C1375" s="5"/>
      <c r="D1375" s="5"/>
      <c r="E1375" s="5"/>
      <c r="F1375" s="5"/>
      <c r="G1375" s="5"/>
      <c r="H1375" s="5"/>
      <c r="I1375" s="5"/>
      <c r="J1375" s="5"/>
    </row>
    <row r="1376" spans="1:10">
      <c r="A1376" s="5"/>
      <c r="B1376" s="5"/>
      <c r="C1376" s="5"/>
      <c r="D1376" s="5"/>
      <c r="E1376" s="5"/>
      <c r="F1376" s="5"/>
      <c r="G1376" s="5"/>
      <c r="H1376" s="5"/>
      <c r="I1376" s="5"/>
      <c r="J1376" s="5"/>
    </row>
    <row r="1377" spans="1:10">
      <c r="A1377" s="5"/>
      <c r="B1377" s="5"/>
      <c r="C1377" s="5"/>
      <c r="D1377" s="5"/>
      <c r="E1377" s="5"/>
      <c r="F1377" s="5"/>
      <c r="G1377" s="5"/>
      <c r="H1377" s="5"/>
      <c r="I1377" s="5"/>
      <c r="J1377" s="5"/>
    </row>
    <row r="1378" spans="1:10">
      <c r="A1378" s="5"/>
      <c r="B1378" s="5"/>
      <c r="C1378" s="5"/>
      <c r="D1378" s="5"/>
      <c r="E1378" s="5"/>
      <c r="F1378" s="5"/>
      <c r="G1378" s="5"/>
      <c r="H1378" s="5"/>
      <c r="I1378" s="5"/>
      <c r="J1378" s="5"/>
    </row>
    <row r="1379" spans="1:10">
      <c r="A1379" s="5"/>
      <c r="B1379" s="5"/>
      <c r="C1379" s="5"/>
      <c r="D1379" s="5"/>
      <c r="E1379" s="5"/>
      <c r="F1379" s="5"/>
      <c r="G1379" s="5"/>
      <c r="H1379" s="5"/>
      <c r="I1379" s="5"/>
      <c r="J1379" s="5"/>
    </row>
    <row r="1380" spans="1:10">
      <c r="A1380" s="5"/>
      <c r="B1380" s="5"/>
      <c r="C1380" s="5"/>
      <c r="D1380" s="5"/>
      <c r="E1380" s="5"/>
      <c r="F1380" s="5"/>
      <c r="G1380" s="5"/>
      <c r="H1380" s="5"/>
      <c r="I1380" s="5"/>
      <c r="J1380" s="5"/>
    </row>
    <row r="1381" spans="1:10">
      <c r="A1381" s="5"/>
      <c r="B1381" s="5"/>
      <c r="C1381" s="5"/>
      <c r="D1381" s="5"/>
      <c r="E1381" s="5"/>
      <c r="F1381" s="5"/>
      <c r="G1381" s="5"/>
      <c r="H1381" s="5"/>
      <c r="I1381" s="5"/>
      <c r="J1381" s="5"/>
    </row>
    <row r="1382" spans="1:10">
      <c r="A1382" s="5"/>
      <c r="B1382" s="5"/>
      <c r="C1382" s="5"/>
      <c r="D1382" s="5"/>
      <c r="E1382" s="5"/>
      <c r="F1382" s="5"/>
      <c r="G1382" s="5"/>
      <c r="H1382" s="5"/>
      <c r="I1382" s="5"/>
      <c r="J1382" s="5"/>
    </row>
    <row r="1383" spans="1:10">
      <c r="A1383" s="5"/>
      <c r="B1383" s="5"/>
      <c r="C1383" s="5"/>
      <c r="D1383" s="5"/>
      <c r="E1383" s="5"/>
      <c r="F1383" s="5"/>
      <c r="G1383" s="5"/>
      <c r="H1383" s="5"/>
      <c r="I1383" s="5"/>
      <c r="J1383" s="5"/>
    </row>
    <row r="1384" spans="1:10">
      <c r="A1384" s="5"/>
      <c r="B1384" s="5"/>
      <c r="C1384" s="5"/>
      <c r="D1384" s="5"/>
      <c r="E1384" s="5"/>
      <c r="F1384" s="5"/>
      <c r="G1384" s="5"/>
      <c r="H1384" s="5"/>
      <c r="I1384" s="5"/>
      <c r="J1384" s="5"/>
    </row>
    <row r="1385" spans="1:10">
      <c r="A1385" s="5"/>
      <c r="B1385" s="5"/>
      <c r="C1385" s="5"/>
      <c r="D1385" s="5"/>
      <c r="E1385" s="5"/>
      <c r="F1385" s="5"/>
      <c r="G1385" s="5"/>
      <c r="H1385" s="5"/>
      <c r="I1385" s="5"/>
      <c r="J1385" s="5"/>
    </row>
    <row r="1386" spans="1:10">
      <c r="A1386" s="5"/>
      <c r="B1386" s="5"/>
      <c r="C1386" s="5"/>
      <c r="D1386" s="5"/>
      <c r="E1386" s="5"/>
      <c r="F1386" s="5"/>
      <c r="G1386" s="5"/>
      <c r="H1386" s="5"/>
      <c r="I1386" s="5"/>
      <c r="J1386" s="5"/>
    </row>
    <row r="1387" spans="1:10">
      <c r="A1387" s="5"/>
      <c r="B1387" s="5"/>
      <c r="C1387" s="5"/>
      <c r="D1387" s="5"/>
      <c r="E1387" s="5"/>
      <c r="F1387" s="5"/>
      <c r="G1387" s="5"/>
      <c r="H1387" s="5"/>
      <c r="I1387" s="5"/>
      <c r="J1387" s="5"/>
    </row>
    <row r="1388" spans="1:10">
      <c r="A1388" s="5"/>
      <c r="B1388" s="5"/>
      <c r="C1388" s="5"/>
      <c r="D1388" s="5"/>
      <c r="E1388" s="5"/>
      <c r="F1388" s="5"/>
      <c r="G1388" s="5"/>
      <c r="H1388" s="5"/>
      <c r="I1388" s="5"/>
      <c r="J1388" s="5"/>
    </row>
    <row r="1389" spans="1:10">
      <c r="A1389" s="5"/>
      <c r="B1389" s="5"/>
      <c r="C1389" s="5"/>
      <c r="D1389" s="5"/>
      <c r="E1389" s="5"/>
      <c r="F1389" s="5"/>
      <c r="G1389" s="5"/>
      <c r="H1389" s="5"/>
      <c r="I1389" s="5"/>
      <c r="J1389" s="5"/>
    </row>
    <row r="1390" spans="1:10">
      <c r="A1390" s="5"/>
      <c r="B1390" s="5"/>
      <c r="C1390" s="5"/>
      <c r="D1390" s="5"/>
      <c r="E1390" s="5"/>
      <c r="F1390" s="5"/>
      <c r="G1390" s="5"/>
      <c r="H1390" s="5"/>
      <c r="I1390" s="5"/>
      <c r="J1390" s="5"/>
    </row>
    <row r="1391" spans="1:10">
      <c r="A1391" s="5"/>
      <c r="B1391" s="5"/>
      <c r="C1391" s="5"/>
      <c r="D1391" s="5"/>
      <c r="E1391" s="5"/>
      <c r="F1391" s="5"/>
      <c r="G1391" s="5"/>
      <c r="H1391" s="5"/>
      <c r="I1391" s="5"/>
      <c r="J1391" s="5"/>
    </row>
    <row r="1392" spans="1:10">
      <c r="A1392" s="5"/>
      <c r="B1392" s="5"/>
      <c r="C1392" s="5"/>
      <c r="D1392" s="5"/>
      <c r="E1392" s="5"/>
      <c r="F1392" s="5"/>
      <c r="G1392" s="5"/>
      <c r="H1392" s="5"/>
      <c r="I1392" s="5"/>
      <c r="J1392" s="5"/>
    </row>
    <row r="1393" spans="1:10">
      <c r="A1393" s="5"/>
      <c r="B1393" s="5"/>
      <c r="C1393" s="5"/>
      <c r="D1393" s="5"/>
      <c r="E1393" s="5"/>
      <c r="F1393" s="5"/>
      <c r="G1393" s="5"/>
      <c r="H1393" s="5"/>
      <c r="I1393" s="5"/>
      <c r="J1393" s="5"/>
    </row>
    <row r="1394" spans="1:10">
      <c r="A1394" s="5"/>
      <c r="B1394" s="5"/>
      <c r="C1394" s="5"/>
      <c r="D1394" s="5"/>
      <c r="E1394" s="5"/>
      <c r="F1394" s="5"/>
      <c r="G1394" s="5"/>
      <c r="H1394" s="5"/>
      <c r="I1394" s="5"/>
      <c r="J1394" s="5"/>
    </row>
    <row r="1395" spans="1:10">
      <c r="A1395" s="5"/>
      <c r="B1395" s="5"/>
      <c r="C1395" s="5"/>
      <c r="D1395" s="5"/>
      <c r="E1395" s="5"/>
      <c r="F1395" s="5"/>
      <c r="G1395" s="5"/>
      <c r="H1395" s="5"/>
      <c r="I1395" s="5"/>
      <c r="J1395" s="5"/>
    </row>
    <row r="1396" spans="1:10">
      <c r="A1396" s="5"/>
      <c r="B1396" s="5"/>
      <c r="C1396" s="5"/>
      <c r="D1396" s="5"/>
      <c r="E1396" s="5"/>
      <c r="F1396" s="5"/>
      <c r="G1396" s="5"/>
      <c r="H1396" s="5"/>
      <c r="I1396" s="5"/>
      <c r="J1396" s="5"/>
    </row>
    <row r="1397" spans="1:10">
      <c r="A1397" s="5"/>
      <c r="B1397" s="5"/>
      <c r="C1397" s="5"/>
      <c r="D1397" s="5"/>
      <c r="E1397" s="5"/>
      <c r="F1397" s="5"/>
      <c r="G1397" s="5"/>
      <c r="H1397" s="5"/>
      <c r="I1397" s="5"/>
      <c r="J1397" s="5"/>
    </row>
    <row r="1398" spans="1:10">
      <c r="A1398" s="5"/>
      <c r="B1398" s="5"/>
      <c r="C1398" s="5"/>
      <c r="D1398" s="5"/>
      <c r="E1398" s="5"/>
      <c r="F1398" s="5"/>
      <c r="G1398" s="5"/>
      <c r="H1398" s="5"/>
      <c r="I1398" s="5"/>
      <c r="J1398" s="5"/>
    </row>
    <row r="1399" spans="1:10">
      <c r="A1399" s="5"/>
      <c r="B1399" s="5"/>
      <c r="C1399" s="5"/>
      <c r="D1399" s="5"/>
      <c r="E1399" s="5"/>
      <c r="F1399" s="5"/>
      <c r="G1399" s="5"/>
      <c r="H1399" s="5"/>
      <c r="I1399" s="5"/>
      <c r="J1399" s="5"/>
    </row>
    <row r="1400" spans="1:10">
      <c r="A1400" s="5"/>
      <c r="B1400" s="5"/>
      <c r="C1400" s="5"/>
      <c r="D1400" s="5"/>
      <c r="E1400" s="5"/>
      <c r="F1400" s="5"/>
      <c r="G1400" s="5"/>
      <c r="H1400" s="5"/>
      <c r="I1400" s="5"/>
      <c r="J1400" s="5"/>
    </row>
    <row r="1401" spans="1:10">
      <c r="A1401" s="5"/>
      <c r="B1401" s="5"/>
      <c r="C1401" s="5"/>
      <c r="D1401" s="5"/>
      <c r="E1401" s="5"/>
      <c r="F1401" s="5"/>
      <c r="G1401" s="5"/>
      <c r="H1401" s="5"/>
      <c r="I1401" s="5"/>
      <c r="J1401" s="5"/>
    </row>
    <row r="1402" spans="1:10">
      <c r="A1402" s="5"/>
      <c r="B1402" s="5"/>
      <c r="C1402" s="5"/>
      <c r="D1402" s="5"/>
      <c r="E1402" s="5"/>
      <c r="F1402" s="5"/>
      <c r="G1402" s="5"/>
      <c r="H1402" s="5"/>
      <c r="I1402" s="5"/>
      <c r="J1402" s="5"/>
    </row>
    <row r="1403" spans="1:10">
      <c r="A1403" s="5"/>
      <c r="B1403" s="5"/>
      <c r="C1403" s="5"/>
      <c r="D1403" s="5"/>
      <c r="E1403" s="5"/>
      <c r="F1403" s="5"/>
      <c r="G1403" s="5"/>
      <c r="H1403" s="5"/>
      <c r="I1403" s="5"/>
      <c r="J1403" s="5"/>
    </row>
    <row r="1404" spans="1:10">
      <c r="A1404" s="5"/>
      <c r="B1404" s="5"/>
      <c r="C1404" s="5"/>
      <c r="D1404" s="5"/>
      <c r="E1404" s="5"/>
      <c r="F1404" s="5"/>
      <c r="G1404" s="5"/>
      <c r="H1404" s="5"/>
      <c r="I1404" s="5"/>
      <c r="J1404" s="5"/>
    </row>
    <row r="1405" spans="1:10">
      <c r="A1405" s="5"/>
      <c r="B1405" s="5"/>
      <c r="C1405" s="5"/>
      <c r="D1405" s="5"/>
      <c r="E1405" s="5"/>
      <c r="F1405" s="5"/>
      <c r="G1405" s="5"/>
      <c r="H1405" s="5"/>
      <c r="I1405" s="5"/>
      <c r="J1405" s="5"/>
    </row>
    <row r="1406" spans="1:10">
      <c r="A1406" s="5"/>
      <c r="B1406" s="5"/>
      <c r="C1406" s="5"/>
      <c r="D1406" s="5"/>
      <c r="E1406" s="5"/>
      <c r="F1406" s="5"/>
      <c r="G1406" s="5"/>
      <c r="H1406" s="5"/>
      <c r="I1406" s="5"/>
      <c r="J1406" s="5"/>
    </row>
    <row r="1407" spans="1:10">
      <c r="A1407" s="5"/>
      <c r="B1407" s="5"/>
      <c r="C1407" s="5"/>
      <c r="D1407" s="5"/>
      <c r="E1407" s="5"/>
      <c r="F1407" s="5"/>
      <c r="G1407" s="5"/>
      <c r="H1407" s="5"/>
      <c r="I1407" s="5"/>
      <c r="J1407" s="5"/>
    </row>
    <row r="1408" spans="1:10">
      <c r="A1408" s="5"/>
      <c r="B1408" s="5"/>
      <c r="C1408" s="5"/>
      <c r="D1408" s="5"/>
      <c r="E1408" s="5"/>
      <c r="F1408" s="5"/>
      <c r="G1408" s="5"/>
      <c r="H1408" s="5"/>
      <c r="I1408" s="5"/>
      <c r="J1408" s="5"/>
    </row>
    <row r="1409" spans="1:10">
      <c r="A1409" s="5"/>
      <c r="B1409" s="5"/>
      <c r="C1409" s="5"/>
      <c r="D1409" s="5"/>
      <c r="E1409" s="5"/>
      <c r="F1409" s="5"/>
      <c r="G1409" s="5"/>
      <c r="H1409" s="5"/>
      <c r="I1409" s="5"/>
      <c r="J1409" s="5"/>
    </row>
    <row r="1410" spans="1:10">
      <c r="A1410" s="5"/>
      <c r="B1410" s="5"/>
      <c r="C1410" s="5"/>
      <c r="D1410" s="5"/>
      <c r="E1410" s="5"/>
      <c r="F1410" s="5"/>
      <c r="G1410" s="5"/>
      <c r="H1410" s="5"/>
      <c r="I1410" s="5"/>
      <c r="J1410" s="5"/>
    </row>
    <row r="1411" spans="1:10">
      <c r="A1411" s="5"/>
      <c r="B1411" s="5"/>
      <c r="C1411" s="5"/>
      <c r="D1411" s="5"/>
      <c r="E1411" s="5"/>
      <c r="F1411" s="5"/>
      <c r="G1411" s="5"/>
      <c r="H1411" s="5"/>
      <c r="I1411" s="5"/>
      <c r="J1411" s="5"/>
    </row>
    <row r="1412" spans="1:10">
      <c r="A1412" s="5"/>
      <c r="B1412" s="5"/>
      <c r="C1412" s="5"/>
      <c r="D1412" s="5"/>
      <c r="E1412" s="5"/>
      <c r="F1412" s="5"/>
      <c r="G1412" s="5"/>
      <c r="H1412" s="5"/>
      <c r="I1412" s="5"/>
      <c r="J1412" s="5"/>
    </row>
    <row r="1413" spans="1:10">
      <c r="A1413" s="5"/>
      <c r="B1413" s="5"/>
      <c r="C1413" s="5"/>
      <c r="D1413" s="5"/>
      <c r="E1413" s="5"/>
      <c r="F1413" s="5"/>
      <c r="G1413" s="5"/>
      <c r="H1413" s="5"/>
      <c r="I1413" s="5"/>
      <c r="J1413" s="5"/>
    </row>
    <row r="1414" spans="1:10">
      <c r="A1414" s="5"/>
      <c r="B1414" s="5"/>
      <c r="C1414" s="5"/>
      <c r="D1414" s="5"/>
      <c r="E1414" s="5"/>
      <c r="F1414" s="5"/>
      <c r="G1414" s="5"/>
      <c r="H1414" s="5"/>
      <c r="I1414" s="5"/>
      <c r="J1414" s="5"/>
    </row>
    <row r="1415" spans="1:10">
      <c r="A1415" s="5"/>
      <c r="B1415" s="5"/>
      <c r="C1415" s="5"/>
      <c r="D1415" s="5"/>
      <c r="E1415" s="5"/>
      <c r="F1415" s="5"/>
      <c r="G1415" s="5"/>
      <c r="H1415" s="5"/>
      <c r="I1415" s="5"/>
      <c r="J1415" s="5"/>
    </row>
    <row r="1416" spans="1:10">
      <c r="A1416" s="5"/>
      <c r="B1416" s="5"/>
      <c r="C1416" s="5"/>
      <c r="D1416" s="5"/>
      <c r="E1416" s="5"/>
      <c r="F1416" s="5"/>
      <c r="G1416" s="5"/>
      <c r="H1416" s="5"/>
      <c r="I1416" s="5"/>
      <c r="J1416" s="5"/>
    </row>
    <row r="1417" spans="1:10">
      <c r="A1417" s="5"/>
      <c r="B1417" s="5"/>
      <c r="C1417" s="5"/>
      <c r="D1417" s="5"/>
      <c r="E1417" s="5"/>
      <c r="F1417" s="5"/>
      <c r="G1417" s="5"/>
      <c r="H1417" s="5"/>
      <c r="I1417" s="5"/>
      <c r="J1417" s="5"/>
    </row>
    <row r="1418" spans="1:10">
      <c r="A1418" s="5"/>
      <c r="B1418" s="5"/>
      <c r="C1418" s="5"/>
      <c r="D1418" s="5"/>
      <c r="E1418" s="5"/>
      <c r="F1418" s="5"/>
      <c r="G1418" s="5"/>
      <c r="H1418" s="5"/>
      <c r="I1418" s="5"/>
      <c r="J1418" s="5"/>
    </row>
    <row r="1419" spans="1:10">
      <c r="A1419" s="5"/>
      <c r="B1419" s="5"/>
      <c r="C1419" s="5"/>
      <c r="D1419" s="5"/>
      <c r="E1419" s="5"/>
      <c r="F1419" s="5"/>
      <c r="G1419" s="5"/>
      <c r="H1419" s="5"/>
      <c r="I1419" s="5"/>
      <c r="J1419" s="5"/>
    </row>
    <row r="1420" spans="1:10">
      <c r="A1420" s="5"/>
      <c r="B1420" s="5"/>
      <c r="C1420" s="5"/>
      <c r="D1420" s="5"/>
      <c r="E1420" s="5"/>
      <c r="F1420" s="5"/>
      <c r="G1420" s="5"/>
      <c r="H1420" s="5"/>
      <c r="I1420" s="5"/>
      <c r="J1420" s="5"/>
    </row>
    <row r="1421" spans="1:10">
      <c r="A1421" s="5"/>
      <c r="B1421" s="5"/>
      <c r="C1421" s="5"/>
      <c r="D1421" s="5"/>
      <c r="E1421" s="5"/>
      <c r="F1421" s="5"/>
      <c r="G1421" s="5"/>
      <c r="H1421" s="5"/>
      <c r="I1421" s="5"/>
      <c r="J1421" s="5"/>
    </row>
    <row r="1422" spans="1:10">
      <c r="A1422" s="5"/>
      <c r="B1422" s="5"/>
      <c r="C1422" s="5"/>
      <c r="D1422" s="5"/>
      <c r="E1422" s="5"/>
      <c r="F1422" s="5"/>
      <c r="G1422" s="5"/>
      <c r="H1422" s="5"/>
      <c r="I1422" s="5"/>
      <c r="J1422" s="5"/>
    </row>
    <row r="1423" spans="1:10">
      <c r="A1423" s="5"/>
      <c r="B1423" s="5"/>
      <c r="C1423" s="5"/>
      <c r="D1423" s="5"/>
      <c r="E1423" s="5"/>
      <c r="F1423" s="5"/>
      <c r="G1423" s="5"/>
      <c r="H1423" s="5"/>
      <c r="I1423" s="5"/>
      <c r="J1423" s="5"/>
    </row>
    <row r="1424" spans="1:10">
      <c r="A1424" s="5"/>
      <c r="B1424" s="5"/>
      <c r="C1424" s="5"/>
      <c r="D1424" s="5"/>
      <c r="E1424" s="5"/>
      <c r="F1424" s="5"/>
      <c r="G1424" s="5"/>
      <c r="H1424" s="5"/>
      <c r="I1424" s="5"/>
      <c r="J1424" s="5"/>
    </row>
    <row r="1425" spans="1:10">
      <c r="A1425" s="5"/>
      <c r="B1425" s="5"/>
      <c r="C1425" s="5"/>
      <c r="D1425" s="5"/>
      <c r="E1425" s="5"/>
      <c r="F1425" s="5"/>
      <c r="G1425" s="5"/>
      <c r="H1425" s="5"/>
      <c r="I1425" s="5"/>
      <c r="J1425" s="5"/>
    </row>
    <row r="1426" spans="1:10">
      <c r="A1426" s="5"/>
      <c r="B1426" s="5"/>
      <c r="C1426" s="5"/>
      <c r="D1426" s="5"/>
      <c r="E1426" s="5"/>
      <c r="F1426" s="5"/>
      <c r="G1426" s="5"/>
      <c r="H1426" s="5"/>
      <c r="I1426" s="5"/>
      <c r="J1426" s="5"/>
    </row>
    <row r="1427" spans="1:10">
      <c r="A1427" s="5"/>
      <c r="B1427" s="5"/>
      <c r="C1427" s="5"/>
      <c r="D1427" s="5"/>
      <c r="E1427" s="5"/>
      <c r="F1427" s="5"/>
      <c r="G1427" s="5"/>
      <c r="H1427" s="5"/>
      <c r="I1427" s="5"/>
      <c r="J1427" s="5"/>
    </row>
    <row r="1428" spans="1:10">
      <c r="A1428" s="5"/>
      <c r="B1428" s="5"/>
      <c r="C1428" s="5"/>
      <c r="D1428" s="5"/>
      <c r="E1428" s="5"/>
      <c r="F1428" s="5"/>
      <c r="G1428" s="5"/>
      <c r="H1428" s="5"/>
      <c r="I1428" s="5"/>
      <c r="J1428" s="5"/>
    </row>
    <row r="1429" spans="1:10">
      <c r="A1429" s="5"/>
      <c r="B1429" s="5"/>
      <c r="C1429" s="5"/>
      <c r="D1429" s="5"/>
      <c r="E1429" s="5"/>
      <c r="F1429" s="5"/>
      <c r="G1429" s="5"/>
      <c r="H1429" s="5"/>
      <c r="I1429" s="5"/>
      <c r="J1429" s="5"/>
    </row>
    <row r="1430" spans="1:10">
      <c r="A1430" s="5"/>
      <c r="B1430" s="5"/>
      <c r="C1430" s="5"/>
      <c r="D1430" s="5"/>
      <c r="E1430" s="5"/>
      <c r="F1430" s="5"/>
      <c r="G1430" s="5"/>
      <c r="H1430" s="5"/>
      <c r="I1430" s="5"/>
      <c r="J1430" s="5"/>
    </row>
    <row r="1431" spans="1:10">
      <c r="A1431" s="5"/>
      <c r="B1431" s="5"/>
      <c r="C1431" s="5"/>
      <c r="D1431" s="5"/>
      <c r="E1431" s="5"/>
      <c r="F1431" s="5"/>
      <c r="G1431" s="5"/>
      <c r="H1431" s="5"/>
      <c r="I1431" s="5"/>
      <c r="J1431" s="5"/>
    </row>
    <row r="1432" spans="1:10">
      <c r="A1432" s="5"/>
      <c r="B1432" s="5"/>
      <c r="C1432" s="5"/>
      <c r="D1432" s="5"/>
      <c r="E1432" s="5"/>
      <c r="F1432" s="5"/>
      <c r="G1432" s="5"/>
      <c r="H1432" s="5"/>
      <c r="I1432" s="5"/>
      <c r="J1432" s="5"/>
    </row>
    <row r="1433" spans="1:10">
      <c r="A1433" s="5"/>
      <c r="B1433" s="5"/>
      <c r="C1433" s="5"/>
      <c r="D1433" s="5"/>
      <c r="E1433" s="5"/>
      <c r="F1433" s="5"/>
      <c r="G1433" s="5"/>
      <c r="H1433" s="5"/>
      <c r="I1433" s="5"/>
      <c r="J1433" s="5"/>
    </row>
    <row r="1434" spans="1:10">
      <c r="A1434" s="5"/>
      <c r="B1434" s="5"/>
      <c r="C1434" s="5"/>
      <c r="D1434" s="5"/>
      <c r="E1434" s="5"/>
      <c r="F1434" s="5"/>
      <c r="G1434" s="5"/>
      <c r="H1434" s="5"/>
      <c r="I1434" s="5"/>
      <c r="J1434" s="5"/>
    </row>
    <row r="1435" spans="1:10">
      <c r="A1435" s="5"/>
      <c r="B1435" s="5"/>
      <c r="C1435" s="5"/>
      <c r="D1435" s="5"/>
      <c r="E1435" s="5"/>
      <c r="F1435" s="5"/>
      <c r="G1435" s="5"/>
      <c r="H1435" s="5"/>
      <c r="I1435" s="5"/>
      <c r="J1435" s="5"/>
    </row>
    <row r="1436" spans="1:10">
      <c r="A1436" s="5"/>
      <c r="B1436" s="5"/>
      <c r="C1436" s="5"/>
      <c r="D1436" s="5"/>
      <c r="E1436" s="5"/>
      <c r="F1436" s="5"/>
      <c r="G1436" s="5"/>
      <c r="H1436" s="5"/>
      <c r="I1436" s="5"/>
      <c r="J1436" s="5"/>
    </row>
    <row r="1437" spans="1:10">
      <c r="A1437" s="5"/>
      <c r="B1437" s="5"/>
      <c r="C1437" s="5"/>
      <c r="D1437" s="5"/>
      <c r="E1437" s="5"/>
      <c r="F1437" s="5"/>
      <c r="G1437" s="5"/>
      <c r="H1437" s="5"/>
      <c r="I1437" s="5"/>
      <c r="J1437" s="5"/>
    </row>
    <row r="1438" spans="1:10">
      <c r="A1438" s="5"/>
      <c r="B1438" s="5"/>
      <c r="C1438" s="5"/>
      <c r="D1438" s="5"/>
      <c r="E1438" s="5"/>
      <c r="F1438" s="5"/>
      <c r="G1438" s="5"/>
      <c r="H1438" s="5"/>
      <c r="I1438" s="5"/>
      <c r="J1438" s="5"/>
    </row>
    <row r="1439" spans="1:10">
      <c r="A1439" s="5"/>
      <c r="B1439" s="5"/>
      <c r="C1439" s="5"/>
      <c r="D1439" s="5"/>
      <c r="E1439" s="5"/>
      <c r="F1439" s="5"/>
      <c r="G1439" s="5"/>
      <c r="H1439" s="5"/>
      <c r="I1439" s="5"/>
      <c r="J1439" s="5"/>
    </row>
    <row r="1440" spans="1:10">
      <c r="A1440" s="5"/>
      <c r="B1440" s="5"/>
      <c r="C1440" s="5"/>
      <c r="D1440" s="5"/>
      <c r="E1440" s="5"/>
      <c r="F1440" s="5"/>
      <c r="G1440" s="5"/>
      <c r="H1440" s="5"/>
      <c r="I1440" s="5"/>
      <c r="J1440" s="5"/>
    </row>
    <row r="1441" spans="1:10">
      <c r="A1441" s="5"/>
      <c r="B1441" s="5"/>
      <c r="C1441" s="5"/>
      <c r="D1441" s="5"/>
      <c r="E1441" s="5"/>
      <c r="F1441" s="5"/>
      <c r="G1441" s="5"/>
      <c r="H1441" s="5"/>
      <c r="I1441" s="5"/>
      <c r="J1441" s="5"/>
    </row>
    <row r="1442" spans="1:10">
      <c r="A1442" s="5"/>
      <c r="B1442" s="5"/>
      <c r="C1442" s="5"/>
      <c r="D1442" s="5"/>
      <c r="E1442" s="5"/>
      <c r="F1442" s="5"/>
      <c r="G1442" s="5"/>
      <c r="H1442" s="5"/>
      <c r="I1442" s="5"/>
      <c r="J1442" s="5"/>
    </row>
    <row r="1443" spans="1:10">
      <c r="A1443" s="5"/>
      <c r="B1443" s="5"/>
      <c r="C1443" s="5"/>
      <c r="D1443" s="5"/>
      <c r="E1443" s="5"/>
      <c r="F1443" s="5"/>
      <c r="G1443" s="5"/>
      <c r="H1443" s="5"/>
      <c r="I1443" s="5"/>
      <c r="J1443" s="5"/>
    </row>
    <row r="1444" spans="1:10">
      <c r="A1444" s="5"/>
      <c r="B1444" s="5"/>
      <c r="C1444" s="5"/>
      <c r="D1444" s="5"/>
      <c r="E1444" s="5"/>
      <c r="F1444" s="5"/>
      <c r="G1444" s="5"/>
      <c r="H1444" s="5"/>
      <c r="I1444" s="5"/>
      <c r="J1444" s="5"/>
    </row>
    <row r="1445" spans="1:10">
      <c r="A1445" s="5"/>
      <c r="B1445" s="5"/>
      <c r="C1445" s="5"/>
      <c r="D1445" s="5"/>
      <c r="E1445" s="5"/>
      <c r="F1445" s="5"/>
      <c r="G1445" s="5"/>
      <c r="H1445" s="5"/>
      <c r="I1445" s="5"/>
      <c r="J1445" s="5"/>
    </row>
    <row r="1446" spans="1:10">
      <c r="A1446" s="5"/>
      <c r="B1446" s="5"/>
      <c r="C1446" s="5"/>
      <c r="D1446" s="5"/>
      <c r="E1446" s="5"/>
      <c r="F1446" s="5"/>
      <c r="G1446" s="5"/>
      <c r="H1446" s="5"/>
      <c r="I1446" s="5"/>
      <c r="J1446" s="5"/>
    </row>
    <row r="1447" spans="1:10">
      <c r="A1447" s="5"/>
      <c r="B1447" s="5"/>
      <c r="C1447" s="5"/>
      <c r="D1447" s="5"/>
      <c r="E1447" s="5"/>
      <c r="F1447" s="5"/>
      <c r="G1447" s="5"/>
      <c r="H1447" s="5"/>
      <c r="I1447" s="5"/>
      <c r="J1447" s="5"/>
    </row>
    <row r="1448" spans="1:10">
      <c r="A1448" s="5"/>
      <c r="B1448" s="5"/>
      <c r="C1448" s="5"/>
      <c r="D1448" s="5"/>
      <c r="E1448" s="5"/>
      <c r="F1448" s="5"/>
      <c r="G1448" s="5"/>
      <c r="H1448" s="5"/>
      <c r="I1448" s="5"/>
      <c r="J1448" s="5"/>
    </row>
    <row r="1449" spans="1:10">
      <c r="A1449" s="5"/>
      <c r="B1449" s="5"/>
      <c r="C1449" s="5"/>
      <c r="D1449" s="5"/>
      <c r="E1449" s="5"/>
      <c r="F1449" s="5"/>
      <c r="G1449" s="5"/>
      <c r="H1449" s="5"/>
      <c r="I1449" s="5"/>
      <c r="J1449" s="5"/>
    </row>
    <row r="1450" spans="1:10">
      <c r="A1450" s="5"/>
      <c r="B1450" s="5"/>
      <c r="C1450" s="5"/>
      <c r="D1450" s="5"/>
      <c r="E1450" s="5"/>
      <c r="F1450" s="5"/>
      <c r="G1450" s="5"/>
      <c r="H1450" s="5"/>
      <c r="I1450" s="5"/>
      <c r="J1450" s="5"/>
    </row>
    <row r="1451" spans="1:10">
      <c r="A1451" s="5"/>
      <c r="B1451" s="5"/>
      <c r="C1451" s="5"/>
      <c r="D1451" s="5"/>
      <c r="E1451" s="5"/>
      <c r="F1451" s="5"/>
      <c r="G1451" s="5"/>
      <c r="H1451" s="5"/>
      <c r="I1451" s="5"/>
      <c r="J1451" s="5"/>
    </row>
    <row r="1452" spans="1:10">
      <c r="A1452" s="5"/>
      <c r="B1452" s="5"/>
      <c r="C1452" s="5"/>
      <c r="D1452" s="5"/>
      <c r="E1452" s="5"/>
      <c r="F1452" s="5"/>
      <c r="G1452" s="5"/>
      <c r="H1452" s="5"/>
      <c r="I1452" s="5"/>
      <c r="J1452" s="5"/>
    </row>
    <row r="1453" spans="1:10">
      <c r="A1453" s="5"/>
      <c r="B1453" s="5"/>
      <c r="C1453" s="5"/>
      <c r="D1453" s="5"/>
      <c r="E1453" s="5"/>
      <c r="F1453" s="5"/>
      <c r="G1453" s="5"/>
      <c r="H1453" s="5"/>
      <c r="I1453" s="5"/>
      <c r="J1453" s="5"/>
    </row>
    <row r="1454" spans="1:10">
      <c r="A1454" s="5"/>
      <c r="B1454" s="5"/>
      <c r="C1454" s="5"/>
      <c r="D1454" s="5"/>
      <c r="E1454" s="5"/>
      <c r="F1454" s="5"/>
      <c r="G1454" s="5"/>
      <c r="H1454" s="5"/>
      <c r="I1454" s="5"/>
      <c r="J1454" s="5"/>
    </row>
    <row r="1455" spans="1:10">
      <c r="A1455" s="5"/>
      <c r="B1455" s="5"/>
      <c r="C1455" s="5"/>
      <c r="D1455" s="5"/>
      <c r="E1455" s="5"/>
      <c r="F1455" s="5"/>
      <c r="G1455" s="5"/>
      <c r="H1455" s="5"/>
      <c r="I1455" s="5"/>
      <c r="J1455" s="5"/>
    </row>
    <row r="1456" spans="1:10">
      <c r="A1456" s="5"/>
      <c r="B1456" s="5"/>
      <c r="C1456" s="5"/>
      <c r="D1456" s="5"/>
      <c r="E1456" s="5"/>
      <c r="F1456" s="5"/>
      <c r="G1456" s="5"/>
      <c r="H1456" s="5"/>
      <c r="I1456" s="5"/>
      <c r="J1456" s="5"/>
    </row>
    <row r="1457" spans="1:10">
      <c r="A1457" s="5"/>
      <c r="B1457" s="5"/>
      <c r="C1457" s="5"/>
      <c r="D1457" s="5"/>
      <c r="E1457" s="5"/>
      <c r="F1457" s="5"/>
      <c r="G1457" s="5"/>
      <c r="H1457" s="5"/>
      <c r="I1457" s="5"/>
      <c r="J1457" s="5"/>
    </row>
    <row r="1458" spans="1:10">
      <c r="A1458" s="5"/>
      <c r="B1458" s="5"/>
      <c r="C1458" s="5"/>
      <c r="D1458" s="5"/>
      <c r="E1458" s="5"/>
      <c r="F1458" s="5"/>
      <c r="G1458" s="5"/>
      <c r="H1458" s="5"/>
      <c r="I1458" s="5"/>
      <c r="J1458" s="5"/>
    </row>
    <row r="1459" spans="1:10">
      <c r="A1459" s="5"/>
      <c r="B1459" s="5"/>
      <c r="C1459" s="5"/>
      <c r="D1459" s="5"/>
      <c r="E1459" s="5"/>
      <c r="F1459" s="5"/>
      <c r="G1459" s="5"/>
      <c r="H1459" s="5"/>
      <c r="I1459" s="5"/>
      <c r="J1459" s="5"/>
    </row>
    <row r="1460" spans="1:10">
      <c r="A1460" s="5"/>
      <c r="B1460" s="5"/>
      <c r="C1460" s="5"/>
      <c r="D1460" s="5"/>
      <c r="E1460" s="5"/>
      <c r="F1460" s="5"/>
      <c r="G1460" s="5"/>
      <c r="H1460" s="5"/>
      <c r="I1460" s="5"/>
      <c r="J1460" s="5"/>
    </row>
    <row r="1461" spans="1:10">
      <c r="A1461" s="5"/>
      <c r="B1461" s="5"/>
      <c r="C1461" s="5"/>
      <c r="D1461" s="5"/>
      <c r="E1461" s="5"/>
      <c r="F1461" s="5"/>
      <c r="G1461" s="5"/>
      <c r="H1461" s="5"/>
      <c r="I1461" s="5"/>
      <c r="J1461" s="5"/>
    </row>
    <row r="1462" spans="1:10">
      <c r="A1462" s="5"/>
      <c r="B1462" s="5"/>
      <c r="C1462" s="5"/>
      <c r="D1462" s="5"/>
      <c r="E1462" s="5"/>
      <c r="F1462" s="5"/>
      <c r="G1462" s="5"/>
      <c r="H1462" s="5"/>
      <c r="I1462" s="5"/>
      <c r="J1462" s="5"/>
    </row>
    <row r="1463" spans="1:10">
      <c r="A1463" s="5"/>
      <c r="B1463" s="5"/>
      <c r="C1463" s="5"/>
      <c r="D1463" s="5"/>
      <c r="E1463" s="5"/>
      <c r="F1463" s="5"/>
      <c r="G1463" s="5"/>
      <c r="H1463" s="5"/>
      <c r="I1463" s="5"/>
      <c r="J1463" s="5"/>
    </row>
    <row r="1464" spans="1:10">
      <c r="A1464" s="5"/>
      <c r="B1464" s="5"/>
      <c r="C1464" s="5"/>
      <c r="D1464" s="5"/>
      <c r="E1464" s="5"/>
      <c r="F1464" s="5"/>
      <c r="G1464" s="5"/>
      <c r="H1464" s="5"/>
      <c r="I1464" s="5"/>
      <c r="J1464" s="5"/>
    </row>
    <row r="1465" spans="1:10">
      <c r="A1465" s="5"/>
      <c r="B1465" s="5"/>
      <c r="C1465" s="5"/>
      <c r="D1465" s="5"/>
      <c r="E1465" s="5"/>
      <c r="F1465" s="5"/>
      <c r="G1465" s="5"/>
      <c r="H1465" s="5"/>
      <c r="I1465" s="5"/>
      <c r="J1465" s="5"/>
    </row>
    <row r="1466" spans="1:10">
      <c r="A1466" s="5"/>
      <c r="B1466" s="5"/>
      <c r="C1466" s="5"/>
      <c r="D1466" s="5"/>
      <c r="E1466" s="5"/>
      <c r="F1466" s="5"/>
      <c r="G1466" s="5"/>
      <c r="H1466" s="5"/>
      <c r="I1466" s="5"/>
      <c r="J1466" s="5"/>
    </row>
    <row r="1467" spans="1:10">
      <c r="A1467" s="5"/>
      <c r="B1467" s="5"/>
      <c r="C1467" s="5"/>
      <c r="D1467" s="5"/>
      <c r="E1467" s="5"/>
      <c r="F1467" s="5"/>
      <c r="G1467" s="5"/>
      <c r="H1467" s="5"/>
      <c r="I1467" s="5"/>
      <c r="J1467" s="5"/>
    </row>
    <row r="1468" spans="1:10">
      <c r="A1468" s="5"/>
      <c r="B1468" s="5"/>
      <c r="C1468" s="5"/>
      <c r="D1468" s="5"/>
      <c r="E1468" s="5"/>
      <c r="F1468" s="5"/>
      <c r="G1468" s="5"/>
      <c r="H1468" s="5"/>
      <c r="I1468" s="5"/>
      <c r="J1468" s="5"/>
    </row>
    <row r="1469" spans="1:10">
      <c r="A1469" s="5"/>
      <c r="B1469" s="5"/>
      <c r="C1469" s="5"/>
      <c r="D1469" s="5"/>
      <c r="E1469" s="5"/>
      <c r="F1469" s="5"/>
      <c r="G1469" s="5"/>
      <c r="H1469" s="5"/>
      <c r="I1469" s="5"/>
      <c r="J1469" s="5"/>
    </row>
    <row r="1470" spans="1:10">
      <c r="A1470" s="5"/>
      <c r="B1470" s="5"/>
      <c r="C1470" s="5"/>
      <c r="D1470" s="5"/>
      <c r="E1470" s="5"/>
      <c r="F1470" s="5"/>
      <c r="G1470" s="5"/>
      <c r="H1470" s="5"/>
      <c r="I1470" s="5"/>
      <c r="J1470" s="5"/>
    </row>
    <row r="1471" spans="1:10">
      <c r="A1471" s="5"/>
      <c r="B1471" s="5"/>
      <c r="C1471" s="5"/>
      <c r="D1471" s="5"/>
      <c r="E1471" s="5"/>
      <c r="F1471" s="5"/>
      <c r="G1471" s="5"/>
      <c r="H1471" s="5"/>
      <c r="I1471" s="5"/>
      <c r="J1471" s="5"/>
    </row>
    <row r="1472" spans="1:10">
      <c r="A1472" s="5"/>
      <c r="B1472" s="5"/>
      <c r="C1472" s="5"/>
      <c r="D1472" s="5"/>
      <c r="E1472" s="5"/>
      <c r="F1472" s="5"/>
      <c r="G1472" s="5"/>
      <c r="H1472" s="5"/>
      <c r="I1472" s="5"/>
      <c r="J1472" s="5"/>
    </row>
    <row r="1473" spans="1:10">
      <c r="A1473" s="5"/>
      <c r="B1473" s="5"/>
      <c r="C1473" s="5"/>
      <c r="D1473" s="5"/>
      <c r="E1473" s="5"/>
      <c r="F1473" s="5"/>
      <c r="G1473" s="5"/>
      <c r="H1473" s="5"/>
      <c r="I1473" s="5"/>
      <c r="J1473" s="5"/>
    </row>
    <row r="1474" spans="1:10">
      <c r="A1474" s="5"/>
      <c r="B1474" s="5"/>
      <c r="C1474" s="5"/>
      <c r="D1474" s="5"/>
      <c r="E1474" s="5"/>
      <c r="F1474" s="5"/>
      <c r="G1474" s="5"/>
      <c r="H1474" s="5"/>
      <c r="I1474" s="5"/>
      <c r="J1474" s="5"/>
    </row>
    <row r="1475" spans="1:10">
      <c r="A1475" s="5"/>
      <c r="B1475" s="5"/>
      <c r="C1475" s="5"/>
      <c r="D1475" s="5"/>
      <c r="E1475" s="5"/>
      <c r="F1475" s="5"/>
      <c r="G1475" s="5"/>
      <c r="H1475" s="5"/>
      <c r="I1475" s="5"/>
      <c r="J1475" s="5"/>
    </row>
    <row r="1476" spans="1:10">
      <c r="A1476" s="5"/>
      <c r="B1476" s="5"/>
      <c r="C1476" s="5"/>
      <c r="D1476" s="5"/>
      <c r="E1476" s="5"/>
      <c r="F1476" s="5"/>
      <c r="G1476" s="5"/>
      <c r="H1476" s="5"/>
      <c r="I1476" s="5"/>
      <c r="J1476" s="5"/>
    </row>
    <row r="1477" spans="1:10">
      <c r="A1477" s="5"/>
      <c r="B1477" s="5"/>
      <c r="C1477" s="5"/>
      <c r="D1477" s="5"/>
      <c r="E1477" s="5"/>
      <c r="F1477" s="5"/>
      <c r="G1477" s="5"/>
      <c r="H1477" s="5"/>
      <c r="I1477" s="5"/>
      <c r="J1477" s="5"/>
    </row>
    <row r="1478" spans="1:10">
      <c r="A1478" s="5"/>
      <c r="B1478" s="5"/>
      <c r="C1478" s="5"/>
      <c r="D1478" s="5"/>
      <c r="E1478" s="5"/>
      <c r="F1478" s="5"/>
      <c r="G1478" s="5"/>
      <c r="H1478" s="5"/>
      <c r="I1478" s="5"/>
      <c r="J1478" s="5"/>
    </row>
    <row r="1479" spans="1:10">
      <c r="A1479" s="5"/>
      <c r="B1479" s="5"/>
      <c r="C1479" s="5"/>
      <c r="D1479" s="5"/>
      <c r="E1479" s="5"/>
      <c r="F1479" s="5"/>
      <c r="G1479" s="5"/>
      <c r="H1479" s="5"/>
      <c r="I1479" s="5"/>
      <c r="J1479" s="5"/>
    </row>
    <row r="1480" spans="1:10">
      <c r="A1480" s="5"/>
      <c r="B1480" s="5"/>
      <c r="C1480" s="5"/>
      <c r="D1480" s="5"/>
      <c r="E1480" s="5"/>
      <c r="F1480" s="5"/>
      <c r="G1480" s="5"/>
      <c r="H1480" s="5"/>
      <c r="I1480" s="5"/>
      <c r="J1480" s="5"/>
    </row>
    <row r="1481" spans="1:10">
      <c r="A1481" s="5"/>
      <c r="B1481" s="5"/>
      <c r="C1481" s="5"/>
      <c r="D1481" s="5"/>
      <c r="E1481" s="5"/>
      <c r="F1481" s="5"/>
      <c r="G1481" s="5"/>
      <c r="H1481" s="5"/>
      <c r="I1481" s="5"/>
      <c r="J1481" s="5"/>
    </row>
    <row r="1482" spans="1:10">
      <c r="A1482" s="5"/>
      <c r="B1482" s="5"/>
      <c r="C1482" s="5"/>
      <c r="D1482" s="5"/>
      <c r="E1482" s="5"/>
      <c r="F1482" s="5"/>
      <c r="G1482" s="5"/>
      <c r="H1482" s="5"/>
      <c r="I1482" s="5"/>
      <c r="J1482" s="5"/>
    </row>
    <row r="1483" spans="1:10">
      <c r="A1483" s="5"/>
      <c r="B1483" s="5"/>
      <c r="C1483" s="5"/>
      <c r="D1483" s="5"/>
      <c r="E1483" s="5"/>
      <c r="F1483" s="5"/>
      <c r="G1483" s="5"/>
      <c r="H1483" s="5"/>
      <c r="I1483" s="5"/>
      <c r="J1483" s="5"/>
    </row>
    <row r="1484" spans="1:10">
      <c r="A1484" s="5"/>
      <c r="B1484" s="5"/>
      <c r="C1484" s="5"/>
      <c r="D1484" s="5"/>
      <c r="E1484" s="5"/>
      <c r="F1484" s="5"/>
      <c r="G1484" s="5"/>
      <c r="H1484" s="5"/>
      <c r="I1484" s="5"/>
      <c r="J1484" s="5"/>
    </row>
    <row r="1485" spans="1:10">
      <c r="A1485" s="5"/>
      <c r="B1485" s="5"/>
      <c r="C1485" s="5"/>
      <c r="D1485" s="5"/>
      <c r="E1485" s="5"/>
      <c r="F1485" s="5"/>
      <c r="G1485" s="5"/>
      <c r="H1485" s="5"/>
      <c r="I1485" s="5"/>
      <c r="J1485" s="5"/>
    </row>
    <row r="1486" spans="1:10">
      <c r="A1486" s="5"/>
      <c r="B1486" s="5"/>
      <c r="C1486" s="5"/>
      <c r="D1486" s="5"/>
      <c r="E1486" s="5"/>
      <c r="F1486" s="5"/>
      <c r="G1486" s="5"/>
      <c r="H1486" s="5"/>
      <c r="I1486" s="5"/>
      <c r="J1486" s="5"/>
    </row>
    <row r="1487" spans="1:10">
      <c r="A1487" s="5"/>
      <c r="B1487" s="5"/>
      <c r="C1487" s="5"/>
      <c r="D1487" s="5"/>
      <c r="E1487" s="5"/>
      <c r="F1487" s="5"/>
      <c r="G1487" s="5"/>
      <c r="H1487" s="5"/>
      <c r="I1487" s="5"/>
      <c r="J1487" s="5"/>
    </row>
    <row r="1488" spans="1:10">
      <c r="A1488" s="5"/>
      <c r="B1488" s="5"/>
      <c r="C1488" s="5"/>
      <c r="D1488" s="5"/>
      <c r="E1488" s="5"/>
      <c r="F1488" s="5"/>
      <c r="G1488" s="5"/>
      <c r="H1488" s="5"/>
      <c r="I1488" s="5"/>
      <c r="J1488" s="5"/>
    </row>
    <row r="1489" spans="1:10">
      <c r="A1489" s="5"/>
      <c r="B1489" s="5"/>
      <c r="C1489" s="5"/>
      <c r="D1489" s="5"/>
      <c r="E1489" s="5"/>
      <c r="F1489" s="5"/>
      <c r="G1489" s="5"/>
      <c r="H1489" s="5"/>
      <c r="I1489" s="5"/>
      <c r="J1489" s="5"/>
    </row>
    <row r="1490" spans="1:10">
      <c r="A1490" s="5"/>
      <c r="B1490" s="5"/>
      <c r="C1490" s="5"/>
      <c r="D1490" s="5"/>
      <c r="E1490" s="5"/>
      <c r="F1490" s="5"/>
      <c r="G1490" s="5"/>
      <c r="H1490" s="5"/>
      <c r="I1490" s="5"/>
      <c r="J1490" s="5"/>
    </row>
    <row r="1491" spans="1:10">
      <c r="A1491" s="5"/>
      <c r="B1491" s="5"/>
      <c r="C1491" s="5"/>
      <c r="D1491" s="5"/>
      <c r="E1491" s="5"/>
      <c r="F1491" s="5"/>
      <c r="G1491" s="5"/>
      <c r="H1491" s="5"/>
      <c r="I1491" s="5"/>
      <c r="J1491" s="5"/>
    </row>
    <row r="1492" spans="1:10">
      <c r="A1492" s="5"/>
      <c r="B1492" s="5"/>
      <c r="C1492" s="5"/>
      <c r="D1492" s="5"/>
      <c r="E1492" s="5"/>
      <c r="F1492" s="5"/>
      <c r="G1492" s="5"/>
      <c r="H1492" s="5"/>
      <c r="I1492" s="5"/>
      <c r="J1492" s="5"/>
    </row>
    <row r="1493" spans="1:10">
      <c r="A1493" s="5"/>
      <c r="B1493" s="5"/>
      <c r="C1493" s="5"/>
      <c r="D1493" s="5"/>
      <c r="E1493" s="5"/>
      <c r="F1493" s="5"/>
      <c r="G1493" s="5"/>
      <c r="H1493" s="5"/>
      <c r="I1493" s="5"/>
      <c r="J1493" s="5"/>
    </row>
    <row r="1494" spans="1:10">
      <c r="A1494" s="5"/>
      <c r="B1494" s="5"/>
      <c r="C1494" s="5"/>
      <c r="D1494" s="5"/>
      <c r="E1494" s="5"/>
      <c r="F1494" s="5"/>
      <c r="G1494" s="5"/>
      <c r="H1494" s="5"/>
      <c r="I1494" s="5"/>
      <c r="J1494" s="5"/>
    </row>
    <row r="1495" spans="1:10">
      <c r="A1495" s="5"/>
      <c r="B1495" s="5"/>
      <c r="C1495" s="5"/>
      <c r="D1495" s="5"/>
      <c r="E1495" s="5"/>
      <c r="F1495" s="5"/>
      <c r="G1495" s="5"/>
      <c r="H1495" s="5"/>
      <c r="I1495" s="5"/>
      <c r="J1495" s="5"/>
    </row>
    <row r="1496" spans="1:10">
      <c r="A1496" s="5"/>
      <c r="B1496" s="5"/>
      <c r="C1496" s="5"/>
      <c r="D1496" s="5"/>
      <c r="E1496" s="5"/>
      <c r="F1496" s="5"/>
      <c r="G1496" s="5"/>
      <c r="H1496" s="5"/>
      <c r="I1496" s="5"/>
      <c r="J1496" s="5"/>
    </row>
    <row r="1497" spans="1:10">
      <c r="A1497" s="5"/>
      <c r="B1497" s="5"/>
      <c r="C1497" s="5"/>
      <c r="D1497" s="5"/>
      <c r="E1497" s="5"/>
      <c r="F1497" s="5"/>
      <c r="G1497" s="5"/>
      <c r="H1497" s="5"/>
      <c r="I1497" s="5"/>
      <c r="J1497" s="5"/>
    </row>
    <row r="1498" spans="1:10">
      <c r="A1498" s="5"/>
      <c r="B1498" s="5"/>
      <c r="C1498" s="5"/>
      <c r="D1498" s="5"/>
      <c r="E1498" s="5"/>
      <c r="F1498" s="5"/>
      <c r="G1498" s="5"/>
      <c r="H1498" s="5"/>
      <c r="I1498" s="5"/>
      <c r="J1498" s="5"/>
    </row>
    <row r="1499" spans="1:10">
      <c r="A1499" s="5"/>
      <c r="B1499" s="5"/>
      <c r="C1499" s="5"/>
      <c r="D1499" s="5"/>
      <c r="E1499" s="5"/>
      <c r="F1499" s="5"/>
      <c r="G1499" s="5"/>
      <c r="H1499" s="5"/>
      <c r="I1499" s="5"/>
      <c r="J1499" s="5"/>
    </row>
    <row r="1500" spans="1:10">
      <c r="A1500" s="5"/>
      <c r="B1500" s="5"/>
      <c r="C1500" s="5"/>
      <c r="D1500" s="5"/>
      <c r="E1500" s="5"/>
      <c r="F1500" s="5"/>
      <c r="G1500" s="5"/>
      <c r="H1500" s="5"/>
      <c r="I1500" s="5"/>
      <c r="J1500" s="5"/>
    </row>
    <row r="1501" spans="1:10">
      <c r="A1501" s="5"/>
      <c r="B1501" s="5"/>
      <c r="C1501" s="5"/>
      <c r="D1501" s="5"/>
      <c r="E1501" s="5"/>
      <c r="F1501" s="5"/>
      <c r="G1501" s="5"/>
      <c r="H1501" s="5"/>
      <c r="I1501" s="5"/>
      <c r="J1501" s="5"/>
    </row>
    <row r="1502" spans="1:10">
      <c r="A1502" s="5"/>
      <c r="B1502" s="5"/>
      <c r="C1502" s="5"/>
      <c r="D1502" s="5"/>
      <c r="E1502" s="5"/>
      <c r="F1502" s="5"/>
      <c r="G1502" s="5"/>
      <c r="H1502" s="5"/>
      <c r="I1502" s="5"/>
      <c r="J1502" s="5"/>
    </row>
    <row r="1503" spans="1:10">
      <c r="A1503" s="5"/>
      <c r="B1503" s="5"/>
      <c r="C1503" s="5"/>
      <c r="D1503" s="5"/>
      <c r="E1503" s="5"/>
      <c r="F1503" s="5"/>
      <c r="G1503" s="5"/>
      <c r="H1503" s="5"/>
      <c r="I1503" s="5"/>
      <c r="J1503" s="5"/>
    </row>
    <row r="1504" spans="1:10">
      <c r="A1504" s="5"/>
      <c r="B1504" s="5"/>
      <c r="C1504" s="5"/>
      <c r="D1504" s="5"/>
      <c r="E1504" s="5"/>
      <c r="F1504" s="5"/>
      <c r="G1504" s="5"/>
      <c r="H1504" s="5"/>
      <c r="I1504" s="5"/>
      <c r="J1504" s="5"/>
    </row>
    <row r="1505" spans="1:10">
      <c r="A1505" s="5"/>
      <c r="B1505" s="5"/>
      <c r="C1505" s="5"/>
      <c r="D1505" s="5"/>
      <c r="E1505" s="5"/>
      <c r="F1505" s="5"/>
      <c r="G1505" s="5"/>
      <c r="H1505" s="5"/>
      <c r="I1505" s="5"/>
      <c r="J1505" s="5"/>
    </row>
    <row r="1506" spans="1:10">
      <c r="A1506" s="5"/>
      <c r="B1506" s="5"/>
      <c r="C1506" s="5"/>
      <c r="D1506" s="5"/>
      <c r="E1506" s="5"/>
      <c r="F1506" s="5"/>
      <c r="G1506" s="5"/>
      <c r="H1506" s="5"/>
      <c r="I1506" s="5"/>
      <c r="J1506" s="5"/>
    </row>
    <row r="1507" spans="1:10">
      <c r="A1507" s="5"/>
      <c r="B1507" s="5"/>
      <c r="C1507" s="5"/>
      <c r="D1507" s="5"/>
      <c r="E1507" s="5"/>
      <c r="F1507" s="5"/>
      <c r="G1507" s="5"/>
      <c r="H1507" s="5"/>
      <c r="I1507" s="5"/>
      <c r="J1507" s="5"/>
    </row>
    <row r="1508" spans="1:10">
      <c r="A1508" s="5"/>
      <c r="B1508" s="5"/>
      <c r="C1508" s="5"/>
      <c r="D1508" s="5"/>
      <c r="E1508" s="5"/>
      <c r="F1508" s="5"/>
      <c r="G1508" s="5"/>
      <c r="H1508" s="5"/>
      <c r="I1508" s="5"/>
      <c r="J1508" s="5"/>
    </row>
    <row r="1509" spans="1:10">
      <c r="A1509" s="5"/>
      <c r="B1509" s="5"/>
      <c r="C1509" s="5"/>
      <c r="D1509" s="5"/>
      <c r="E1509" s="5"/>
      <c r="F1509" s="5"/>
      <c r="G1509" s="5"/>
      <c r="H1509" s="5"/>
      <c r="I1509" s="5"/>
      <c r="J1509" s="5"/>
    </row>
    <row r="1510" spans="1:10">
      <c r="A1510" s="5"/>
      <c r="B1510" s="5"/>
      <c r="C1510" s="5"/>
      <c r="D1510" s="5"/>
      <c r="E1510" s="5"/>
      <c r="F1510" s="5"/>
      <c r="G1510" s="5"/>
      <c r="H1510" s="5"/>
      <c r="I1510" s="5"/>
      <c r="J1510" s="5"/>
    </row>
    <row r="1511" spans="1:10">
      <c r="A1511" s="5"/>
      <c r="B1511" s="5"/>
      <c r="C1511" s="5"/>
      <c r="D1511" s="5"/>
      <c r="E1511" s="5"/>
      <c r="F1511" s="5"/>
      <c r="G1511" s="5"/>
      <c r="H1511" s="5"/>
      <c r="I1511" s="5"/>
      <c r="J1511" s="5"/>
    </row>
    <row r="1512" spans="1:10">
      <c r="A1512" s="5"/>
      <c r="B1512" s="5"/>
      <c r="C1512" s="5"/>
      <c r="D1512" s="5"/>
      <c r="E1512" s="5"/>
      <c r="F1512" s="5"/>
      <c r="G1512" s="5"/>
      <c r="H1512" s="5"/>
      <c r="I1512" s="5"/>
      <c r="J1512" s="5"/>
    </row>
    <row r="1513" spans="1:10">
      <c r="A1513" s="5"/>
      <c r="B1513" s="5"/>
      <c r="C1513" s="5"/>
      <c r="D1513" s="5"/>
      <c r="E1513" s="5"/>
      <c r="F1513" s="5"/>
      <c r="G1513" s="5"/>
      <c r="H1513" s="5"/>
      <c r="I1513" s="5"/>
      <c r="J1513" s="5"/>
    </row>
    <row r="1514" spans="1:10">
      <c r="A1514" s="5"/>
      <c r="B1514" s="5"/>
      <c r="C1514" s="5"/>
      <c r="D1514" s="5"/>
      <c r="E1514" s="5"/>
      <c r="F1514" s="5"/>
      <c r="G1514" s="5"/>
      <c r="H1514" s="5"/>
      <c r="I1514" s="5"/>
      <c r="J1514" s="5"/>
    </row>
    <row r="1515" spans="1:10">
      <c r="A1515" s="5"/>
      <c r="B1515" s="5"/>
      <c r="C1515" s="5"/>
      <c r="D1515" s="5"/>
      <c r="E1515" s="5"/>
      <c r="F1515" s="5"/>
      <c r="G1515" s="5"/>
      <c r="H1515" s="5"/>
      <c r="I1515" s="5"/>
      <c r="J1515" s="5"/>
    </row>
    <row r="1516" spans="1:10">
      <c r="A1516" s="5"/>
      <c r="B1516" s="5"/>
      <c r="C1516" s="5"/>
      <c r="D1516" s="5"/>
      <c r="E1516" s="5"/>
      <c r="F1516" s="5"/>
      <c r="G1516" s="5"/>
      <c r="H1516" s="5"/>
      <c r="I1516" s="5"/>
      <c r="J1516" s="5"/>
    </row>
    <row r="1517" spans="1:10">
      <c r="A1517" s="5"/>
      <c r="B1517" s="5"/>
      <c r="C1517" s="5"/>
      <c r="D1517" s="5"/>
      <c r="E1517" s="5"/>
      <c r="F1517" s="5"/>
      <c r="G1517" s="5"/>
      <c r="H1517" s="5"/>
      <c r="I1517" s="5"/>
      <c r="J1517" s="5"/>
    </row>
    <row r="1518" spans="1:10">
      <c r="A1518" s="5"/>
      <c r="B1518" s="5"/>
      <c r="C1518" s="5"/>
      <c r="D1518" s="5"/>
      <c r="E1518" s="5"/>
      <c r="F1518" s="5"/>
      <c r="G1518" s="5"/>
      <c r="H1518" s="5"/>
      <c r="I1518" s="5"/>
      <c r="J1518" s="5"/>
    </row>
    <row r="1519" spans="1:10">
      <c r="A1519" s="5"/>
      <c r="B1519" s="5"/>
      <c r="C1519" s="5"/>
      <c r="D1519" s="5"/>
      <c r="E1519" s="5"/>
      <c r="F1519" s="5"/>
      <c r="G1519" s="5"/>
      <c r="H1519" s="5"/>
      <c r="I1519" s="5"/>
      <c r="J1519" s="5"/>
    </row>
    <row r="1520" spans="1:10">
      <c r="A1520" s="5"/>
      <c r="B1520" s="5"/>
      <c r="C1520" s="5"/>
      <c r="D1520" s="5"/>
      <c r="E1520" s="5"/>
      <c r="F1520" s="5"/>
      <c r="G1520" s="5"/>
      <c r="H1520" s="5"/>
      <c r="I1520" s="5"/>
      <c r="J1520" s="5"/>
    </row>
    <row r="1521" spans="1:10">
      <c r="A1521" s="5"/>
      <c r="B1521" s="5"/>
      <c r="C1521" s="5"/>
      <c r="D1521" s="5"/>
      <c r="E1521" s="5"/>
      <c r="F1521" s="5"/>
      <c r="G1521" s="5"/>
      <c r="H1521" s="5"/>
      <c r="I1521" s="5"/>
      <c r="J1521" s="5"/>
    </row>
    <row r="1522" spans="1:10">
      <c r="A1522" s="5"/>
      <c r="B1522" s="5"/>
      <c r="C1522" s="5"/>
      <c r="D1522" s="5"/>
      <c r="E1522" s="5"/>
      <c r="F1522" s="5"/>
      <c r="G1522" s="5"/>
      <c r="H1522" s="5"/>
      <c r="I1522" s="5"/>
      <c r="J1522" s="5"/>
    </row>
    <row r="1523" spans="1:10">
      <c r="A1523" s="5"/>
      <c r="B1523" s="5"/>
      <c r="C1523" s="5"/>
      <c r="D1523" s="5"/>
      <c r="E1523" s="5"/>
      <c r="F1523" s="5"/>
      <c r="G1523" s="5"/>
      <c r="H1523" s="5"/>
      <c r="I1523" s="5"/>
      <c r="J1523" s="5"/>
    </row>
    <row r="1524" spans="1:10">
      <c r="A1524" s="5"/>
      <c r="B1524" s="5"/>
      <c r="C1524" s="5"/>
      <c r="D1524" s="5"/>
      <c r="E1524" s="5"/>
      <c r="F1524" s="5"/>
      <c r="G1524" s="5"/>
      <c r="H1524" s="5"/>
      <c r="I1524" s="5"/>
      <c r="J1524" s="5"/>
    </row>
    <row r="1525" spans="1:10">
      <c r="A1525" s="5"/>
      <c r="B1525" s="5"/>
      <c r="C1525" s="5"/>
      <c r="D1525" s="5"/>
      <c r="E1525" s="5"/>
      <c r="F1525" s="5"/>
      <c r="G1525" s="5"/>
      <c r="H1525" s="5"/>
      <c r="I1525" s="5"/>
      <c r="J1525" s="5"/>
    </row>
    <row r="1526" spans="1:10">
      <c r="A1526" s="5"/>
      <c r="B1526" s="5"/>
      <c r="C1526" s="5"/>
      <c r="D1526" s="5"/>
      <c r="E1526" s="5"/>
      <c r="F1526" s="5"/>
      <c r="G1526" s="5"/>
      <c r="H1526" s="5"/>
      <c r="I1526" s="5"/>
      <c r="J1526" s="5"/>
    </row>
    <row r="1527" spans="1:10">
      <c r="A1527" s="5"/>
      <c r="B1527" s="5"/>
      <c r="C1527" s="5"/>
      <c r="D1527" s="5"/>
      <c r="E1527" s="5"/>
      <c r="F1527" s="5"/>
      <c r="G1527" s="5"/>
      <c r="H1527" s="5"/>
      <c r="I1527" s="5"/>
      <c r="J1527" s="5"/>
    </row>
    <row r="1528" spans="1:10">
      <c r="A1528" s="5"/>
      <c r="B1528" s="5"/>
      <c r="C1528" s="5"/>
      <c r="D1528" s="5"/>
      <c r="E1528" s="5"/>
      <c r="F1528" s="5"/>
      <c r="G1528" s="5"/>
      <c r="H1528" s="5"/>
      <c r="I1528" s="5"/>
      <c r="J1528" s="5"/>
    </row>
    <row r="1529" spans="1:10">
      <c r="A1529" s="5"/>
      <c r="B1529" s="5"/>
      <c r="C1529" s="5"/>
      <c r="D1529" s="5"/>
      <c r="E1529" s="5"/>
      <c r="F1529" s="5"/>
      <c r="G1529" s="5"/>
      <c r="H1529" s="5"/>
      <c r="I1529" s="5"/>
      <c r="J1529" s="5"/>
    </row>
    <row r="1530" spans="1:10">
      <c r="A1530" s="5"/>
      <c r="B1530" s="5"/>
      <c r="C1530" s="5"/>
      <c r="D1530" s="5"/>
      <c r="E1530" s="5"/>
      <c r="F1530" s="5"/>
      <c r="G1530" s="5"/>
      <c r="H1530" s="5"/>
      <c r="I1530" s="5"/>
      <c r="J1530" s="5"/>
    </row>
    <row r="1531" spans="1:10">
      <c r="A1531" s="5"/>
      <c r="B1531" s="5"/>
      <c r="C1531" s="5"/>
      <c r="D1531" s="5"/>
      <c r="E1531" s="5"/>
      <c r="F1531" s="5"/>
      <c r="G1531" s="5"/>
      <c r="H1531" s="5"/>
      <c r="I1531" s="5"/>
      <c r="J1531" s="5"/>
    </row>
    <row r="1532" spans="1:10">
      <c r="A1532" s="5"/>
      <c r="B1532" s="5"/>
      <c r="C1532" s="5"/>
      <c r="D1532" s="5"/>
      <c r="E1532" s="5"/>
      <c r="F1532" s="5"/>
      <c r="G1532" s="5"/>
      <c r="H1532" s="5"/>
      <c r="I1532" s="5"/>
      <c r="J1532" s="5"/>
    </row>
    <row r="1533" spans="1:10">
      <c r="A1533" s="5"/>
      <c r="B1533" s="5"/>
      <c r="C1533" s="5"/>
      <c r="D1533" s="5"/>
      <c r="E1533" s="5"/>
      <c r="F1533" s="5"/>
      <c r="G1533" s="5"/>
      <c r="H1533" s="5"/>
      <c r="I1533" s="5"/>
      <c r="J1533" s="5"/>
    </row>
    <row r="1534" spans="1:10">
      <c r="A1534" s="5"/>
      <c r="B1534" s="5"/>
      <c r="C1534" s="5"/>
      <c r="D1534" s="5"/>
      <c r="E1534" s="5"/>
      <c r="F1534" s="5"/>
      <c r="G1534" s="5"/>
      <c r="H1534" s="5"/>
      <c r="I1534" s="5"/>
      <c r="J1534" s="5"/>
    </row>
    <row r="1535" spans="1:10">
      <c r="A1535" s="5"/>
      <c r="B1535" s="5"/>
      <c r="C1535" s="5"/>
      <c r="D1535" s="5"/>
      <c r="E1535" s="5"/>
      <c r="F1535" s="5"/>
      <c r="G1535" s="5"/>
      <c r="H1535" s="5"/>
      <c r="I1535" s="5"/>
      <c r="J1535" s="5"/>
    </row>
    <row r="1536" spans="1:10">
      <c r="A1536" s="5"/>
      <c r="B1536" s="5"/>
      <c r="C1536" s="5"/>
      <c r="D1536" s="5"/>
      <c r="E1536" s="5"/>
      <c r="F1536" s="5"/>
      <c r="G1536" s="5"/>
      <c r="H1536" s="5"/>
      <c r="I1536" s="5"/>
      <c r="J1536" s="5"/>
    </row>
    <row r="1537" spans="1:10">
      <c r="A1537" s="5"/>
      <c r="B1537" s="5"/>
      <c r="C1537" s="5"/>
      <c r="D1537" s="5"/>
      <c r="E1537" s="5"/>
      <c r="F1537" s="5"/>
      <c r="G1537" s="5"/>
      <c r="H1537" s="5"/>
      <c r="I1537" s="5"/>
      <c r="J1537" s="5"/>
    </row>
    <row r="1538" spans="1:10">
      <c r="A1538" s="5"/>
      <c r="B1538" s="5"/>
      <c r="C1538" s="5"/>
      <c r="D1538" s="5"/>
      <c r="E1538" s="5"/>
      <c r="F1538" s="5"/>
      <c r="G1538" s="5"/>
      <c r="H1538" s="5"/>
      <c r="I1538" s="5"/>
      <c r="J1538" s="5"/>
    </row>
    <row r="1539" spans="1:10">
      <c r="A1539" s="5"/>
      <c r="B1539" s="5"/>
      <c r="C1539" s="5"/>
      <c r="D1539" s="5"/>
      <c r="E1539" s="5"/>
      <c r="F1539" s="5"/>
      <c r="G1539" s="5"/>
      <c r="H1539" s="5"/>
      <c r="I1539" s="5"/>
      <c r="J1539" s="5"/>
    </row>
    <row r="1540" spans="1:10">
      <c r="A1540" s="5"/>
      <c r="B1540" s="5"/>
      <c r="C1540" s="5"/>
      <c r="D1540" s="5"/>
      <c r="E1540" s="5"/>
      <c r="F1540" s="5"/>
      <c r="G1540" s="5"/>
      <c r="H1540" s="5"/>
      <c r="I1540" s="5"/>
      <c r="J1540" s="5"/>
    </row>
    <row r="1541" spans="1:10">
      <c r="A1541" s="5"/>
      <c r="B1541" s="5"/>
      <c r="C1541" s="5"/>
      <c r="D1541" s="5"/>
      <c r="E1541" s="5"/>
      <c r="F1541" s="5"/>
      <c r="G1541" s="5"/>
      <c r="H1541" s="5"/>
      <c r="I1541" s="5"/>
      <c r="J1541" s="5"/>
    </row>
    <row r="1542" spans="1:10">
      <c r="A1542" s="5"/>
      <c r="B1542" s="5"/>
      <c r="C1542" s="5"/>
      <c r="D1542" s="5"/>
      <c r="E1542" s="5"/>
      <c r="F1542" s="5"/>
      <c r="G1542" s="5"/>
      <c r="H1542" s="5"/>
      <c r="I1542" s="5"/>
      <c r="J1542" s="5"/>
    </row>
    <row r="1543" spans="1:10">
      <c r="A1543" s="5"/>
      <c r="B1543" s="5"/>
      <c r="C1543" s="5"/>
      <c r="D1543" s="5"/>
      <c r="E1543" s="5"/>
      <c r="F1543" s="5"/>
      <c r="G1543" s="5"/>
      <c r="H1543" s="5"/>
      <c r="I1543" s="5"/>
      <c r="J1543" s="5"/>
    </row>
    <row r="1544" spans="1:10">
      <c r="A1544" s="5"/>
      <c r="B1544" s="5"/>
      <c r="C1544" s="5"/>
      <c r="D1544" s="5"/>
      <c r="E1544" s="5"/>
      <c r="F1544" s="5"/>
      <c r="G1544" s="5"/>
      <c r="H1544" s="5"/>
      <c r="I1544" s="5"/>
      <c r="J1544" s="5"/>
    </row>
    <row r="1545" spans="1:10">
      <c r="A1545" s="5"/>
      <c r="B1545" s="5"/>
      <c r="C1545" s="5"/>
      <c r="D1545" s="5"/>
      <c r="E1545" s="5"/>
      <c r="F1545" s="5"/>
      <c r="G1545" s="5"/>
      <c r="H1545" s="5"/>
      <c r="I1545" s="5"/>
      <c r="J1545" s="5"/>
    </row>
    <row r="1546" spans="1:10">
      <c r="A1546" s="5"/>
      <c r="B1546" s="5"/>
      <c r="C1546" s="5"/>
      <c r="D1546" s="5"/>
      <c r="E1546" s="5"/>
      <c r="F1546" s="5"/>
      <c r="G1546" s="5"/>
      <c r="H1546" s="5"/>
      <c r="I1546" s="5"/>
      <c r="J1546" s="5"/>
    </row>
    <row r="1547" spans="1:10">
      <c r="A1547" s="5"/>
      <c r="B1547" s="5"/>
      <c r="C1547" s="5"/>
      <c r="D1547" s="5"/>
      <c r="E1547" s="5"/>
      <c r="F1547" s="5"/>
      <c r="G1547" s="5"/>
      <c r="H1547" s="5"/>
      <c r="I1547" s="5"/>
      <c r="J1547" s="5"/>
    </row>
    <row r="1548" spans="1:10">
      <c r="A1548" s="5"/>
      <c r="B1548" s="5"/>
      <c r="C1548" s="5"/>
      <c r="D1548" s="5"/>
      <c r="E1548" s="5"/>
      <c r="F1548" s="5"/>
      <c r="G1548" s="5"/>
      <c r="H1548" s="5"/>
      <c r="I1548" s="5"/>
      <c r="J1548" s="5"/>
    </row>
    <row r="1549" spans="1:10">
      <c r="A1549" s="5"/>
      <c r="B1549" s="5"/>
      <c r="C1549" s="5"/>
      <c r="D1549" s="5"/>
      <c r="E1549" s="5"/>
      <c r="F1549" s="5"/>
      <c r="G1549" s="5"/>
      <c r="H1549" s="5"/>
      <c r="I1549" s="5"/>
      <c r="J1549" s="5"/>
    </row>
    <row r="1550" spans="1:10">
      <c r="A1550" s="5"/>
      <c r="B1550" s="5"/>
      <c r="C1550" s="5"/>
      <c r="D1550" s="5"/>
      <c r="E1550" s="5"/>
      <c r="F1550" s="5"/>
      <c r="G1550" s="5"/>
      <c r="H1550" s="5"/>
      <c r="I1550" s="5"/>
      <c r="J1550" s="5"/>
    </row>
    <row r="1551" spans="1:10">
      <c r="A1551" s="5"/>
      <c r="B1551" s="5"/>
      <c r="C1551" s="5"/>
      <c r="D1551" s="5"/>
      <c r="E1551" s="5"/>
      <c r="F1551" s="5"/>
      <c r="G1551" s="5"/>
      <c r="H1551" s="5"/>
      <c r="I1551" s="5"/>
      <c r="J1551" s="5"/>
    </row>
    <row r="1552" spans="1:10">
      <c r="A1552" s="5"/>
      <c r="B1552" s="5"/>
      <c r="C1552" s="5"/>
      <c r="D1552" s="5"/>
      <c r="E1552" s="5"/>
      <c r="F1552" s="5"/>
      <c r="G1552" s="5"/>
      <c r="H1552" s="5"/>
      <c r="I1552" s="5"/>
      <c r="J1552" s="5"/>
    </row>
    <row r="1553" spans="1:10">
      <c r="A1553" s="5"/>
      <c r="B1553" s="5"/>
      <c r="C1553" s="5"/>
      <c r="D1553" s="5"/>
      <c r="E1553" s="5"/>
      <c r="F1553" s="5"/>
      <c r="G1553" s="5"/>
      <c r="H1553" s="5"/>
      <c r="I1553" s="5"/>
      <c r="J1553" s="5"/>
    </row>
    <row r="1554" spans="1:10">
      <c r="A1554" s="5"/>
      <c r="B1554" s="5"/>
      <c r="C1554" s="5"/>
      <c r="D1554" s="5"/>
      <c r="E1554" s="5"/>
      <c r="F1554" s="5"/>
      <c r="G1554" s="5"/>
      <c r="H1554" s="5"/>
      <c r="I1554" s="5"/>
      <c r="J1554" s="5"/>
    </row>
    <row r="1555" spans="1:10">
      <c r="A1555" s="5"/>
      <c r="B1555" s="5"/>
      <c r="C1555" s="5"/>
      <c r="D1555" s="5"/>
      <c r="E1555" s="5"/>
      <c r="F1555" s="5"/>
      <c r="G1555" s="5"/>
      <c r="H1555" s="5"/>
      <c r="I1555" s="5"/>
      <c r="J1555" s="5"/>
    </row>
    <row r="1556" spans="1:10">
      <c r="A1556" s="5"/>
      <c r="B1556" s="5"/>
      <c r="C1556" s="5"/>
      <c r="D1556" s="5"/>
      <c r="E1556" s="5"/>
      <c r="F1556" s="5"/>
      <c r="G1556" s="5"/>
      <c r="H1556" s="5"/>
      <c r="I1556" s="5"/>
      <c r="J1556" s="5"/>
    </row>
    <row r="1557" spans="1:10">
      <c r="A1557" s="5"/>
      <c r="B1557" s="5"/>
      <c r="C1557" s="5"/>
      <c r="D1557" s="5"/>
      <c r="E1557" s="5"/>
      <c r="F1557" s="5"/>
      <c r="G1557" s="5"/>
      <c r="H1557" s="5"/>
      <c r="I1557" s="5"/>
      <c r="J1557" s="5"/>
    </row>
    <row r="1558" spans="1:10">
      <c r="A1558" s="5"/>
      <c r="B1558" s="5"/>
      <c r="C1558" s="5"/>
      <c r="D1558" s="5"/>
      <c r="E1558" s="5"/>
      <c r="F1558" s="5"/>
      <c r="G1558" s="5"/>
      <c r="H1558" s="5"/>
      <c r="I1558" s="5"/>
      <c r="J1558" s="5"/>
    </row>
    <row r="1559" spans="1:10">
      <c r="A1559" s="5"/>
      <c r="B1559" s="5"/>
      <c r="C1559" s="5"/>
      <c r="D1559" s="5"/>
      <c r="E1559" s="5"/>
      <c r="F1559" s="5"/>
      <c r="G1559" s="5"/>
      <c r="H1559" s="5"/>
      <c r="I1559" s="5"/>
      <c r="J1559" s="5"/>
    </row>
    <row r="1560" spans="1:10">
      <c r="A1560" s="5"/>
      <c r="B1560" s="5"/>
      <c r="C1560" s="5"/>
      <c r="D1560" s="5"/>
      <c r="E1560" s="5"/>
      <c r="F1560" s="5"/>
      <c r="G1560" s="5"/>
      <c r="H1560" s="5"/>
      <c r="I1560" s="5"/>
      <c r="J1560" s="5"/>
    </row>
    <row r="1561" spans="1:10">
      <c r="A1561" s="5"/>
      <c r="B1561" s="5"/>
      <c r="C1561" s="5"/>
      <c r="D1561" s="5"/>
      <c r="E1561" s="5"/>
      <c r="F1561" s="5"/>
      <c r="G1561" s="5"/>
      <c r="H1561" s="5"/>
      <c r="I1561" s="5"/>
      <c r="J1561" s="5"/>
    </row>
    <row r="1562" spans="1:10">
      <c r="A1562" s="5"/>
      <c r="B1562" s="5"/>
      <c r="C1562" s="5"/>
      <c r="D1562" s="5"/>
      <c r="E1562" s="5"/>
      <c r="F1562" s="5"/>
      <c r="G1562" s="5"/>
      <c r="H1562" s="5"/>
      <c r="I1562" s="5"/>
      <c r="J1562" s="5"/>
    </row>
    <row r="1563" spans="1:10">
      <c r="A1563" s="5"/>
      <c r="B1563" s="5"/>
      <c r="C1563" s="5"/>
      <c r="D1563" s="5"/>
      <c r="E1563" s="5"/>
      <c r="F1563" s="5"/>
      <c r="G1563" s="5"/>
      <c r="H1563" s="5"/>
      <c r="I1563" s="5"/>
      <c r="J1563" s="5"/>
    </row>
    <row r="1564" spans="1:10">
      <c r="A1564" s="5"/>
      <c r="B1564" s="5"/>
      <c r="C1564" s="5"/>
      <c r="D1564" s="5"/>
      <c r="E1564" s="5"/>
      <c r="F1564" s="5"/>
      <c r="G1564" s="5"/>
      <c r="H1564" s="5"/>
      <c r="I1564" s="5"/>
      <c r="J1564" s="5"/>
    </row>
    <row r="1565" spans="1:10">
      <c r="A1565" s="5"/>
      <c r="B1565" s="5"/>
      <c r="C1565" s="5"/>
      <c r="D1565" s="5"/>
      <c r="E1565" s="5"/>
      <c r="F1565" s="5"/>
      <c r="G1565" s="5"/>
      <c r="H1565" s="5"/>
      <c r="I1565" s="5"/>
      <c r="J1565" s="5"/>
    </row>
    <row r="1566" spans="1:10">
      <c r="A1566" s="5"/>
      <c r="B1566" s="5"/>
      <c r="C1566" s="5"/>
      <c r="D1566" s="5"/>
      <c r="E1566" s="5"/>
      <c r="F1566" s="5"/>
      <c r="G1566" s="5"/>
      <c r="H1566" s="5"/>
      <c r="I1566" s="5"/>
      <c r="J1566" s="5"/>
    </row>
    <row r="1567" spans="1:10">
      <c r="A1567" s="5"/>
      <c r="B1567" s="5"/>
      <c r="C1567" s="5"/>
      <c r="D1567" s="5"/>
      <c r="E1567" s="5"/>
      <c r="F1567" s="5"/>
      <c r="G1567" s="5"/>
      <c r="H1567" s="5"/>
      <c r="I1567" s="5"/>
      <c r="J1567" s="5"/>
    </row>
    <row r="1568" spans="1:10">
      <c r="A1568" s="5"/>
      <c r="B1568" s="5"/>
      <c r="C1568" s="5"/>
      <c r="D1568" s="5"/>
      <c r="E1568" s="5"/>
      <c r="F1568" s="5"/>
      <c r="G1568" s="5"/>
      <c r="H1568" s="5"/>
      <c r="I1568" s="5"/>
      <c r="J1568" s="5"/>
    </row>
    <row r="1569" spans="1:10">
      <c r="A1569" s="5"/>
      <c r="B1569" s="5"/>
      <c r="C1569" s="5"/>
      <c r="D1569" s="5"/>
      <c r="E1569" s="5"/>
      <c r="F1569" s="5"/>
      <c r="G1569" s="5"/>
      <c r="H1569" s="5"/>
      <c r="I1569" s="5"/>
      <c r="J1569" s="5"/>
    </row>
    <row r="1570" spans="1:10">
      <c r="A1570" s="5"/>
      <c r="B1570" s="5"/>
      <c r="C1570" s="5"/>
      <c r="D1570" s="5"/>
      <c r="E1570" s="5"/>
      <c r="F1570" s="5"/>
      <c r="G1570" s="5"/>
      <c r="H1570" s="5"/>
      <c r="I1570" s="5"/>
      <c r="J1570" s="5"/>
    </row>
    <row r="1571" spans="1:10">
      <c r="A1571" s="5"/>
      <c r="B1571" s="5"/>
      <c r="C1571" s="5"/>
      <c r="D1571" s="5"/>
      <c r="E1571" s="5"/>
      <c r="F1571" s="5"/>
      <c r="G1571" s="5"/>
      <c r="H1571" s="5"/>
      <c r="I1571" s="5"/>
      <c r="J1571" s="5"/>
    </row>
    <row r="1572" spans="1:10">
      <c r="A1572" s="5"/>
      <c r="B1572" s="5"/>
      <c r="C1572" s="5"/>
      <c r="D1572" s="5"/>
      <c r="E1572" s="5"/>
      <c r="F1572" s="5"/>
      <c r="G1572" s="5"/>
      <c r="H1572" s="5"/>
      <c r="I1572" s="5"/>
      <c r="J1572" s="5"/>
    </row>
    <row r="1573" spans="1:10">
      <c r="A1573" s="5"/>
      <c r="B1573" s="5"/>
      <c r="C1573" s="5"/>
      <c r="D1573" s="5"/>
      <c r="E1573" s="5"/>
      <c r="F1573" s="5"/>
      <c r="G1573" s="5"/>
      <c r="H1573" s="5"/>
      <c r="I1573" s="5"/>
      <c r="J1573" s="5"/>
    </row>
    <row r="1574" spans="1:10">
      <c r="A1574" s="5"/>
      <c r="B1574" s="5"/>
      <c r="C1574" s="5"/>
      <c r="D1574" s="5"/>
      <c r="E1574" s="5"/>
      <c r="F1574" s="5"/>
      <c r="G1574" s="5"/>
      <c r="H1574" s="5"/>
      <c r="I1574" s="5"/>
      <c r="J1574" s="5"/>
    </row>
    <row r="1575" spans="1:10">
      <c r="A1575" s="5"/>
      <c r="B1575" s="5"/>
      <c r="C1575" s="5"/>
      <c r="D1575" s="5"/>
      <c r="E1575" s="5"/>
      <c r="F1575" s="5"/>
      <c r="G1575" s="5"/>
      <c r="H1575" s="5"/>
      <c r="I1575" s="5"/>
      <c r="J1575" s="5"/>
    </row>
    <row r="1576" spans="1:10">
      <c r="A1576" s="5"/>
      <c r="B1576" s="5"/>
      <c r="C1576" s="5"/>
      <c r="D1576" s="5"/>
      <c r="E1576" s="5"/>
      <c r="F1576" s="5"/>
      <c r="G1576" s="5"/>
      <c r="H1576" s="5"/>
      <c r="I1576" s="5"/>
      <c r="J1576" s="5"/>
    </row>
    <row r="1577" spans="1:10">
      <c r="A1577" s="5"/>
      <c r="B1577" s="5"/>
      <c r="C1577" s="5"/>
      <c r="D1577" s="5"/>
      <c r="E1577" s="5"/>
      <c r="F1577" s="5"/>
      <c r="G1577" s="5"/>
      <c r="H1577" s="5"/>
      <c r="I1577" s="5"/>
      <c r="J1577" s="5"/>
    </row>
    <row r="1578" spans="1:10">
      <c r="A1578" s="5"/>
      <c r="B1578" s="5"/>
      <c r="C1578" s="5"/>
      <c r="D1578" s="5"/>
      <c r="E1578" s="5"/>
      <c r="F1578" s="5"/>
      <c r="G1578" s="5"/>
      <c r="H1578" s="5"/>
      <c r="I1578" s="5"/>
      <c r="J1578" s="5"/>
    </row>
    <row r="1579" spans="1:10">
      <c r="A1579" s="5"/>
      <c r="B1579" s="5"/>
      <c r="C1579" s="5"/>
      <c r="D1579" s="5"/>
      <c r="E1579" s="5"/>
      <c r="F1579" s="5"/>
      <c r="G1579" s="5"/>
      <c r="H1579" s="5"/>
      <c r="I1579" s="5"/>
      <c r="J1579" s="5"/>
    </row>
    <row r="1580" spans="1:10">
      <c r="A1580" s="5"/>
      <c r="B1580" s="5"/>
      <c r="C1580" s="5"/>
      <c r="D1580" s="5"/>
      <c r="E1580" s="5"/>
      <c r="F1580" s="5"/>
      <c r="G1580" s="5"/>
      <c r="H1580" s="5"/>
      <c r="I1580" s="5"/>
      <c r="J1580" s="5"/>
    </row>
    <row r="1581" spans="1:10">
      <c r="A1581" s="5"/>
      <c r="B1581" s="5"/>
      <c r="C1581" s="5"/>
      <c r="D1581" s="5"/>
      <c r="E1581" s="5"/>
      <c r="F1581" s="5"/>
      <c r="G1581" s="5"/>
      <c r="H1581" s="5"/>
      <c r="I1581" s="5"/>
      <c r="J1581" s="5"/>
    </row>
    <row r="1582" spans="1:10">
      <c r="A1582" s="5"/>
      <c r="B1582" s="5"/>
      <c r="C1582" s="5"/>
      <c r="D1582" s="5"/>
      <c r="E1582" s="5"/>
      <c r="F1582" s="5"/>
      <c r="G1582" s="5"/>
      <c r="H1582" s="5"/>
      <c r="I1582" s="5"/>
      <c r="J1582" s="5"/>
    </row>
    <row r="1583" spans="1:10">
      <c r="A1583" s="5"/>
      <c r="B1583" s="5"/>
      <c r="C1583" s="5"/>
      <c r="D1583" s="5"/>
      <c r="E1583" s="5"/>
      <c r="F1583" s="5"/>
      <c r="G1583" s="5"/>
      <c r="H1583" s="5"/>
      <c r="I1583" s="5"/>
      <c r="J1583" s="5"/>
    </row>
    <row r="1584" spans="1:10">
      <c r="A1584" s="5"/>
      <c r="B1584" s="5"/>
      <c r="C1584" s="5"/>
      <c r="D1584" s="5"/>
      <c r="E1584" s="5"/>
      <c r="F1584" s="5"/>
      <c r="G1584" s="5"/>
      <c r="H1584" s="5"/>
      <c r="I1584" s="5"/>
      <c r="J1584" s="5"/>
    </row>
    <row r="1585" spans="1:10">
      <c r="A1585" s="5"/>
      <c r="B1585" s="5"/>
      <c r="C1585" s="5"/>
      <c r="D1585" s="5"/>
      <c r="E1585" s="5"/>
      <c r="F1585" s="5"/>
      <c r="G1585" s="5"/>
      <c r="H1585" s="5"/>
      <c r="I1585" s="5"/>
      <c r="J1585" s="5"/>
    </row>
    <row r="1586" spans="1:10">
      <c r="A1586" s="5"/>
      <c r="B1586" s="5"/>
      <c r="C1586" s="5"/>
      <c r="D1586" s="5"/>
      <c r="E1586" s="5"/>
      <c r="F1586" s="5"/>
      <c r="G1586" s="5"/>
      <c r="H1586" s="5"/>
      <c r="I1586" s="5"/>
      <c r="J1586" s="5"/>
    </row>
    <row r="1587" spans="1:10">
      <c r="A1587" s="5"/>
      <c r="B1587" s="5"/>
      <c r="C1587" s="5"/>
      <c r="D1587" s="5"/>
      <c r="E1587" s="5"/>
      <c r="F1587" s="5"/>
      <c r="G1587" s="5"/>
      <c r="H1587" s="5"/>
      <c r="I1587" s="5"/>
      <c r="J1587" s="5"/>
    </row>
    <row r="1588" spans="1:10">
      <c r="A1588" s="5"/>
      <c r="B1588" s="5"/>
      <c r="C1588" s="5"/>
      <c r="D1588" s="5"/>
      <c r="E1588" s="5"/>
      <c r="F1588" s="5"/>
      <c r="G1588" s="5"/>
      <c r="H1588" s="5"/>
      <c r="I1588" s="5"/>
      <c r="J1588" s="5"/>
    </row>
    <row r="1589" spans="1:10">
      <c r="A1589" s="5"/>
      <c r="B1589" s="5"/>
      <c r="C1589" s="5"/>
      <c r="D1589" s="5"/>
      <c r="E1589" s="5"/>
      <c r="F1589" s="5"/>
      <c r="G1589" s="5"/>
      <c r="H1589" s="5"/>
      <c r="I1589" s="5"/>
      <c r="J1589" s="5"/>
    </row>
    <row r="1590" spans="1:10">
      <c r="A1590" s="5"/>
      <c r="B1590" s="5"/>
      <c r="C1590" s="5"/>
      <c r="D1590" s="5"/>
      <c r="E1590" s="5"/>
      <c r="F1590" s="5"/>
      <c r="G1590" s="5"/>
      <c r="H1590" s="5"/>
      <c r="I1590" s="5"/>
      <c r="J1590" s="5"/>
    </row>
    <row r="1591" spans="1:10">
      <c r="A1591" s="5"/>
      <c r="B1591" s="5"/>
      <c r="C1591" s="5"/>
      <c r="D1591" s="5"/>
      <c r="E1591" s="5"/>
      <c r="F1591" s="5"/>
      <c r="G1591" s="5"/>
      <c r="H1591" s="5"/>
      <c r="I1591" s="5"/>
      <c r="J1591" s="5"/>
    </row>
    <row r="1592" spans="1:10">
      <c r="A1592" s="5"/>
      <c r="B1592" s="5"/>
      <c r="C1592" s="5"/>
      <c r="D1592" s="5"/>
      <c r="E1592" s="5"/>
      <c r="F1592" s="5"/>
      <c r="G1592" s="5"/>
      <c r="H1592" s="5"/>
      <c r="I1592" s="5"/>
      <c r="J1592" s="5"/>
    </row>
    <row r="1593" spans="1:10">
      <c r="A1593" s="5"/>
      <c r="B1593" s="5"/>
      <c r="C1593" s="5"/>
      <c r="D1593" s="5"/>
      <c r="E1593" s="5"/>
      <c r="F1593" s="5"/>
      <c r="G1593" s="5"/>
      <c r="H1593" s="5"/>
      <c r="I1593" s="5"/>
      <c r="J1593" s="5"/>
    </row>
    <row r="1594" spans="1:10">
      <c r="A1594" s="5"/>
      <c r="B1594" s="5"/>
      <c r="C1594" s="5"/>
      <c r="D1594" s="5"/>
      <c r="E1594" s="5"/>
      <c r="F1594" s="5"/>
      <c r="G1594" s="5"/>
      <c r="H1594" s="5"/>
      <c r="I1594" s="5"/>
      <c r="J1594" s="5"/>
    </row>
    <row r="1595" spans="1:10">
      <c r="A1595" s="5"/>
      <c r="B1595" s="5"/>
      <c r="C1595" s="5"/>
      <c r="D1595" s="5"/>
      <c r="E1595" s="5"/>
      <c r="F1595" s="5"/>
      <c r="G1595" s="5"/>
      <c r="H1595" s="5"/>
      <c r="I1595" s="5"/>
      <c r="J1595" s="5"/>
    </row>
    <row r="1596" spans="1:10">
      <c r="A1596" s="5"/>
      <c r="B1596" s="5"/>
      <c r="C1596" s="5"/>
      <c r="D1596" s="5"/>
      <c r="E1596" s="5"/>
      <c r="F1596" s="5"/>
      <c r="G1596" s="5"/>
      <c r="H1596" s="5"/>
      <c r="I1596" s="5"/>
      <c r="J1596" s="5"/>
    </row>
    <row r="1597" spans="1:10">
      <c r="A1597" s="5"/>
      <c r="B1597" s="5"/>
      <c r="C1597" s="5"/>
      <c r="D1597" s="5"/>
      <c r="E1597" s="5"/>
      <c r="F1597" s="5"/>
      <c r="G1597" s="5"/>
      <c r="H1597" s="5"/>
      <c r="I1597" s="5"/>
      <c r="J1597" s="5"/>
    </row>
    <row r="1598" spans="1:10">
      <c r="A1598" s="5"/>
      <c r="B1598" s="5"/>
      <c r="C1598" s="5"/>
      <c r="D1598" s="5"/>
      <c r="E1598" s="5"/>
      <c r="F1598" s="5"/>
      <c r="G1598" s="5"/>
      <c r="H1598" s="5"/>
      <c r="I1598" s="5"/>
      <c r="J1598" s="5"/>
    </row>
    <row r="1599" spans="1:10">
      <c r="A1599" s="5"/>
      <c r="B1599" s="5"/>
      <c r="C1599" s="5"/>
      <c r="D1599" s="5"/>
      <c r="E1599" s="5"/>
      <c r="F1599" s="5"/>
      <c r="G1599" s="5"/>
      <c r="H1599" s="5"/>
      <c r="I1599" s="5"/>
      <c r="J1599" s="5"/>
    </row>
    <row r="1600" spans="1:10">
      <c r="A1600" s="5"/>
      <c r="B1600" s="5"/>
      <c r="C1600" s="5"/>
      <c r="D1600" s="5"/>
      <c r="E1600" s="5"/>
      <c r="F1600" s="5"/>
      <c r="G1600" s="5"/>
      <c r="H1600" s="5"/>
      <c r="I1600" s="5"/>
      <c r="J1600" s="5"/>
    </row>
    <row r="1601" spans="1:10">
      <c r="A1601" s="5"/>
      <c r="B1601" s="5"/>
      <c r="C1601" s="5"/>
      <c r="D1601" s="5"/>
      <c r="E1601" s="5"/>
      <c r="F1601" s="5"/>
      <c r="G1601" s="5"/>
      <c r="H1601" s="5"/>
      <c r="I1601" s="5"/>
      <c r="J1601" s="5"/>
    </row>
    <row r="1602" spans="1:10">
      <c r="A1602" s="5"/>
      <c r="B1602" s="5"/>
      <c r="C1602" s="5"/>
      <c r="D1602" s="5"/>
      <c r="E1602" s="5"/>
      <c r="F1602" s="5"/>
      <c r="G1602" s="5"/>
      <c r="H1602" s="5"/>
      <c r="I1602" s="5"/>
      <c r="J1602" s="5"/>
    </row>
    <row r="1603" spans="1:10">
      <c r="A1603" s="5"/>
      <c r="B1603" s="5"/>
      <c r="C1603" s="5"/>
      <c r="D1603" s="5"/>
      <c r="E1603" s="5"/>
      <c r="F1603" s="5"/>
      <c r="G1603" s="5"/>
      <c r="H1603" s="5"/>
      <c r="I1603" s="5"/>
      <c r="J1603" s="5"/>
    </row>
    <row r="1604" spans="1:10">
      <c r="A1604" s="5"/>
      <c r="B1604" s="5"/>
      <c r="C1604" s="5"/>
      <c r="D1604" s="5"/>
      <c r="E1604" s="5"/>
      <c r="F1604" s="5"/>
      <c r="G1604" s="5"/>
      <c r="H1604" s="5"/>
      <c r="I1604" s="5"/>
      <c r="J1604" s="5"/>
    </row>
    <row r="1605" spans="1:10">
      <c r="A1605" s="5"/>
      <c r="B1605" s="5"/>
      <c r="C1605" s="5"/>
      <c r="D1605" s="5"/>
      <c r="E1605" s="5"/>
      <c r="F1605" s="5"/>
      <c r="G1605" s="5"/>
      <c r="H1605" s="5"/>
      <c r="I1605" s="5"/>
      <c r="J1605" s="5"/>
    </row>
    <row r="1606" spans="1:10">
      <c r="A1606" s="5"/>
      <c r="B1606" s="5"/>
      <c r="C1606" s="5"/>
      <c r="D1606" s="5"/>
      <c r="E1606" s="5"/>
      <c r="F1606" s="5"/>
      <c r="G1606" s="5"/>
      <c r="H1606" s="5"/>
      <c r="I1606" s="5"/>
      <c r="J1606" s="5"/>
    </row>
    <row r="1607" spans="1:10">
      <c r="A1607" s="5"/>
      <c r="B1607" s="5"/>
      <c r="C1607" s="5"/>
      <c r="D1607" s="5"/>
      <c r="E1607" s="5"/>
      <c r="F1607" s="5"/>
      <c r="G1607" s="5"/>
      <c r="H1607" s="5"/>
      <c r="I1607" s="5"/>
      <c r="J1607" s="5"/>
    </row>
    <row r="1608" spans="1:10">
      <c r="A1608" s="5"/>
      <c r="B1608" s="5"/>
      <c r="C1608" s="5"/>
      <c r="D1608" s="5"/>
      <c r="E1608" s="5"/>
      <c r="F1608" s="5"/>
      <c r="G1608" s="5"/>
      <c r="H1608" s="5"/>
      <c r="I1608" s="5"/>
      <c r="J1608" s="5"/>
    </row>
    <row r="1609" spans="1:10">
      <c r="A1609" s="5"/>
      <c r="B1609" s="5"/>
      <c r="C1609" s="5"/>
      <c r="D1609" s="5"/>
      <c r="E1609" s="5"/>
      <c r="F1609" s="5"/>
      <c r="G1609" s="5"/>
      <c r="H1609" s="5"/>
      <c r="I1609" s="5"/>
      <c r="J1609" s="5"/>
    </row>
    <row r="1610" spans="1:10">
      <c r="A1610" s="5"/>
      <c r="B1610" s="5"/>
      <c r="C1610" s="5"/>
      <c r="D1610" s="5"/>
      <c r="E1610" s="5"/>
      <c r="F1610" s="5"/>
      <c r="G1610" s="5"/>
      <c r="H1610" s="5"/>
      <c r="I1610" s="5"/>
      <c r="J1610" s="5"/>
    </row>
    <row r="1611" spans="1:10">
      <c r="A1611" s="5"/>
      <c r="B1611" s="5"/>
      <c r="C1611" s="5"/>
      <c r="D1611" s="5"/>
      <c r="E1611" s="5"/>
      <c r="F1611" s="5"/>
      <c r="G1611" s="5"/>
      <c r="H1611" s="5"/>
      <c r="I1611" s="5"/>
      <c r="J1611" s="5"/>
    </row>
    <row r="1612" spans="1:10">
      <c r="A1612" s="5"/>
      <c r="B1612" s="5"/>
      <c r="C1612" s="5"/>
      <c r="D1612" s="5"/>
      <c r="E1612" s="5"/>
      <c r="F1612" s="5"/>
      <c r="G1612" s="5"/>
      <c r="H1612" s="5"/>
      <c r="I1612" s="5"/>
      <c r="J1612" s="5"/>
    </row>
    <row r="1613" spans="1:10">
      <c r="A1613" s="5"/>
      <c r="B1613" s="5"/>
      <c r="C1613" s="5"/>
      <c r="D1613" s="5"/>
      <c r="E1613" s="5"/>
      <c r="F1613" s="5"/>
      <c r="G1613" s="5"/>
      <c r="H1613" s="5"/>
      <c r="I1613" s="5"/>
      <c r="J1613" s="5"/>
    </row>
    <row r="1614" spans="1:10">
      <c r="A1614" s="5"/>
      <c r="B1614" s="5"/>
      <c r="C1614" s="5"/>
      <c r="D1614" s="5"/>
      <c r="E1614" s="5"/>
      <c r="F1614" s="5"/>
      <c r="G1614" s="5"/>
      <c r="H1614" s="5"/>
      <c r="I1614" s="5"/>
      <c r="J1614" s="5"/>
    </row>
    <row r="1615" spans="1:10">
      <c r="A1615" s="5"/>
      <c r="B1615" s="5"/>
      <c r="C1615" s="5"/>
      <c r="D1615" s="5"/>
      <c r="E1615" s="5"/>
      <c r="F1615" s="5"/>
      <c r="G1615" s="5"/>
      <c r="H1615" s="5"/>
      <c r="I1615" s="5"/>
      <c r="J1615" s="5"/>
    </row>
    <row r="1616" spans="1:10">
      <c r="A1616" s="5"/>
      <c r="B1616" s="5"/>
      <c r="C1616" s="5"/>
      <c r="D1616" s="5"/>
      <c r="E1616" s="5"/>
      <c r="F1616" s="5"/>
      <c r="G1616" s="5"/>
      <c r="H1616" s="5"/>
      <c r="I1616" s="5"/>
      <c r="J1616" s="5"/>
    </row>
    <row r="1617" spans="1:10">
      <c r="A1617" s="5"/>
      <c r="B1617" s="5"/>
      <c r="C1617" s="5"/>
      <c r="D1617" s="5"/>
      <c r="E1617" s="5"/>
      <c r="F1617" s="5"/>
      <c r="G1617" s="5"/>
      <c r="H1617" s="5"/>
      <c r="I1617" s="5"/>
      <c r="J1617" s="5"/>
    </row>
    <row r="1618" spans="1:10">
      <c r="A1618" s="5"/>
      <c r="B1618" s="5"/>
      <c r="C1618" s="5"/>
      <c r="D1618" s="5"/>
      <c r="E1618" s="5"/>
      <c r="F1618" s="5"/>
      <c r="G1618" s="5"/>
      <c r="H1618" s="5"/>
      <c r="I1618" s="5"/>
      <c r="J1618" s="5"/>
    </row>
    <row r="1619" spans="1:10">
      <c r="A1619" s="5"/>
      <c r="B1619" s="5"/>
      <c r="C1619" s="5"/>
      <c r="D1619" s="5"/>
      <c r="E1619" s="5"/>
      <c r="F1619" s="5"/>
      <c r="G1619" s="5"/>
      <c r="H1619" s="5"/>
      <c r="I1619" s="5"/>
      <c r="J1619" s="5"/>
    </row>
    <row r="1620" spans="1:10">
      <c r="A1620" s="5"/>
      <c r="B1620" s="5"/>
      <c r="C1620" s="5"/>
      <c r="D1620" s="5"/>
      <c r="E1620" s="5"/>
      <c r="F1620" s="5"/>
      <c r="G1620" s="5"/>
      <c r="H1620" s="5"/>
      <c r="I1620" s="5"/>
      <c r="J1620" s="5"/>
    </row>
    <row r="1621" spans="1:10">
      <c r="A1621" s="5"/>
      <c r="B1621" s="5"/>
      <c r="C1621" s="5"/>
      <c r="D1621" s="5"/>
      <c r="E1621" s="5"/>
      <c r="F1621" s="5"/>
      <c r="G1621" s="5"/>
      <c r="H1621" s="5"/>
      <c r="I1621" s="5"/>
      <c r="J1621" s="5"/>
    </row>
    <row r="1622" spans="1:10">
      <c r="A1622" s="5"/>
      <c r="B1622" s="5"/>
      <c r="C1622" s="5"/>
      <c r="D1622" s="5"/>
      <c r="E1622" s="5"/>
      <c r="F1622" s="5"/>
      <c r="G1622" s="5"/>
      <c r="H1622" s="5"/>
      <c r="I1622" s="5"/>
      <c r="J1622" s="5"/>
    </row>
    <row r="1623" spans="1:10">
      <c r="A1623" s="5"/>
      <c r="B1623" s="5"/>
      <c r="C1623" s="5"/>
      <c r="D1623" s="5"/>
      <c r="E1623" s="5"/>
      <c r="F1623" s="5"/>
      <c r="G1623" s="5"/>
      <c r="H1623" s="5"/>
      <c r="I1623" s="5"/>
      <c r="J1623" s="5"/>
    </row>
    <row r="1624" spans="1:10">
      <c r="A1624" s="5"/>
      <c r="B1624" s="5"/>
      <c r="C1624" s="5"/>
      <c r="D1624" s="5"/>
      <c r="E1624" s="5"/>
      <c r="F1624" s="5"/>
      <c r="G1624" s="5"/>
      <c r="H1624" s="5"/>
      <c r="I1624" s="5"/>
      <c r="J1624" s="5"/>
    </row>
    <row r="1625" spans="1:10">
      <c r="A1625" s="5"/>
      <c r="B1625" s="5"/>
      <c r="C1625" s="5"/>
      <c r="D1625" s="5"/>
      <c r="E1625" s="5"/>
      <c r="F1625" s="5"/>
      <c r="G1625" s="5"/>
      <c r="H1625" s="5"/>
      <c r="I1625" s="5"/>
      <c r="J1625" s="5"/>
    </row>
    <row r="1626" spans="1:10">
      <c r="A1626" s="5"/>
      <c r="B1626" s="5"/>
      <c r="C1626" s="5"/>
      <c r="D1626" s="5"/>
      <c r="E1626" s="5"/>
      <c r="F1626" s="5"/>
      <c r="G1626" s="5"/>
      <c r="H1626" s="5"/>
      <c r="I1626" s="5"/>
      <c r="J1626" s="5"/>
    </row>
    <row r="1627" spans="1:10">
      <c r="A1627" s="5"/>
      <c r="B1627" s="5"/>
      <c r="C1627" s="5"/>
      <c r="D1627" s="5"/>
      <c r="E1627" s="5"/>
      <c r="F1627" s="5"/>
      <c r="G1627" s="5"/>
      <c r="H1627" s="5"/>
      <c r="I1627" s="5"/>
      <c r="J1627" s="5"/>
    </row>
    <row r="1628" spans="1:10">
      <c r="A1628" s="5"/>
      <c r="B1628" s="5"/>
      <c r="C1628" s="5"/>
      <c r="D1628" s="5"/>
      <c r="E1628" s="5"/>
      <c r="F1628" s="5"/>
      <c r="G1628" s="5"/>
      <c r="H1628" s="5"/>
      <c r="I1628" s="5"/>
      <c r="J1628" s="5"/>
    </row>
    <row r="1629" spans="1:10">
      <c r="A1629" s="5"/>
      <c r="B1629" s="5"/>
      <c r="C1629" s="5"/>
      <c r="D1629" s="5"/>
      <c r="E1629" s="5"/>
      <c r="F1629" s="5"/>
      <c r="G1629" s="5"/>
      <c r="H1629" s="5"/>
      <c r="I1629" s="5"/>
      <c r="J1629" s="5"/>
    </row>
    <row r="1630" spans="1:10">
      <c r="A1630" s="5"/>
      <c r="B1630" s="5"/>
      <c r="C1630" s="5"/>
      <c r="D1630" s="5"/>
      <c r="E1630" s="5"/>
      <c r="F1630" s="5"/>
      <c r="G1630" s="5"/>
      <c r="H1630" s="5"/>
      <c r="I1630" s="5"/>
      <c r="J1630" s="5"/>
    </row>
    <row r="1631" spans="1:10">
      <c r="A1631" s="5"/>
      <c r="B1631" s="5"/>
      <c r="C1631" s="5"/>
      <c r="D1631" s="5"/>
      <c r="E1631" s="5"/>
      <c r="F1631" s="5"/>
      <c r="G1631" s="5"/>
      <c r="H1631" s="5"/>
      <c r="I1631" s="5"/>
      <c r="J1631" s="5"/>
    </row>
    <row r="1632" spans="1:10">
      <c r="A1632" s="5"/>
      <c r="B1632" s="5"/>
      <c r="C1632" s="5"/>
      <c r="D1632" s="5"/>
      <c r="E1632" s="5"/>
      <c r="F1632" s="5"/>
      <c r="G1632" s="5"/>
      <c r="H1632" s="5"/>
      <c r="I1632" s="5"/>
      <c r="J1632" s="5"/>
    </row>
    <row r="1633" spans="1:10">
      <c r="A1633" s="5"/>
      <c r="B1633" s="5"/>
      <c r="C1633" s="5"/>
      <c r="D1633" s="5"/>
      <c r="E1633" s="5"/>
      <c r="F1633" s="5"/>
      <c r="G1633" s="5"/>
      <c r="H1633" s="5"/>
      <c r="I1633" s="5"/>
      <c r="J1633" s="5"/>
    </row>
    <row r="1634" spans="1:10">
      <c r="A1634" s="5"/>
      <c r="B1634" s="5"/>
      <c r="C1634" s="5"/>
      <c r="D1634" s="5"/>
      <c r="E1634" s="5"/>
      <c r="F1634" s="5"/>
      <c r="G1634" s="5"/>
      <c r="H1634" s="5"/>
      <c r="I1634" s="5"/>
      <c r="J1634" s="5"/>
    </row>
    <row r="1635" spans="1:10">
      <c r="A1635" s="5"/>
      <c r="B1635" s="5"/>
      <c r="C1635" s="5"/>
      <c r="D1635" s="5"/>
      <c r="E1635" s="5"/>
      <c r="F1635" s="5"/>
      <c r="G1635" s="5"/>
      <c r="H1635" s="5"/>
      <c r="I1635" s="5"/>
      <c r="J1635" s="5"/>
    </row>
    <row r="1636" spans="1:10">
      <c r="A1636" s="5"/>
      <c r="B1636" s="5"/>
      <c r="C1636" s="5"/>
      <c r="D1636" s="5"/>
      <c r="E1636" s="5"/>
      <c r="F1636" s="5"/>
      <c r="G1636" s="5"/>
      <c r="H1636" s="5"/>
      <c r="I1636" s="5"/>
      <c r="J1636" s="5"/>
    </row>
    <row r="1637" spans="1:10">
      <c r="A1637" s="5"/>
      <c r="B1637" s="5"/>
      <c r="C1637" s="5"/>
      <c r="D1637" s="5"/>
      <c r="E1637" s="5"/>
      <c r="F1637" s="5"/>
      <c r="G1637" s="5"/>
      <c r="H1637" s="5"/>
      <c r="I1637" s="5"/>
      <c r="J1637" s="5"/>
    </row>
    <row r="1638" spans="1:10">
      <c r="A1638" s="5"/>
      <c r="B1638" s="5"/>
      <c r="C1638" s="5"/>
      <c r="D1638" s="5"/>
      <c r="E1638" s="5"/>
      <c r="F1638" s="5"/>
      <c r="G1638" s="5"/>
      <c r="H1638" s="5"/>
      <c r="I1638" s="5"/>
      <c r="J1638" s="5"/>
    </row>
    <row r="1639" spans="1:10">
      <c r="A1639" s="5"/>
      <c r="B1639" s="5"/>
      <c r="C1639" s="5"/>
      <c r="D1639" s="5"/>
      <c r="E1639" s="5"/>
      <c r="F1639" s="5"/>
      <c r="G1639" s="5"/>
      <c r="H1639" s="5"/>
      <c r="I1639" s="5"/>
      <c r="J1639" s="5"/>
    </row>
    <row r="1640" spans="1:10">
      <c r="A1640" s="5"/>
      <c r="B1640" s="5"/>
      <c r="C1640" s="5"/>
      <c r="D1640" s="5"/>
      <c r="E1640" s="5"/>
      <c r="F1640" s="5"/>
      <c r="G1640" s="5"/>
      <c r="H1640" s="5"/>
      <c r="I1640" s="5"/>
      <c r="J1640" s="5"/>
    </row>
    <row r="1641" spans="1:10">
      <c r="A1641" s="5"/>
      <c r="B1641" s="5"/>
      <c r="C1641" s="5"/>
      <c r="D1641" s="5"/>
      <c r="E1641" s="5"/>
      <c r="F1641" s="5"/>
      <c r="G1641" s="5"/>
      <c r="H1641" s="5"/>
      <c r="I1641" s="5"/>
      <c r="J1641" s="5"/>
    </row>
    <row r="1642" spans="1:10">
      <c r="A1642" s="5"/>
      <c r="B1642" s="5"/>
      <c r="C1642" s="5"/>
      <c r="D1642" s="5"/>
      <c r="E1642" s="5"/>
      <c r="F1642" s="5"/>
      <c r="G1642" s="5"/>
      <c r="H1642" s="5"/>
      <c r="I1642" s="5"/>
      <c r="J1642" s="5"/>
    </row>
    <row r="1643" spans="1:10">
      <c r="A1643" s="5"/>
      <c r="B1643" s="5"/>
      <c r="C1643" s="5"/>
      <c r="D1643" s="5"/>
      <c r="E1643" s="5"/>
      <c r="F1643" s="5"/>
      <c r="G1643" s="5"/>
      <c r="H1643" s="5"/>
      <c r="I1643" s="5"/>
      <c r="J1643" s="5"/>
    </row>
    <row r="1644" spans="1:10">
      <c r="A1644" s="5"/>
      <c r="B1644" s="5"/>
      <c r="C1644" s="5"/>
      <c r="D1644" s="5"/>
      <c r="E1644" s="5"/>
      <c r="F1644" s="5"/>
      <c r="G1644" s="5"/>
      <c r="H1644" s="5"/>
      <c r="I1644" s="5"/>
      <c r="J1644" s="5"/>
    </row>
    <row r="1645" spans="1:10">
      <c r="A1645" s="5"/>
      <c r="B1645" s="5"/>
      <c r="C1645" s="5"/>
      <c r="D1645" s="5"/>
      <c r="E1645" s="5"/>
      <c r="F1645" s="5"/>
      <c r="G1645" s="5"/>
      <c r="H1645" s="5"/>
      <c r="I1645" s="5"/>
      <c r="J1645" s="5"/>
    </row>
    <row r="1646" spans="1:10">
      <c r="A1646" s="5"/>
      <c r="B1646" s="5"/>
      <c r="C1646" s="5"/>
      <c r="D1646" s="5"/>
      <c r="E1646" s="5"/>
      <c r="F1646" s="5"/>
      <c r="G1646" s="5"/>
      <c r="H1646" s="5"/>
      <c r="I1646" s="5"/>
      <c r="J1646" s="5"/>
    </row>
    <row r="1647" spans="1:10">
      <c r="A1647" s="5"/>
      <c r="B1647" s="5"/>
      <c r="C1647" s="5"/>
      <c r="D1647" s="5"/>
      <c r="E1647" s="5"/>
      <c r="F1647" s="5"/>
      <c r="G1647" s="5"/>
      <c r="H1647" s="5"/>
      <c r="I1647" s="5"/>
      <c r="J1647" s="5"/>
    </row>
    <row r="1648" spans="1:10">
      <c r="A1648" s="5"/>
      <c r="B1648" s="5"/>
      <c r="C1648" s="5"/>
      <c r="D1648" s="5"/>
      <c r="E1648" s="5"/>
      <c r="F1648" s="5"/>
      <c r="G1648" s="5"/>
      <c r="H1648" s="5"/>
      <c r="I1648" s="5"/>
      <c r="J1648" s="5"/>
    </row>
    <row r="1649" spans="1:10">
      <c r="A1649" s="5"/>
      <c r="B1649" s="5"/>
      <c r="C1649" s="5"/>
      <c r="D1649" s="5"/>
      <c r="E1649" s="5"/>
      <c r="F1649" s="5"/>
      <c r="G1649" s="5"/>
      <c r="H1649" s="5"/>
      <c r="I1649" s="5"/>
      <c r="J1649" s="5"/>
    </row>
    <row r="1650" spans="1:10">
      <c r="A1650" s="5"/>
      <c r="B1650" s="5"/>
      <c r="C1650" s="5"/>
      <c r="D1650" s="5"/>
      <c r="E1650" s="5"/>
      <c r="F1650" s="5"/>
      <c r="G1650" s="5"/>
      <c r="H1650" s="5"/>
      <c r="I1650" s="5"/>
      <c r="J1650" s="5"/>
    </row>
    <row r="1651" spans="1:10">
      <c r="A1651" s="5"/>
      <c r="B1651" s="5"/>
      <c r="C1651" s="5"/>
      <c r="D1651" s="5"/>
      <c r="E1651" s="5"/>
      <c r="F1651" s="5"/>
      <c r="G1651" s="5"/>
      <c r="H1651" s="5"/>
      <c r="I1651" s="5"/>
      <c r="J1651" s="5"/>
    </row>
    <row r="1652" spans="1:10">
      <c r="A1652" s="5"/>
      <c r="B1652" s="5"/>
      <c r="C1652" s="5"/>
      <c r="D1652" s="5"/>
      <c r="E1652" s="5"/>
      <c r="F1652" s="5"/>
      <c r="G1652" s="5"/>
      <c r="H1652" s="5"/>
      <c r="I1652" s="5"/>
      <c r="J1652" s="5"/>
    </row>
    <row r="1653" spans="1:10">
      <c r="A1653" s="5"/>
      <c r="B1653" s="5"/>
      <c r="C1653" s="5"/>
      <c r="D1653" s="5"/>
      <c r="E1653" s="5"/>
      <c r="F1653" s="5"/>
      <c r="G1653" s="5"/>
      <c r="H1653" s="5"/>
      <c r="I1653" s="5"/>
      <c r="J1653" s="5"/>
    </row>
    <row r="1654" spans="1:10">
      <c r="A1654" s="5"/>
      <c r="B1654" s="5"/>
      <c r="C1654" s="5"/>
      <c r="D1654" s="5"/>
      <c r="E1654" s="5"/>
      <c r="F1654" s="5"/>
      <c r="G1654" s="5"/>
      <c r="H1654" s="5"/>
      <c r="I1654" s="5"/>
      <c r="J1654" s="5"/>
    </row>
    <row r="1655" spans="1:10">
      <c r="A1655" s="5"/>
      <c r="B1655" s="5"/>
      <c r="C1655" s="5"/>
      <c r="D1655" s="5"/>
      <c r="E1655" s="5"/>
      <c r="F1655" s="5"/>
      <c r="G1655" s="5"/>
      <c r="H1655" s="5"/>
      <c r="I1655" s="5"/>
      <c r="J1655" s="5"/>
    </row>
    <row r="1656" spans="1:10">
      <c r="A1656" s="5"/>
      <c r="B1656" s="5"/>
      <c r="C1656" s="5"/>
      <c r="D1656" s="5"/>
      <c r="E1656" s="5"/>
      <c r="F1656" s="5"/>
      <c r="G1656" s="5"/>
      <c r="H1656" s="5"/>
      <c r="I1656" s="5"/>
      <c r="J1656" s="5"/>
    </row>
    <row r="1657" spans="1:10">
      <c r="A1657" s="5"/>
      <c r="B1657" s="5"/>
      <c r="C1657" s="5"/>
      <c r="D1657" s="5"/>
      <c r="E1657" s="5"/>
      <c r="F1657" s="5"/>
      <c r="G1657" s="5"/>
      <c r="H1657" s="5"/>
      <c r="I1657" s="5"/>
      <c r="J1657" s="5"/>
    </row>
    <row r="1658" spans="1:10">
      <c r="A1658" s="5"/>
      <c r="B1658" s="5"/>
      <c r="C1658" s="5"/>
      <c r="D1658" s="5"/>
      <c r="E1658" s="5"/>
      <c r="F1658" s="5"/>
      <c r="G1658" s="5"/>
      <c r="H1658" s="5"/>
      <c r="I1658" s="5"/>
      <c r="J1658" s="5"/>
    </row>
    <row r="1659" spans="1:10">
      <c r="A1659" s="5"/>
      <c r="B1659" s="5"/>
      <c r="C1659" s="5"/>
      <c r="D1659" s="5"/>
      <c r="E1659" s="5"/>
      <c r="F1659" s="5"/>
      <c r="G1659" s="5"/>
      <c r="H1659" s="5"/>
      <c r="I1659" s="5"/>
      <c r="J1659" s="5"/>
    </row>
    <row r="1660" spans="1:10">
      <c r="A1660" s="5"/>
      <c r="B1660" s="5"/>
      <c r="C1660" s="5"/>
      <c r="D1660" s="5"/>
      <c r="E1660" s="5"/>
      <c r="F1660" s="5"/>
      <c r="G1660" s="5"/>
      <c r="H1660" s="5"/>
      <c r="I1660" s="5"/>
      <c r="J1660" s="5"/>
    </row>
    <row r="1661" spans="1:10">
      <c r="A1661" s="5"/>
      <c r="B1661" s="5"/>
      <c r="C1661" s="5"/>
      <c r="D1661" s="5"/>
      <c r="E1661" s="5"/>
      <c r="F1661" s="5"/>
      <c r="G1661" s="5"/>
      <c r="H1661" s="5"/>
      <c r="I1661" s="5"/>
      <c r="J1661" s="5"/>
    </row>
    <row r="1662" spans="1:10">
      <c r="A1662" s="5"/>
      <c r="B1662" s="5"/>
      <c r="C1662" s="5"/>
      <c r="D1662" s="5"/>
      <c r="E1662" s="5"/>
      <c r="F1662" s="5"/>
      <c r="G1662" s="5"/>
      <c r="H1662" s="5"/>
      <c r="I1662" s="5"/>
      <c r="J1662" s="5"/>
    </row>
    <row r="1663" spans="1:10">
      <c r="A1663" s="5"/>
      <c r="B1663" s="5"/>
      <c r="C1663" s="5"/>
      <c r="D1663" s="5"/>
      <c r="E1663" s="5"/>
      <c r="F1663" s="5"/>
      <c r="G1663" s="5"/>
      <c r="H1663" s="5"/>
      <c r="I1663" s="5"/>
      <c r="J1663" s="5"/>
    </row>
    <row r="1664" spans="1:10">
      <c r="A1664" s="5"/>
      <c r="B1664" s="5"/>
      <c r="C1664" s="5"/>
      <c r="D1664" s="5"/>
      <c r="E1664" s="5"/>
      <c r="F1664" s="5"/>
      <c r="G1664" s="5"/>
      <c r="H1664" s="5"/>
      <c r="I1664" s="5"/>
      <c r="J1664" s="5"/>
    </row>
    <row r="1665" spans="1:10">
      <c r="A1665" s="5"/>
      <c r="B1665" s="5"/>
      <c r="C1665" s="5"/>
      <c r="D1665" s="5"/>
      <c r="E1665" s="5"/>
      <c r="F1665" s="5"/>
      <c r="G1665" s="5"/>
      <c r="H1665" s="5"/>
      <c r="I1665" s="5"/>
      <c r="J1665" s="5"/>
    </row>
    <row r="1666" spans="1:10">
      <c r="A1666" s="5"/>
      <c r="B1666" s="5"/>
      <c r="C1666" s="5"/>
      <c r="D1666" s="5"/>
      <c r="E1666" s="5"/>
      <c r="F1666" s="5"/>
      <c r="G1666" s="5"/>
      <c r="H1666" s="5"/>
      <c r="I1666" s="5"/>
      <c r="J1666" s="5"/>
    </row>
    <row r="1667" spans="1:10">
      <c r="A1667" s="5"/>
      <c r="B1667" s="5"/>
      <c r="C1667" s="5"/>
      <c r="D1667" s="5"/>
      <c r="E1667" s="5"/>
      <c r="F1667" s="5"/>
      <c r="G1667" s="5"/>
      <c r="H1667" s="5"/>
      <c r="I1667" s="5"/>
      <c r="J1667" s="5"/>
    </row>
    <row r="1668" spans="1:10">
      <c r="A1668" s="5"/>
      <c r="B1668" s="5"/>
      <c r="C1668" s="5"/>
      <c r="D1668" s="5"/>
      <c r="E1668" s="5"/>
      <c r="F1668" s="5"/>
      <c r="G1668" s="5"/>
      <c r="H1668" s="5"/>
      <c r="I1668" s="5"/>
      <c r="J1668" s="5"/>
    </row>
    <row r="1669" spans="1:10">
      <c r="A1669" s="5"/>
      <c r="B1669" s="5"/>
      <c r="C1669" s="5"/>
      <c r="D1669" s="5"/>
      <c r="E1669" s="5"/>
      <c r="F1669" s="5"/>
      <c r="G1669" s="5"/>
      <c r="H1669" s="5"/>
      <c r="I1669" s="5"/>
      <c r="J1669" s="5"/>
    </row>
    <row r="1670" spans="1:10">
      <c r="A1670" s="5"/>
      <c r="B1670" s="5"/>
      <c r="C1670" s="5"/>
      <c r="D1670" s="5"/>
      <c r="E1670" s="5"/>
      <c r="F1670" s="5"/>
      <c r="G1670" s="5"/>
      <c r="H1670" s="5"/>
      <c r="I1670" s="5"/>
      <c r="J1670" s="5"/>
    </row>
    <row r="1671" spans="1:10">
      <c r="A1671" s="5"/>
      <c r="B1671" s="5"/>
      <c r="C1671" s="5"/>
      <c r="D1671" s="5"/>
      <c r="E1671" s="5"/>
      <c r="F1671" s="5"/>
      <c r="G1671" s="5"/>
      <c r="H1671" s="5"/>
      <c r="I1671" s="5"/>
      <c r="J1671" s="5"/>
    </row>
    <row r="1672" spans="1:10">
      <c r="A1672" s="5"/>
      <c r="B1672" s="5"/>
      <c r="C1672" s="5"/>
      <c r="D1672" s="5"/>
      <c r="E1672" s="5"/>
      <c r="F1672" s="5"/>
      <c r="G1672" s="5"/>
      <c r="H1672" s="5"/>
      <c r="I1672" s="5"/>
      <c r="J1672" s="5"/>
    </row>
    <row r="1673" spans="1:10">
      <c r="A1673" s="5"/>
      <c r="B1673" s="5"/>
      <c r="C1673" s="5"/>
      <c r="D1673" s="5"/>
      <c r="E1673" s="5"/>
      <c r="F1673" s="5"/>
      <c r="G1673" s="5"/>
      <c r="H1673" s="5"/>
      <c r="I1673" s="5"/>
      <c r="J1673" s="5"/>
    </row>
    <row r="1674" spans="1:10">
      <c r="A1674" s="5"/>
      <c r="B1674" s="5"/>
      <c r="C1674" s="5"/>
      <c r="D1674" s="5"/>
      <c r="E1674" s="5"/>
      <c r="F1674" s="5"/>
      <c r="G1674" s="5"/>
      <c r="H1674" s="5"/>
      <c r="I1674" s="5"/>
      <c r="J1674" s="5"/>
    </row>
    <row r="1675" spans="1:10">
      <c r="A1675" s="5"/>
      <c r="B1675" s="5"/>
      <c r="C1675" s="5"/>
      <c r="D1675" s="5"/>
      <c r="E1675" s="5"/>
      <c r="F1675" s="5"/>
      <c r="G1675" s="5"/>
      <c r="H1675" s="5"/>
      <c r="I1675" s="5"/>
      <c r="J1675" s="5"/>
    </row>
    <row r="1676" spans="1:10">
      <c r="A1676" s="5"/>
      <c r="B1676" s="5"/>
      <c r="C1676" s="5"/>
      <c r="D1676" s="5"/>
      <c r="E1676" s="5"/>
      <c r="F1676" s="5"/>
      <c r="G1676" s="5"/>
      <c r="H1676" s="5"/>
      <c r="I1676" s="5"/>
      <c r="J1676" s="5"/>
    </row>
    <row r="1677" spans="1:10">
      <c r="A1677" s="5"/>
      <c r="B1677" s="5"/>
      <c r="C1677" s="5"/>
      <c r="D1677" s="5"/>
      <c r="E1677" s="5"/>
      <c r="F1677" s="5"/>
      <c r="G1677" s="5"/>
      <c r="H1677" s="5"/>
      <c r="I1677" s="5"/>
      <c r="J1677" s="5"/>
    </row>
    <row r="1678" spans="1:10">
      <c r="A1678" s="5"/>
      <c r="B1678" s="5"/>
      <c r="C1678" s="5"/>
      <c r="D1678" s="5"/>
      <c r="E1678" s="5"/>
      <c r="F1678" s="5"/>
      <c r="G1678" s="5"/>
      <c r="H1678" s="5"/>
      <c r="I1678" s="5"/>
      <c r="J1678" s="5"/>
    </row>
    <row r="1679" spans="1:10">
      <c r="A1679" s="5"/>
      <c r="B1679" s="5"/>
      <c r="C1679" s="5"/>
      <c r="D1679" s="5"/>
      <c r="E1679" s="5"/>
      <c r="F1679" s="5"/>
      <c r="G1679" s="5"/>
      <c r="H1679" s="5"/>
      <c r="I1679" s="5"/>
      <c r="J1679" s="5"/>
    </row>
    <row r="1680" spans="1:10">
      <c r="A1680" s="5"/>
      <c r="B1680" s="5"/>
      <c r="C1680" s="5"/>
      <c r="D1680" s="5"/>
      <c r="E1680" s="5"/>
      <c r="F1680" s="5"/>
      <c r="G1680" s="5"/>
      <c r="H1680" s="5"/>
      <c r="I1680" s="5"/>
      <c r="J1680" s="5"/>
    </row>
    <row r="1681" spans="1:10">
      <c r="A1681" s="5"/>
      <c r="B1681" s="5"/>
      <c r="C1681" s="5"/>
      <c r="D1681" s="5"/>
      <c r="E1681" s="5"/>
      <c r="F1681" s="5"/>
      <c r="G1681" s="5"/>
      <c r="H1681" s="5"/>
      <c r="I1681" s="5"/>
      <c r="J1681" s="5"/>
    </row>
    <row r="1682" spans="1:10">
      <c r="A1682" s="5"/>
      <c r="B1682" s="5"/>
      <c r="C1682" s="5"/>
      <c r="D1682" s="5"/>
      <c r="E1682" s="5"/>
      <c r="F1682" s="5"/>
      <c r="G1682" s="5"/>
      <c r="H1682" s="5"/>
      <c r="I1682" s="5"/>
      <c r="J1682" s="5"/>
    </row>
    <row r="1683" spans="1:10">
      <c r="A1683" s="5"/>
      <c r="B1683" s="5"/>
      <c r="C1683" s="5"/>
      <c r="D1683" s="5"/>
      <c r="E1683" s="5"/>
      <c r="F1683" s="5"/>
      <c r="G1683" s="5"/>
      <c r="H1683" s="5"/>
      <c r="I1683" s="5"/>
      <c r="J1683" s="5"/>
    </row>
    <row r="1684" spans="1:10">
      <c r="A1684" s="5"/>
      <c r="B1684" s="5"/>
      <c r="C1684" s="5"/>
      <c r="D1684" s="5"/>
      <c r="E1684" s="5"/>
      <c r="F1684" s="5"/>
      <c r="G1684" s="5"/>
      <c r="H1684" s="5"/>
      <c r="I1684" s="5"/>
      <c r="J1684" s="5"/>
    </row>
    <row r="1685" spans="1:10">
      <c r="A1685" s="5"/>
      <c r="B1685" s="5"/>
      <c r="C1685" s="5"/>
      <c r="D1685" s="5"/>
      <c r="E1685" s="5"/>
      <c r="F1685" s="5"/>
      <c r="G1685" s="5"/>
      <c r="H1685" s="5"/>
      <c r="I1685" s="5"/>
      <c r="J1685" s="5"/>
    </row>
    <row r="1686" spans="1:10">
      <c r="A1686" s="5"/>
      <c r="B1686" s="5"/>
      <c r="C1686" s="5"/>
      <c r="D1686" s="5"/>
      <c r="E1686" s="5"/>
      <c r="F1686" s="5"/>
      <c r="G1686" s="5"/>
      <c r="H1686" s="5"/>
      <c r="I1686" s="5"/>
      <c r="J1686" s="5"/>
    </row>
    <row r="1687" spans="1:10">
      <c r="A1687" s="5"/>
      <c r="B1687" s="5"/>
      <c r="C1687" s="5"/>
      <c r="D1687" s="5"/>
      <c r="E1687" s="5"/>
      <c r="F1687" s="5"/>
      <c r="G1687" s="5"/>
      <c r="H1687" s="5"/>
      <c r="I1687" s="5"/>
      <c r="J1687" s="5"/>
    </row>
    <row r="1688" spans="1:10">
      <c r="A1688" s="5"/>
      <c r="B1688" s="5"/>
      <c r="C1688" s="5"/>
      <c r="D1688" s="5"/>
      <c r="E1688" s="5"/>
      <c r="F1688" s="5"/>
      <c r="G1688" s="5"/>
      <c r="H1688" s="5"/>
      <c r="I1688" s="5"/>
      <c r="J1688" s="5"/>
    </row>
    <row r="1689" spans="1:10">
      <c r="A1689" s="5"/>
      <c r="B1689" s="5"/>
      <c r="C1689" s="5"/>
      <c r="D1689" s="5"/>
      <c r="E1689" s="5"/>
      <c r="F1689" s="5"/>
      <c r="G1689" s="5"/>
      <c r="H1689" s="5"/>
      <c r="I1689" s="5"/>
      <c r="J1689" s="5"/>
    </row>
    <row r="1690" spans="1:10">
      <c r="A1690" s="5"/>
      <c r="B1690" s="5"/>
      <c r="C1690" s="5"/>
      <c r="D1690" s="5"/>
      <c r="E1690" s="5"/>
      <c r="F1690" s="5"/>
      <c r="G1690" s="5"/>
      <c r="H1690" s="5"/>
      <c r="I1690" s="5"/>
      <c r="J1690" s="5"/>
    </row>
    <row r="1691" spans="1:10">
      <c r="A1691" s="5"/>
      <c r="B1691" s="5"/>
      <c r="C1691" s="5"/>
      <c r="D1691" s="5"/>
      <c r="E1691" s="5"/>
      <c r="F1691" s="5"/>
      <c r="G1691" s="5"/>
      <c r="H1691" s="5"/>
      <c r="I1691" s="5"/>
      <c r="J1691" s="5"/>
    </row>
    <row r="1692" spans="1:10">
      <c r="A1692" s="5"/>
      <c r="B1692" s="5"/>
      <c r="C1692" s="5"/>
      <c r="D1692" s="5"/>
      <c r="E1692" s="5"/>
      <c r="F1692" s="5"/>
      <c r="G1692" s="5"/>
      <c r="H1692" s="5"/>
      <c r="I1692" s="5"/>
      <c r="J1692" s="5"/>
    </row>
    <row r="1693" spans="1:10">
      <c r="A1693" s="5"/>
      <c r="B1693" s="5"/>
      <c r="C1693" s="5"/>
      <c r="D1693" s="5"/>
      <c r="E1693" s="5"/>
      <c r="F1693" s="5"/>
      <c r="G1693" s="5"/>
      <c r="H1693" s="5"/>
      <c r="I1693" s="5"/>
      <c r="J1693" s="5"/>
    </row>
    <row r="1694" spans="1:10">
      <c r="A1694" s="5"/>
      <c r="B1694" s="5"/>
      <c r="C1694" s="5"/>
      <c r="D1694" s="5"/>
      <c r="E1694" s="5"/>
      <c r="F1694" s="5"/>
      <c r="G1694" s="5"/>
      <c r="H1694" s="5"/>
      <c r="I1694" s="5"/>
      <c r="J1694" s="5"/>
    </row>
    <row r="1695" spans="1:10">
      <c r="A1695" s="5"/>
      <c r="B1695" s="5"/>
      <c r="C1695" s="5"/>
      <c r="D1695" s="5"/>
      <c r="E1695" s="5"/>
      <c r="F1695" s="5"/>
      <c r="G1695" s="5"/>
      <c r="H1695" s="5"/>
      <c r="I1695" s="5"/>
      <c r="J1695" s="5"/>
    </row>
    <row r="1696" spans="1:10">
      <c r="A1696" s="5"/>
      <c r="B1696" s="5"/>
      <c r="C1696" s="5"/>
      <c r="D1696" s="5"/>
      <c r="E1696" s="5"/>
      <c r="F1696" s="5"/>
      <c r="G1696" s="5"/>
      <c r="H1696" s="5"/>
      <c r="I1696" s="5"/>
      <c r="J1696" s="5"/>
    </row>
    <row r="1697" spans="1:10">
      <c r="A1697" s="5"/>
      <c r="B1697" s="5"/>
      <c r="C1697" s="5"/>
      <c r="D1697" s="5"/>
      <c r="E1697" s="5"/>
      <c r="F1697" s="5"/>
      <c r="G1697" s="5"/>
      <c r="H1697" s="5"/>
      <c r="I1697" s="5"/>
      <c r="J1697" s="5"/>
    </row>
    <row r="1698" spans="1:10">
      <c r="A1698" s="5"/>
      <c r="B1698" s="5"/>
      <c r="C1698" s="5"/>
      <c r="D1698" s="5"/>
      <c r="E1698" s="5"/>
      <c r="F1698" s="5"/>
      <c r="G1698" s="5"/>
      <c r="H1698" s="5"/>
      <c r="I1698" s="5"/>
      <c r="J1698" s="5"/>
    </row>
    <row r="1699" spans="1:10">
      <c r="A1699" s="5"/>
      <c r="B1699" s="5"/>
      <c r="C1699" s="5"/>
      <c r="D1699" s="5"/>
      <c r="E1699" s="5"/>
      <c r="F1699" s="5"/>
      <c r="G1699" s="5"/>
      <c r="H1699" s="5"/>
      <c r="I1699" s="5"/>
      <c r="J1699" s="5"/>
    </row>
    <row r="1700" spans="1:10">
      <c r="A1700" s="5"/>
      <c r="B1700" s="5"/>
      <c r="C1700" s="5"/>
      <c r="D1700" s="5"/>
      <c r="E1700" s="5"/>
      <c r="F1700" s="5"/>
      <c r="G1700" s="5"/>
      <c r="H1700" s="5"/>
      <c r="I1700" s="5"/>
      <c r="J1700" s="5"/>
    </row>
    <row r="1701" spans="1:10">
      <c r="A1701" s="5"/>
      <c r="B1701" s="5"/>
      <c r="C1701" s="5"/>
      <c r="D1701" s="5"/>
      <c r="E1701" s="5"/>
      <c r="F1701" s="5"/>
      <c r="G1701" s="5"/>
      <c r="H1701" s="5"/>
      <c r="I1701" s="5"/>
      <c r="J1701" s="5"/>
    </row>
    <row r="1702" spans="1:10">
      <c r="A1702" s="5"/>
      <c r="B1702" s="5"/>
      <c r="C1702" s="5"/>
      <c r="D1702" s="5"/>
      <c r="E1702" s="5"/>
      <c r="F1702" s="5"/>
      <c r="G1702" s="5"/>
      <c r="H1702" s="5"/>
      <c r="I1702" s="5"/>
      <c r="J1702" s="5"/>
    </row>
    <row r="1703" spans="1:10">
      <c r="A1703" s="5"/>
      <c r="B1703" s="5"/>
      <c r="C1703" s="5"/>
      <c r="D1703" s="5"/>
      <c r="E1703" s="5"/>
      <c r="F1703" s="5"/>
      <c r="G1703" s="5"/>
      <c r="H1703" s="5"/>
      <c r="I1703" s="5"/>
      <c r="J1703" s="5"/>
    </row>
    <row r="1704" spans="1:10">
      <c r="A1704" s="5"/>
      <c r="B1704" s="5"/>
      <c r="C1704" s="5"/>
      <c r="D1704" s="5"/>
      <c r="E1704" s="5"/>
      <c r="F1704" s="5"/>
      <c r="G1704" s="5"/>
      <c r="H1704" s="5"/>
      <c r="I1704" s="5"/>
      <c r="J1704" s="5"/>
    </row>
    <row r="1705" spans="1:10">
      <c r="A1705" s="5"/>
      <c r="B1705" s="5"/>
      <c r="C1705" s="5"/>
      <c r="D1705" s="5"/>
      <c r="E1705" s="5"/>
      <c r="F1705" s="5"/>
      <c r="G1705" s="5"/>
      <c r="H1705" s="5"/>
      <c r="I1705" s="5"/>
      <c r="J1705" s="5"/>
    </row>
    <row r="1706" spans="1:10">
      <c r="A1706" s="5"/>
      <c r="B1706" s="5"/>
      <c r="C1706" s="5"/>
      <c r="D1706" s="5"/>
      <c r="E1706" s="5"/>
      <c r="F1706" s="5"/>
      <c r="G1706" s="5"/>
      <c r="H1706" s="5"/>
      <c r="I1706" s="5"/>
      <c r="J1706" s="5"/>
    </row>
    <row r="1707" spans="1:10">
      <c r="A1707" s="5"/>
      <c r="B1707" s="5"/>
      <c r="C1707" s="5"/>
      <c r="D1707" s="5"/>
      <c r="E1707" s="5"/>
      <c r="F1707" s="5"/>
      <c r="G1707" s="5"/>
      <c r="H1707" s="5"/>
      <c r="I1707" s="5"/>
      <c r="J1707" s="5"/>
    </row>
    <row r="1708" spans="1:10">
      <c r="A1708" s="5"/>
      <c r="B1708" s="5"/>
      <c r="C1708" s="5"/>
      <c r="D1708" s="5"/>
      <c r="E1708" s="5"/>
      <c r="F1708" s="5"/>
      <c r="G1708" s="5"/>
      <c r="H1708" s="5"/>
      <c r="I1708" s="5"/>
      <c r="J1708" s="5"/>
    </row>
    <row r="1709" spans="1:10">
      <c r="A1709" s="5"/>
      <c r="B1709" s="5"/>
      <c r="C1709" s="5"/>
      <c r="D1709" s="5"/>
      <c r="E1709" s="5"/>
      <c r="F1709" s="5"/>
      <c r="G1709" s="5"/>
      <c r="H1709" s="5"/>
      <c r="I1709" s="5"/>
      <c r="J1709" s="5"/>
    </row>
    <row r="1710" spans="1:10">
      <c r="A1710" s="5"/>
      <c r="B1710" s="5"/>
      <c r="C1710" s="5"/>
      <c r="D1710" s="5"/>
      <c r="E1710" s="5"/>
      <c r="F1710" s="5"/>
      <c r="G1710" s="5"/>
      <c r="H1710" s="5"/>
      <c r="I1710" s="5"/>
      <c r="J1710" s="5"/>
    </row>
    <row r="1711" spans="1:10">
      <c r="A1711" s="5"/>
      <c r="B1711" s="5"/>
      <c r="C1711" s="5"/>
      <c r="D1711" s="5"/>
      <c r="E1711" s="5"/>
      <c r="F1711" s="5"/>
      <c r="G1711" s="5"/>
      <c r="H1711" s="5"/>
      <c r="I1711" s="5"/>
      <c r="J1711" s="5"/>
    </row>
    <row r="1712" spans="1:10">
      <c r="A1712" s="5"/>
      <c r="B1712" s="5"/>
      <c r="C1712" s="5"/>
      <c r="D1712" s="5"/>
      <c r="E1712" s="5"/>
      <c r="F1712" s="5"/>
      <c r="G1712" s="5"/>
      <c r="H1712" s="5"/>
      <c r="I1712" s="5"/>
      <c r="J1712" s="5"/>
    </row>
    <row r="1713" spans="1:10">
      <c r="A1713" s="5"/>
      <c r="B1713" s="5"/>
      <c r="C1713" s="5"/>
      <c r="D1713" s="5"/>
      <c r="E1713" s="5"/>
      <c r="F1713" s="5"/>
      <c r="G1713" s="5"/>
      <c r="H1713" s="5"/>
      <c r="I1713" s="5"/>
      <c r="J1713" s="5"/>
    </row>
    <row r="1714" spans="1:10">
      <c r="A1714" s="5"/>
      <c r="B1714" s="5"/>
      <c r="C1714" s="5"/>
      <c r="D1714" s="5"/>
      <c r="E1714" s="5"/>
      <c r="F1714" s="5"/>
      <c r="G1714" s="5"/>
      <c r="H1714" s="5"/>
      <c r="I1714" s="5"/>
      <c r="J1714" s="5"/>
    </row>
    <row r="1715" spans="1:10">
      <c r="A1715" s="5"/>
      <c r="B1715" s="5"/>
      <c r="C1715" s="5"/>
      <c r="D1715" s="5"/>
      <c r="E1715" s="5"/>
      <c r="F1715" s="5"/>
      <c r="G1715" s="5"/>
      <c r="H1715" s="5"/>
      <c r="I1715" s="5"/>
      <c r="J1715" s="5"/>
    </row>
    <row r="1716" spans="1:10">
      <c r="A1716" s="5"/>
      <c r="B1716" s="5"/>
      <c r="C1716" s="5"/>
      <c r="D1716" s="5"/>
      <c r="E1716" s="5"/>
      <c r="F1716" s="5"/>
      <c r="G1716" s="5"/>
      <c r="H1716" s="5"/>
      <c r="I1716" s="5"/>
      <c r="J1716" s="5"/>
    </row>
    <row r="1717" spans="1:10">
      <c r="A1717" s="5"/>
      <c r="B1717" s="5"/>
      <c r="C1717" s="5"/>
      <c r="D1717" s="5"/>
      <c r="E1717" s="5"/>
      <c r="F1717" s="5"/>
      <c r="G1717" s="5"/>
      <c r="H1717" s="5"/>
      <c r="I1717" s="5"/>
      <c r="J1717" s="5"/>
    </row>
    <row r="1718" spans="1:10">
      <c r="A1718" s="5"/>
      <c r="B1718" s="5"/>
      <c r="C1718" s="5"/>
      <c r="D1718" s="5"/>
      <c r="E1718" s="5"/>
      <c r="F1718" s="5"/>
      <c r="G1718" s="5"/>
      <c r="H1718" s="5"/>
      <c r="I1718" s="5"/>
      <c r="J1718" s="5"/>
    </row>
    <row r="1719" spans="1:10">
      <c r="A1719" s="5"/>
      <c r="B1719" s="5"/>
      <c r="C1719" s="5"/>
      <c r="D1719" s="5"/>
      <c r="E1719" s="5"/>
      <c r="F1719" s="5"/>
      <c r="G1719" s="5"/>
      <c r="H1719" s="5"/>
      <c r="I1719" s="5"/>
      <c r="J1719" s="5"/>
    </row>
    <row r="1720" spans="1:10">
      <c r="A1720" s="5"/>
      <c r="B1720" s="5"/>
      <c r="C1720" s="5"/>
      <c r="D1720" s="5"/>
      <c r="E1720" s="5"/>
      <c r="F1720" s="5"/>
      <c r="G1720" s="5"/>
      <c r="H1720" s="5"/>
      <c r="I1720" s="5"/>
      <c r="J1720" s="5"/>
    </row>
    <row r="1721" spans="1:10">
      <c r="A1721" s="5"/>
      <c r="B1721" s="5"/>
      <c r="C1721" s="5"/>
      <c r="D1721" s="5"/>
      <c r="E1721" s="5"/>
      <c r="F1721" s="5"/>
      <c r="G1721" s="5"/>
      <c r="H1721" s="5"/>
      <c r="I1721" s="5"/>
      <c r="J1721" s="5"/>
    </row>
    <row r="1722" spans="1:10">
      <c r="A1722" s="5"/>
      <c r="B1722" s="5"/>
      <c r="C1722" s="5"/>
      <c r="D1722" s="5"/>
      <c r="E1722" s="5"/>
      <c r="F1722" s="5"/>
      <c r="G1722" s="5"/>
      <c r="H1722" s="5"/>
      <c r="I1722" s="5"/>
      <c r="J1722" s="5"/>
    </row>
    <row r="1723" spans="1:10">
      <c r="A1723" s="5"/>
      <c r="B1723" s="5"/>
      <c r="C1723" s="5"/>
      <c r="D1723" s="5"/>
      <c r="E1723" s="5"/>
      <c r="F1723" s="5"/>
      <c r="G1723" s="5"/>
      <c r="H1723" s="5"/>
      <c r="I1723" s="5"/>
      <c r="J1723" s="5"/>
    </row>
    <row r="1724" spans="1:10">
      <c r="A1724" s="5"/>
      <c r="B1724" s="5"/>
      <c r="C1724" s="5"/>
      <c r="D1724" s="5"/>
      <c r="E1724" s="5"/>
      <c r="F1724" s="5"/>
      <c r="G1724" s="5"/>
      <c r="H1724" s="5"/>
      <c r="I1724" s="5"/>
      <c r="J1724" s="5"/>
    </row>
    <row r="1725" spans="1:10">
      <c r="A1725" s="5"/>
      <c r="B1725" s="5"/>
      <c r="C1725" s="5"/>
      <c r="D1725" s="5"/>
      <c r="E1725" s="5"/>
      <c r="F1725" s="5"/>
      <c r="G1725" s="5"/>
      <c r="H1725" s="5"/>
      <c r="I1725" s="5"/>
      <c r="J1725" s="5"/>
    </row>
    <row r="1726" spans="1:10">
      <c r="A1726" s="5"/>
      <c r="B1726" s="5"/>
      <c r="C1726" s="5"/>
      <c r="D1726" s="5"/>
      <c r="E1726" s="5"/>
      <c r="F1726" s="5"/>
      <c r="G1726" s="5"/>
      <c r="H1726" s="5"/>
      <c r="I1726" s="5"/>
      <c r="J1726" s="5"/>
    </row>
    <row r="1727" spans="1:10">
      <c r="A1727" s="5"/>
      <c r="B1727" s="5"/>
      <c r="C1727" s="5"/>
      <c r="D1727" s="5"/>
      <c r="E1727" s="5"/>
      <c r="F1727" s="5"/>
      <c r="G1727" s="5"/>
      <c r="H1727" s="5"/>
      <c r="I1727" s="5"/>
      <c r="J1727" s="5"/>
    </row>
    <row r="1728" spans="1:10">
      <c r="A1728" s="5"/>
      <c r="B1728" s="5"/>
      <c r="C1728" s="5"/>
      <c r="D1728" s="5"/>
      <c r="E1728" s="5"/>
      <c r="F1728" s="5"/>
      <c r="G1728" s="5"/>
      <c r="H1728" s="5"/>
      <c r="I1728" s="5"/>
      <c r="J1728" s="5"/>
    </row>
    <row r="1729" spans="1:10">
      <c r="A1729" s="5"/>
      <c r="B1729" s="5"/>
      <c r="C1729" s="5"/>
      <c r="D1729" s="5"/>
      <c r="E1729" s="5"/>
      <c r="F1729" s="5"/>
      <c r="G1729" s="5"/>
      <c r="H1729" s="5"/>
      <c r="I1729" s="5"/>
      <c r="J1729" s="5"/>
    </row>
    <row r="1730" spans="1:10">
      <c r="A1730" s="5"/>
      <c r="B1730" s="5"/>
      <c r="C1730" s="5"/>
      <c r="D1730" s="5"/>
      <c r="E1730" s="5"/>
      <c r="F1730" s="5"/>
      <c r="G1730" s="5"/>
      <c r="H1730" s="5"/>
      <c r="I1730" s="5"/>
      <c r="J1730" s="5"/>
    </row>
    <row r="1731" spans="1:10">
      <c r="A1731" s="5"/>
      <c r="B1731" s="5"/>
      <c r="C1731" s="5"/>
      <c r="D1731" s="5"/>
      <c r="E1731" s="5"/>
      <c r="F1731" s="5"/>
      <c r="G1731" s="5"/>
      <c r="H1731" s="5"/>
      <c r="I1731" s="5"/>
      <c r="J1731" s="5"/>
    </row>
    <row r="1732" spans="1:10">
      <c r="A1732" s="5"/>
      <c r="B1732" s="5"/>
      <c r="C1732" s="5"/>
      <c r="D1732" s="5"/>
      <c r="E1732" s="5"/>
      <c r="F1732" s="5"/>
      <c r="G1732" s="5"/>
      <c r="H1732" s="5"/>
      <c r="I1732" s="5"/>
      <c r="J1732" s="5"/>
    </row>
    <row r="1733" spans="1:10">
      <c r="A1733" s="5"/>
      <c r="B1733" s="5"/>
      <c r="C1733" s="5"/>
      <c r="D1733" s="5"/>
      <c r="E1733" s="5"/>
      <c r="F1733" s="5"/>
      <c r="G1733" s="5"/>
      <c r="H1733" s="5"/>
      <c r="I1733" s="5"/>
      <c r="J1733" s="5"/>
    </row>
    <row r="1734" spans="1:10">
      <c r="A1734" s="5"/>
      <c r="B1734" s="5"/>
      <c r="C1734" s="5"/>
      <c r="D1734" s="5"/>
      <c r="E1734" s="5"/>
      <c r="F1734" s="5"/>
      <c r="G1734" s="5"/>
      <c r="H1734" s="5"/>
      <c r="I1734" s="5"/>
      <c r="J1734" s="5"/>
    </row>
    <row r="1735" spans="1:10">
      <c r="A1735" s="5"/>
      <c r="B1735" s="5"/>
      <c r="C1735" s="5"/>
      <c r="D1735" s="5"/>
      <c r="E1735" s="5"/>
      <c r="F1735" s="5"/>
      <c r="G1735" s="5"/>
      <c r="H1735" s="5"/>
      <c r="I1735" s="5"/>
      <c r="J1735" s="5"/>
    </row>
    <row r="1736" spans="1:10">
      <c r="A1736" s="5"/>
      <c r="B1736" s="5"/>
      <c r="C1736" s="5"/>
      <c r="D1736" s="5"/>
      <c r="E1736" s="5"/>
      <c r="F1736" s="5"/>
      <c r="G1736" s="5"/>
      <c r="H1736" s="5"/>
      <c r="I1736" s="5"/>
      <c r="J1736" s="5"/>
    </row>
    <row r="1737" spans="1:10">
      <c r="A1737" s="5"/>
      <c r="B1737" s="5"/>
      <c r="C1737" s="5"/>
      <c r="D1737" s="5"/>
      <c r="E1737" s="5"/>
      <c r="F1737" s="5"/>
      <c r="G1737" s="5"/>
      <c r="H1737" s="5"/>
      <c r="I1737" s="5"/>
      <c r="J1737" s="5"/>
    </row>
    <row r="1738" spans="1:10">
      <c r="A1738" s="5"/>
      <c r="B1738" s="5"/>
      <c r="C1738" s="5"/>
      <c r="D1738" s="5"/>
      <c r="E1738" s="5"/>
      <c r="F1738" s="5"/>
      <c r="G1738" s="5"/>
      <c r="H1738" s="5"/>
      <c r="I1738" s="5"/>
      <c r="J1738" s="5"/>
    </row>
    <row r="1739" spans="1:10">
      <c r="A1739" s="5"/>
      <c r="B1739" s="5"/>
      <c r="C1739" s="5"/>
      <c r="D1739" s="5"/>
      <c r="E1739" s="5"/>
      <c r="F1739" s="5"/>
      <c r="G1739" s="5"/>
      <c r="H1739" s="5"/>
      <c r="I1739" s="5"/>
      <c r="J1739" s="5"/>
    </row>
    <row r="1740" spans="1:10">
      <c r="A1740" s="5"/>
      <c r="B1740" s="5"/>
      <c r="C1740" s="5"/>
      <c r="D1740" s="5"/>
      <c r="E1740" s="5"/>
      <c r="F1740" s="5"/>
      <c r="G1740" s="5"/>
      <c r="H1740" s="5"/>
      <c r="I1740" s="5"/>
      <c r="J1740" s="5"/>
    </row>
    <row r="1741" spans="1:10">
      <c r="A1741" s="5"/>
      <c r="B1741" s="5"/>
      <c r="C1741" s="5"/>
      <c r="D1741" s="5"/>
      <c r="E1741" s="5"/>
      <c r="F1741" s="5"/>
      <c r="G1741" s="5"/>
      <c r="H1741" s="5"/>
      <c r="I1741" s="5"/>
      <c r="J1741" s="5"/>
    </row>
    <row r="1742" spans="1:10">
      <c r="A1742" s="5"/>
      <c r="B1742" s="5"/>
      <c r="C1742" s="5"/>
      <c r="D1742" s="5"/>
      <c r="E1742" s="5"/>
      <c r="F1742" s="5"/>
      <c r="G1742" s="5"/>
      <c r="H1742" s="5"/>
      <c r="I1742" s="5"/>
      <c r="J1742" s="5"/>
    </row>
    <row r="1743" spans="1:10">
      <c r="A1743" s="5"/>
      <c r="B1743" s="5"/>
      <c r="C1743" s="5"/>
      <c r="D1743" s="5"/>
      <c r="E1743" s="5"/>
      <c r="F1743" s="5"/>
      <c r="G1743" s="5"/>
      <c r="H1743" s="5"/>
      <c r="I1743" s="5"/>
      <c r="J1743" s="5"/>
    </row>
    <row r="1744" spans="1:10">
      <c r="A1744" s="5"/>
      <c r="B1744" s="5"/>
      <c r="C1744" s="5"/>
      <c r="D1744" s="5"/>
      <c r="E1744" s="5"/>
      <c r="F1744" s="5"/>
      <c r="G1744" s="5"/>
      <c r="H1744" s="5"/>
      <c r="I1744" s="5"/>
      <c r="J1744" s="5"/>
    </row>
    <row r="1745" spans="1:10">
      <c r="A1745" s="5"/>
      <c r="B1745" s="5"/>
      <c r="C1745" s="5"/>
      <c r="D1745" s="5"/>
      <c r="E1745" s="5"/>
      <c r="F1745" s="5"/>
      <c r="G1745" s="5"/>
      <c r="H1745" s="5"/>
      <c r="I1745" s="5"/>
      <c r="J1745" s="5"/>
    </row>
    <row r="1746" spans="1:10">
      <c r="A1746" s="5"/>
      <c r="B1746" s="5"/>
      <c r="C1746" s="5"/>
      <c r="D1746" s="5"/>
      <c r="E1746" s="5"/>
      <c r="F1746" s="5"/>
      <c r="G1746" s="5"/>
      <c r="H1746" s="5"/>
      <c r="I1746" s="5"/>
      <c r="J1746" s="5"/>
    </row>
    <row r="1747" spans="1:10">
      <c r="A1747" s="5"/>
      <c r="B1747" s="5"/>
      <c r="C1747" s="5"/>
      <c r="D1747" s="5"/>
      <c r="E1747" s="5"/>
      <c r="F1747" s="5"/>
      <c r="G1747" s="5"/>
      <c r="H1747" s="5"/>
      <c r="I1747" s="5"/>
      <c r="J1747" s="5"/>
    </row>
    <row r="1748" spans="1:10">
      <c r="A1748" s="5"/>
      <c r="B1748" s="5"/>
      <c r="C1748" s="5"/>
      <c r="D1748" s="5"/>
      <c r="E1748" s="5"/>
      <c r="F1748" s="5"/>
      <c r="G1748" s="5"/>
      <c r="H1748" s="5"/>
      <c r="I1748" s="5"/>
      <c r="J1748" s="5"/>
    </row>
    <row r="1749" spans="1:10">
      <c r="A1749" s="5"/>
      <c r="B1749" s="5"/>
      <c r="C1749" s="5"/>
      <c r="D1749" s="5"/>
      <c r="E1749" s="5"/>
      <c r="F1749" s="5"/>
      <c r="G1749" s="5"/>
      <c r="H1749" s="5"/>
      <c r="I1749" s="5"/>
      <c r="J1749" s="5"/>
    </row>
    <row r="1750" spans="1:10">
      <c r="A1750" s="5"/>
      <c r="B1750" s="5"/>
      <c r="C1750" s="5"/>
      <c r="D1750" s="5"/>
      <c r="E1750" s="5"/>
      <c r="F1750" s="5"/>
      <c r="G1750" s="5"/>
      <c r="H1750" s="5"/>
      <c r="I1750" s="5"/>
      <c r="J1750" s="5"/>
    </row>
    <row r="1751" spans="1:10">
      <c r="A1751" s="5"/>
      <c r="B1751" s="5"/>
      <c r="C1751" s="5"/>
      <c r="D1751" s="5"/>
      <c r="E1751" s="5"/>
      <c r="F1751" s="5"/>
      <c r="G1751" s="5"/>
      <c r="H1751" s="5"/>
      <c r="I1751" s="5"/>
      <c r="J1751" s="5"/>
    </row>
    <row r="1752" spans="1:10">
      <c r="A1752" s="5"/>
      <c r="B1752" s="5"/>
      <c r="C1752" s="5"/>
      <c r="D1752" s="5"/>
      <c r="E1752" s="5"/>
      <c r="F1752" s="5"/>
      <c r="G1752" s="5"/>
      <c r="H1752" s="5"/>
      <c r="I1752" s="5"/>
      <c r="J1752" s="5"/>
    </row>
    <row r="1753" spans="1:10">
      <c r="A1753" s="5"/>
      <c r="B1753" s="5"/>
      <c r="C1753" s="5"/>
      <c r="D1753" s="5"/>
      <c r="E1753" s="5"/>
      <c r="F1753" s="5"/>
      <c r="G1753" s="5"/>
      <c r="H1753" s="5"/>
      <c r="I1753" s="5"/>
      <c r="J1753" s="5"/>
    </row>
    <row r="1754" spans="1:10">
      <c r="A1754" s="5"/>
      <c r="B1754" s="5"/>
      <c r="C1754" s="5"/>
      <c r="D1754" s="5"/>
      <c r="E1754" s="5"/>
      <c r="F1754" s="5"/>
      <c r="G1754" s="5"/>
      <c r="H1754" s="5"/>
      <c r="I1754" s="5"/>
      <c r="J1754" s="5"/>
    </row>
    <row r="1755" spans="1:10">
      <c r="A1755" s="5"/>
      <c r="B1755" s="5"/>
      <c r="C1755" s="5"/>
      <c r="D1755" s="5"/>
      <c r="E1755" s="5"/>
      <c r="F1755" s="5"/>
      <c r="G1755" s="5"/>
      <c r="H1755" s="5"/>
      <c r="I1755" s="5"/>
      <c r="J1755" s="5"/>
    </row>
    <row r="1756" spans="1:10">
      <c r="A1756" s="5"/>
      <c r="B1756" s="5"/>
      <c r="C1756" s="5"/>
      <c r="D1756" s="5"/>
      <c r="E1756" s="5"/>
      <c r="F1756" s="5"/>
      <c r="G1756" s="5"/>
      <c r="H1756" s="5"/>
      <c r="I1756" s="5"/>
      <c r="J1756" s="5"/>
    </row>
    <row r="1757" spans="1:10">
      <c r="A1757" s="5"/>
      <c r="B1757" s="5"/>
      <c r="C1757" s="5"/>
      <c r="D1757" s="5"/>
      <c r="E1757" s="5"/>
      <c r="F1757" s="5"/>
      <c r="G1757" s="5"/>
      <c r="H1757" s="5"/>
      <c r="I1757" s="5"/>
      <c r="J1757" s="5"/>
    </row>
    <row r="1758" spans="1:10">
      <c r="A1758" s="5"/>
      <c r="B1758" s="5"/>
      <c r="C1758" s="5"/>
      <c r="D1758" s="5"/>
      <c r="E1758" s="5"/>
      <c r="F1758" s="5"/>
      <c r="G1758" s="5"/>
      <c r="H1758" s="5"/>
      <c r="I1758" s="5"/>
      <c r="J1758" s="5"/>
    </row>
    <row r="1759" spans="1:10">
      <c r="A1759" s="5"/>
      <c r="B1759" s="5"/>
      <c r="C1759" s="5"/>
      <c r="D1759" s="5"/>
      <c r="E1759" s="5"/>
      <c r="F1759" s="5"/>
      <c r="G1759" s="5"/>
      <c r="H1759" s="5"/>
      <c r="I1759" s="5"/>
      <c r="J1759" s="5"/>
    </row>
    <row r="1760" spans="1:10">
      <c r="A1760" s="5"/>
      <c r="B1760" s="5"/>
      <c r="C1760" s="5"/>
      <c r="D1760" s="5"/>
      <c r="E1760" s="5"/>
      <c r="F1760" s="5"/>
      <c r="G1760" s="5"/>
      <c r="H1760" s="5"/>
      <c r="I1760" s="5"/>
      <c r="J1760" s="5"/>
    </row>
    <row r="1761" spans="1:10">
      <c r="A1761" s="5"/>
      <c r="B1761" s="5"/>
      <c r="C1761" s="5"/>
      <c r="D1761" s="5"/>
      <c r="E1761" s="5"/>
      <c r="F1761" s="5"/>
      <c r="G1761" s="5"/>
      <c r="H1761" s="5"/>
      <c r="I1761" s="5"/>
      <c r="J1761" s="5"/>
    </row>
    <row r="1762" spans="1:10">
      <c r="A1762" s="5"/>
      <c r="B1762" s="5"/>
      <c r="C1762" s="5"/>
      <c r="D1762" s="5"/>
      <c r="E1762" s="5"/>
      <c r="F1762" s="5"/>
      <c r="G1762" s="5"/>
      <c r="H1762" s="5"/>
      <c r="I1762" s="5"/>
      <c r="J1762" s="5"/>
    </row>
    <row r="1763" spans="1:10">
      <c r="A1763" s="5"/>
      <c r="B1763" s="5"/>
      <c r="C1763" s="5"/>
      <c r="D1763" s="5"/>
      <c r="E1763" s="5"/>
      <c r="F1763" s="5"/>
      <c r="G1763" s="5"/>
      <c r="H1763" s="5"/>
      <c r="I1763" s="5"/>
      <c r="J1763" s="5"/>
    </row>
    <row r="1764" spans="1:10">
      <c r="A1764" s="5"/>
      <c r="B1764" s="5"/>
      <c r="C1764" s="5"/>
      <c r="D1764" s="5"/>
      <c r="E1764" s="5"/>
      <c r="F1764" s="5"/>
      <c r="G1764" s="5"/>
      <c r="H1764" s="5"/>
      <c r="I1764" s="5"/>
      <c r="J1764" s="5"/>
    </row>
    <row r="1765" spans="1:10">
      <c r="A1765" s="5"/>
      <c r="B1765" s="5"/>
      <c r="C1765" s="5"/>
      <c r="D1765" s="5"/>
      <c r="E1765" s="5"/>
      <c r="F1765" s="5"/>
      <c r="G1765" s="5"/>
      <c r="H1765" s="5"/>
      <c r="I1765" s="5"/>
      <c r="J1765" s="5"/>
    </row>
    <row r="1766" spans="1:10">
      <c r="A1766" s="5"/>
      <c r="B1766" s="5"/>
      <c r="C1766" s="5"/>
      <c r="D1766" s="5"/>
      <c r="E1766" s="5"/>
      <c r="F1766" s="5"/>
      <c r="G1766" s="5"/>
      <c r="H1766" s="5"/>
      <c r="I1766" s="5"/>
      <c r="J1766" s="5"/>
    </row>
    <row r="1767" spans="1:10">
      <c r="A1767" s="5"/>
      <c r="B1767" s="5"/>
      <c r="C1767" s="5"/>
      <c r="D1767" s="5"/>
      <c r="E1767" s="5"/>
      <c r="F1767" s="5"/>
      <c r="G1767" s="5"/>
      <c r="H1767" s="5"/>
      <c r="I1767" s="5"/>
      <c r="J1767" s="5"/>
    </row>
    <row r="1768" spans="1:10">
      <c r="A1768" s="5"/>
      <c r="B1768" s="5"/>
      <c r="C1768" s="5"/>
      <c r="D1768" s="5"/>
      <c r="E1768" s="5"/>
      <c r="F1768" s="5"/>
      <c r="G1768" s="5"/>
      <c r="H1768" s="5"/>
      <c r="I1768" s="5"/>
      <c r="J1768" s="5"/>
    </row>
    <row r="1769" spans="1:10">
      <c r="A1769" s="5"/>
      <c r="B1769" s="5"/>
      <c r="C1769" s="5"/>
      <c r="D1769" s="5"/>
      <c r="E1769" s="5"/>
      <c r="F1769" s="5"/>
      <c r="G1769" s="5"/>
      <c r="H1769" s="5"/>
      <c r="I1769" s="5"/>
      <c r="J1769" s="5"/>
    </row>
    <row r="1770" spans="1:10">
      <c r="A1770" s="5"/>
      <c r="B1770" s="5"/>
      <c r="C1770" s="5"/>
      <c r="D1770" s="5"/>
      <c r="E1770" s="5"/>
      <c r="F1770" s="5"/>
      <c r="G1770" s="5"/>
      <c r="H1770" s="5"/>
      <c r="I1770" s="5"/>
      <c r="J1770" s="5"/>
    </row>
    <row r="1771" spans="1:10">
      <c r="A1771" s="5"/>
      <c r="B1771" s="5"/>
      <c r="C1771" s="5"/>
      <c r="D1771" s="5"/>
      <c r="E1771" s="5"/>
      <c r="F1771" s="5"/>
      <c r="G1771" s="5"/>
      <c r="H1771" s="5"/>
      <c r="I1771" s="5"/>
      <c r="J1771" s="5"/>
    </row>
    <row r="1772" spans="1:10">
      <c r="A1772" s="5"/>
      <c r="B1772" s="5"/>
      <c r="C1772" s="5"/>
      <c r="D1772" s="5"/>
      <c r="E1772" s="5"/>
      <c r="F1772" s="5"/>
      <c r="G1772" s="5"/>
      <c r="H1772" s="5"/>
      <c r="I1772" s="5"/>
      <c r="J1772" s="5"/>
    </row>
    <row r="1773" spans="1:10">
      <c r="A1773" s="5"/>
      <c r="B1773" s="5"/>
      <c r="C1773" s="5"/>
      <c r="D1773" s="5"/>
      <c r="E1773" s="5"/>
      <c r="F1773" s="5"/>
      <c r="G1773" s="5"/>
      <c r="H1773" s="5"/>
      <c r="I1773" s="5"/>
      <c r="J1773" s="5"/>
    </row>
    <row r="1774" spans="1:10">
      <c r="A1774" s="5"/>
      <c r="B1774" s="5"/>
      <c r="C1774" s="5"/>
      <c r="D1774" s="5"/>
      <c r="E1774" s="5"/>
      <c r="F1774" s="5"/>
      <c r="G1774" s="5"/>
      <c r="H1774" s="5"/>
      <c r="I1774" s="5"/>
      <c r="J1774" s="5"/>
    </row>
    <row r="1775" spans="1:10">
      <c r="A1775" s="5"/>
      <c r="B1775" s="5"/>
      <c r="C1775" s="5"/>
      <c r="D1775" s="5"/>
      <c r="E1775" s="5"/>
      <c r="F1775" s="5"/>
      <c r="G1775" s="5"/>
      <c r="H1775" s="5"/>
      <c r="I1775" s="5"/>
      <c r="J1775" s="5"/>
    </row>
    <row r="1776" spans="1:10">
      <c r="A1776" s="5"/>
      <c r="B1776" s="5"/>
      <c r="C1776" s="5"/>
      <c r="D1776" s="5"/>
      <c r="E1776" s="5"/>
      <c r="F1776" s="5"/>
      <c r="G1776" s="5"/>
      <c r="H1776" s="5"/>
      <c r="I1776" s="5"/>
      <c r="J1776" s="5"/>
    </row>
    <row r="1777" spans="1:10">
      <c r="A1777" s="5"/>
      <c r="B1777" s="5"/>
      <c r="C1777" s="5"/>
      <c r="D1777" s="5"/>
      <c r="E1777" s="5"/>
      <c r="F1777" s="5"/>
      <c r="G1777" s="5"/>
      <c r="H1777" s="5"/>
      <c r="I1777" s="5"/>
      <c r="J1777" s="5"/>
    </row>
    <row r="1778" spans="1:10">
      <c r="A1778" s="5"/>
      <c r="B1778" s="5"/>
      <c r="C1778" s="5"/>
      <c r="D1778" s="5"/>
      <c r="E1778" s="5"/>
      <c r="F1778" s="5"/>
      <c r="G1778" s="5"/>
      <c r="H1778" s="5"/>
      <c r="I1778" s="5"/>
      <c r="J1778" s="5"/>
    </row>
    <row r="1779" spans="1:10">
      <c r="A1779" s="5"/>
      <c r="B1779" s="5"/>
      <c r="C1779" s="5"/>
      <c r="D1779" s="5"/>
      <c r="E1779" s="5"/>
      <c r="F1779" s="5"/>
      <c r="G1779" s="5"/>
      <c r="H1779" s="5"/>
      <c r="I1779" s="5"/>
      <c r="J1779" s="5"/>
    </row>
    <row r="1780" spans="1:10">
      <c r="A1780" s="5"/>
      <c r="B1780" s="5"/>
      <c r="C1780" s="5"/>
      <c r="D1780" s="5"/>
      <c r="E1780" s="5"/>
      <c r="F1780" s="5"/>
      <c r="G1780" s="5"/>
      <c r="H1780" s="5"/>
      <c r="I1780" s="5"/>
      <c r="J1780" s="5"/>
    </row>
    <row r="1781" spans="1:10">
      <c r="A1781" s="5"/>
      <c r="B1781" s="5"/>
      <c r="C1781" s="5"/>
      <c r="D1781" s="5"/>
      <c r="E1781" s="5"/>
      <c r="F1781" s="5"/>
      <c r="G1781" s="5"/>
      <c r="H1781" s="5"/>
      <c r="I1781" s="5"/>
      <c r="J1781" s="5"/>
    </row>
    <row r="1782" spans="1:10">
      <c r="A1782" s="5"/>
      <c r="B1782" s="5"/>
      <c r="C1782" s="5"/>
      <c r="D1782" s="5"/>
      <c r="E1782" s="5"/>
      <c r="F1782" s="5"/>
      <c r="G1782" s="5"/>
      <c r="H1782" s="5"/>
      <c r="I1782" s="5"/>
      <c r="J1782" s="5"/>
    </row>
    <row r="1783" spans="1:10">
      <c r="A1783" s="5"/>
      <c r="B1783" s="5"/>
      <c r="C1783" s="5"/>
      <c r="D1783" s="5"/>
      <c r="E1783" s="5"/>
      <c r="F1783" s="5"/>
      <c r="G1783" s="5"/>
      <c r="H1783" s="5"/>
      <c r="I1783" s="5"/>
      <c r="J1783" s="5"/>
    </row>
    <row r="1784" spans="1:10">
      <c r="A1784" s="5"/>
      <c r="B1784" s="5"/>
      <c r="C1784" s="5"/>
      <c r="D1784" s="5"/>
      <c r="E1784" s="5"/>
      <c r="F1784" s="5"/>
      <c r="G1784" s="5"/>
      <c r="H1784" s="5"/>
      <c r="I1784" s="5"/>
      <c r="J1784" s="5"/>
    </row>
    <row r="1785" spans="1:10">
      <c r="A1785" s="5"/>
      <c r="B1785" s="5"/>
      <c r="C1785" s="5"/>
      <c r="D1785" s="5"/>
      <c r="E1785" s="5"/>
      <c r="F1785" s="5"/>
      <c r="G1785" s="5"/>
      <c r="H1785" s="5"/>
      <c r="I1785" s="5"/>
      <c r="J1785" s="5"/>
    </row>
    <row r="1786" spans="1:10">
      <c r="A1786" s="5"/>
      <c r="B1786" s="5"/>
      <c r="C1786" s="5"/>
      <c r="D1786" s="5"/>
      <c r="E1786" s="5"/>
      <c r="F1786" s="5"/>
      <c r="G1786" s="5"/>
      <c r="H1786" s="5"/>
      <c r="I1786" s="5"/>
      <c r="J1786" s="5"/>
    </row>
    <row r="1787" spans="1:10">
      <c r="A1787" s="5"/>
      <c r="B1787" s="5"/>
      <c r="C1787" s="5"/>
      <c r="D1787" s="5"/>
      <c r="E1787" s="5"/>
      <c r="F1787" s="5"/>
      <c r="G1787" s="5"/>
      <c r="H1787" s="5"/>
      <c r="I1787" s="5"/>
      <c r="J1787" s="5"/>
    </row>
    <row r="1788" spans="1:10">
      <c r="A1788" s="5"/>
      <c r="B1788" s="5"/>
      <c r="C1788" s="5"/>
      <c r="D1788" s="5"/>
      <c r="E1788" s="5"/>
      <c r="F1788" s="5"/>
      <c r="G1788" s="5"/>
      <c r="H1788" s="5"/>
      <c r="I1788" s="5"/>
      <c r="J1788" s="5"/>
    </row>
    <row r="1789" spans="1:10">
      <c r="A1789" s="5"/>
      <c r="B1789" s="5"/>
      <c r="C1789" s="5"/>
      <c r="D1789" s="5"/>
      <c r="E1789" s="5"/>
      <c r="F1789" s="5"/>
      <c r="G1789" s="5"/>
      <c r="H1789" s="5"/>
      <c r="I1789" s="5"/>
      <c r="J1789" s="5"/>
    </row>
    <row r="1790" spans="1:10">
      <c r="A1790" s="5"/>
      <c r="B1790" s="5"/>
      <c r="C1790" s="5"/>
      <c r="D1790" s="5"/>
      <c r="E1790" s="5"/>
      <c r="F1790" s="5"/>
      <c r="G1790" s="5"/>
      <c r="H1790" s="5"/>
      <c r="I1790" s="5"/>
      <c r="J1790" s="5"/>
    </row>
    <row r="1791" spans="1:10">
      <c r="A1791" s="5"/>
      <c r="B1791" s="5"/>
      <c r="C1791" s="5"/>
      <c r="D1791" s="5"/>
      <c r="E1791" s="5"/>
      <c r="F1791" s="5"/>
      <c r="G1791" s="5"/>
      <c r="H1791" s="5"/>
      <c r="I1791" s="5"/>
      <c r="J1791" s="5"/>
    </row>
  </sheetData>
  <mergeCells count="2">
    <mergeCell ref="A4:A9"/>
    <mergeCell ref="B13:B19"/>
  </mergeCells>
  <phoneticPr fontId="96"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9706" r:id="rId3" name="TextBox1">
          <controlPr defaultSize="0" altText="" r:id="rId4">
            <anchor moveWithCells="1">
              <from>
                <xdr:col>1</xdr:col>
                <xdr:colOff>0</xdr:colOff>
                <xdr:row>1</xdr:row>
                <xdr:rowOff>173346</xdr:rowOff>
              </from>
              <to>
                <xdr:col>2</xdr:col>
                <xdr:colOff>186347</xdr:colOff>
                <xdr:row>3</xdr:row>
                <xdr:rowOff>56337</xdr:rowOff>
              </to>
            </anchor>
          </controlPr>
        </control>
      </mc:Choice>
      <mc:Fallback>
        <control shapeId="9706" r:id="rId3" name="TextBox1"/>
      </mc:Fallback>
    </mc:AlternateContent>
    <mc:AlternateContent xmlns:mc="http://schemas.openxmlformats.org/markup-compatibility/2006">
      <mc:Choice Requires="x14">
        <control shapeId="9705" r:id="rId5" name="CommandButton2">
          <controlPr defaultSize="0" altText="" r:id="rId6">
            <anchor moveWithCells="1">
              <from>
                <xdr:col>1</xdr:col>
                <xdr:colOff>1057410</xdr:colOff>
                <xdr:row>10</xdr:row>
                <xdr:rowOff>30336</xdr:rowOff>
              </from>
              <to>
                <xdr:col>1</xdr:col>
                <xdr:colOff>1763795</xdr:colOff>
                <xdr:row>11</xdr:row>
                <xdr:rowOff>143010</xdr:rowOff>
              </to>
            </anchor>
          </controlPr>
        </control>
      </mc:Choice>
      <mc:Fallback>
        <control shapeId="9705" r:id="rId5" name="CommandButton2"/>
      </mc:Fallback>
    </mc:AlternateContent>
    <mc:AlternateContent xmlns:mc="http://schemas.openxmlformats.org/markup-compatibility/2006">
      <mc:Choice Requires="x14">
        <control shapeId="9704" r:id="rId7" name="CommandButton3">
          <controlPr defaultSize="0" altText="" r:id="rId8">
            <anchor moveWithCells="1">
              <from>
                <xdr:col>1</xdr:col>
                <xdr:colOff>99674</xdr:colOff>
                <xdr:row>10</xdr:row>
                <xdr:rowOff>21668</xdr:rowOff>
              </from>
              <to>
                <xdr:col>1</xdr:col>
                <xdr:colOff>775723</xdr:colOff>
                <xdr:row>11</xdr:row>
                <xdr:rowOff>125676</xdr:rowOff>
              </to>
            </anchor>
          </controlPr>
        </control>
      </mc:Choice>
      <mc:Fallback>
        <control shapeId="9704" r:id="rId7" name="CommandButton3"/>
      </mc:Fallback>
    </mc:AlternateContent>
    <mc:AlternateContent xmlns:mc="http://schemas.openxmlformats.org/markup-compatibility/2006">
      <mc:Choice Requires="x14">
        <control shapeId="9703" r:id="rId9" name="ListBox2">
          <controlPr defaultSize="0" altText="" r:id="rId10">
            <anchor moveWithCells="1">
              <from>
                <xdr:col>1</xdr:col>
                <xdr:colOff>0</xdr:colOff>
                <xdr:row>12</xdr:row>
                <xdr:rowOff>39003</xdr:rowOff>
              </from>
              <to>
                <xdr:col>2</xdr:col>
                <xdr:colOff>307689</xdr:colOff>
                <xdr:row>18</xdr:row>
                <xdr:rowOff>4334</xdr:rowOff>
              </to>
            </anchor>
          </controlPr>
        </control>
      </mc:Choice>
      <mc:Fallback>
        <control shapeId="9703" r:id="rId9" name="ListBox2"/>
      </mc:Fallback>
    </mc:AlternateContent>
    <mc:AlternateContent xmlns:mc="http://schemas.openxmlformats.org/markup-compatibility/2006">
      <mc:Choice Requires="x14">
        <control shapeId="9702" r:id="rId11" name="ListBox1">
          <controlPr defaultSize="0" altText="" r:id="rId12">
            <anchor moveWithCells="1">
              <from>
                <xdr:col>1</xdr:col>
                <xdr:colOff>0</xdr:colOff>
                <xdr:row>3</xdr:row>
                <xdr:rowOff>99674</xdr:rowOff>
              </from>
              <to>
                <xdr:col>2</xdr:col>
                <xdr:colOff>307689</xdr:colOff>
                <xdr:row>7</xdr:row>
                <xdr:rowOff>95340</xdr:rowOff>
              </to>
            </anchor>
          </controlPr>
        </control>
      </mc:Choice>
      <mc:Fallback>
        <control shapeId="9702" r:id="rId11" name="ListBox1"/>
      </mc:Fallback>
    </mc:AlternateContent>
    <mc:AlternateContent xmlns:mc="http://schemas.openxmlformats.org/markup-compatibility/2006">
      <mc:Choice Requires="x14">
        <control shapeId="9217" r:id="rId13" name="NavigateCombBox">
          <controlPr defaultSize="0" autoPict="0" macro="[0]!NavigateBox">
            <anchor moveWithCells="1">
              <from>
                <xdr:col>0</xdr:col>
                <xdr:colOff>0</xdr:colOff>
                <xdr:row>0</xdr:row>
                <xdr:rowOff>0</xdr:rowOff>
              </from>
              <to>
                <xdr:col>1</xdr:col>
                <xdr:colOff>1339098</xdr:colOff>
                <xdr:row>1</xdr:row>
                <xdr:rowOff>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0" tint="-0.14996795556505021"/>
  </sheetPr>
  <dimension ref="A1:S50"/>
  <sheetViews>
    <sheetView topLeftCell="A34" workbookViewId="0">
      <selection activeCell="Q30" sqref="Q30"/>
    </sheetView>
  </sheetViews>
  <sheetFormatPr defaultColWidth="9" defaultRowHeight="14.35"/>
  <cols>
    <col min="1" max="1" width="12.25" style="5" customWidth="1"/>
    <col min="2" max="16384" width="9" style="5"/>
  </cols>
  <sheetData>
    <row r="1" spans="1:19">
      <c r="A1" s="1034" t="s">
        <v>1604</v>
      </c>
    </row>
    <row r="2" spans="1:19">
      <c r="A2" s="1034"/>
      <c r="G2" s="5" t="s">
        <v>985</v>
      </c>
    </row>
    <row r="3" spans="1:19">
      <c r="A3" s="364"/>
    </row>
    <row r="4" spans="1:19">
      <c r="E4" s="75"/>
      <c r="F4" s="75"/>
      <c r="G4" s="75"/>
      <c r="H4" s="75"/>
      <c r="I4" s="75"/>
      <c r="J4" s="75"/>
      <c r="K4" s="75"/>
      <c r="L4" s="75"/>
      <c r="M4" s="75"/>
      <c r="N4" s="75"/>
      <c r="O4" s="75"/>
      <c r="P4" s="75"/>
    </row>
    <row r="5" spans="1:19">
      <c r="A5" s="75"/>
      <c r="B5" s="75"/>
      <c r="C5" s="75"/>
      <c r="E5" s="75"/>
      <c r="F5" s="75"/>
      <c r="G5" s="75"/>
      <c r="H5" s="75"/>
      <c r="I5" s="75"/>
      <c r="J5" s="75"/>
      <c r="K5" s="75"/>
      <c r="L5" s="75"/>
      <c r="M5" s="75"/>
      <c r="N5" s="75"/>
      <c r="O5" s="75"/>
      <c r="P5" s="75"/>
    </row>
    <row r="6" spans="1:19">
      <c r="A6" s="75"/>
      <c r="B6" s="75"/>
      <c r="C6" s="75"/>
      <c r="E6" s="75"/>
      <c r="F6" s="75"/>
      <c r="G6" s="75"/>
      <c r="H6" s="75"/>
      <c r="I6" s="75"/>
      <c r="J6" s="75"/>
      <c r="K6" s="75"/>
      <c r="L6" s="75"/>
      <c r="M6" s="75"/>
      <c r="N6" s="75"/>
      <c r="O6" s="75"/>
      <c r="P6" s="75"/>
    </row>
    <row r="7" spans="1:19">
      <c r="A7" s="75"/>
      <c r="B7" s="75" t="s">
        <v>1537</v>
      </c>
      <c r="C7" s="75"/>
      <c r="E7" s="75"/>
      <c r="F7" s="75"/>
      <c r="G7" s="75"/>
      <c r="H7" s="75"/>
      <c r="I7" s="75"/>
      <c r="J7" s="75"/>
      <c r="K7" s="75"/>
      <c r="L7" s="75"/>
      <c r="M7" s="75"/>
      <c r="N7" s="75"/>
      <c r="O7" s="75"/>
      <c r="P7" s="373"/>
    </row>
    <row r="8" spans="1:19">
      <c r="A8" s="75"/>
      <c r="B8" s="75"/>
      <c r="C8" s="75"/>
      <c r="E8" s="75"/>
      <c r="F8" s="75"/>
      <c r="G8" s="75"/>
      <c r="H8" s="75"/>
      <c r="I8" s="75"/>
      <c r="J8" s="75"/>
      <c r="K8" s="75"/>
      <c r="L8" s="75"/>
      <c r="M8" s="75"/>
      <c r="N8" s="75"/>
      <c r="O8" s="75"/>
      <c r="P8" s="75"/>
    </row>
    <row r="9" spans="1:19">
      <c r="A9" s="75"/>
      <c r="B9" s="75"/>
      <c r="C9" s="75"/>
      <c r="E9" s="75"/>
      <c r="F9" s="75"/>
      <c r="G9" s="75"/>
      <c r="H9" s="75"/>
      <c r="I9" s="75"/>
      <c r="J9" s="75"/>
      <c r="K9" s="75"/>
      <c r="L9" s="75"/>
      <c r="M9" s="75"/>
      <c r="N9" s="75"/>
      <c r="O9" s="75"/>
      <c r="P9" s="75"/>
    </row>
    <row r="10" spans="1:19">
      <c r="E10" s="75"/>
      <c r="F10" s="75"/>
      <c r="G10" s="75"/>
      <c r="H10" s="75"/>
      <c r="I10" s="75"/>
      <c r="J10" s="75"/>
      <c r="K10" s="75"/>
      <c r="L10" s="75"/>
      <c r="M10" s="75"/>
      <c r="N10" s="75"/>
      <c r="O10" s="75"/>
      <c r="P10" s="75"/>
    </row>
    <row r="12" spans="1:19" ht="15.05">
      <c r="G12" s="365"/>
    </row>
    <row r="14" spans="1:19">
      <c r="E14" s="75"/>
      <c r="F14" s="75"/>
      <c r="G14" s="75"/>
      <c r="H14" s="75"/>
      <c r="I14" s="75"/>
      <c r="J14" s="75"/>
      <c r="K14" s="75"/>
      <c r="L14" s="75"/>
      <c r="M14" s="75"/>
      <c r="N14" s="75"/>
      <c r="O14" s="75"/>
      <c r="P14" s="75"/>
      <c r="Q14" s="75"/>
      <c r="R14" s="75"/>
      <c r="S14" s="75"/>
    </row>
    <row r="15" spans="1:19">
      <c r="A15" s="366"/>
      <c r="B15" s="367"/>
      <c r="C15" s="368"/>
      <c r="E15" s="75"/>
      <c r="F15" s="75"/>
      <c r="G15" s="75"/>
      <c r="H15" s="75"/>
      <c r="I15" s="75"/>
      <c r="J15" s="75"/>
      <c r="K15" s="75"/>
      <c r="L15" s="75"/>
      <c r="M15" s="75"/>
      <c r="N15" s="75"/>
      <c r="O15" s="75"/>
      <c r="P15" s="75"/>
      <c r="Q15" s="75"/>
      <c r="R15" s="75"/>
      <c r="S15" s="75"/>
    </row>
    <row r="16" spans="1:19">
      <c r="A16" s="369"/>
      <c r="B16" s="75"/>
      <c r="C16" s="306"/>
      <c r="E16" s="75"/>
      <c r="F16" s="75"/>
      <c r="G16" s="75"/>
      <c r="H16" s="75"/>
      <c r="I16" s="75"/>
      <c r="J16" s="75"/>
      <c r="K16" s="75"/>
      <c r="L16" s="75"/>
      <c r="M16" s="75"/>
      <c r="N16" s="75"/>
      <c r="O16" s="75"/>
      <c r="P16" s="75"/>
      <c r="Q16" s="75"/>
      <c r="R16" s="75"/>
      <c r="S16" s="75"/>
    </row>
    <row r="17" spans="1:19">
      <c r="A17" s="369"/>
      <c r="B17" s="306" t="s">
        <v>1605</v>
      </c>
      <c r="E17" s="75"/>
      <c r="F17" s="75"/>
      <c r="G17" s="75"/>
      <c r="H17" s="75"/>
      <c r="I17" s="75"/>
      <c r="J17" s="75"/>
      <c r="K17" s="75"/>
      <c r="L17" s="75"/>
      <c r="M17" s="75"/>
      <c r="N17" s="75"/>
      <c r="O17" s="75"/>
      <c r="P17" s="75"/>
      <c r="Q17" s="75"/>
      <c r="R17" s="75"/>
      <c r="S17" s="75"/>
    </row>
    <row r="18" spans="1:19">
      <c r="A18" s="369"/>
      <c r="B18" s="75"/>
      <c r="C18" s="306"/>
      <c r="E18" s="75"/>
      <c r="F18" s="75"/>
      <c r="G18" s="75"/>
      <c r="H18" s="75"/>
      <c r="I18" s="75"/>
      <c r="J18" s="75"/>
      <c r="K18" s="75"/>
      <c r="L18" s="75"/>
      <c r="M18" s="75"/>
      <c r="N18" s="75"/>
      <c r="O18" s="75"/>
      <c r="P18" s="75"/>
      <c r="Q18" s="75"/>
      <c r="R18" s="75"/>
      <c r="S18" s="75"/>
    </row>
    <row r="19" spans="1:19">
      <c r="A19" s="370"/>
      <c r="B19" s="68"/>
      <c r="C19" s="371"/>
      <c r="E19" s="75"/>
      <c r="F19" s="75"/>
      <c r="G19" s="75"/>
      <c r="H19" s="75"/>
      <c r="I19" s="75"/>
      <c r="J19" s="75"/>
      <c r="K19" s="75"/>
      <c r="L19" s="75"/>
      <c r="M19" s="75"/>
      <c r="N19" s="75"/>
      <c r="O19" s="75"/>
      <c r="P19" s="75"/>
      <c r="Q19" s="75"/>
      <c r="R19" s="75"/>
      <c r="S19" s="75"/>
    </row>
    <row r="20" spans="1:19">
      <c r="E20" s="75"/>
      <c r="F20" s="75"/>
      <c r="G20" s="75"/>
      <c r="H20" s="75"/>
      <c r="I20" s="75"/>
      <c r="J20" s="75"/>
      <c r="K20" s="75"/>
      <c r="L20" s="75"/>
      <c r="M20" s="75"/>
      <c r="N20" s="75"/>
      <c r="O20" s="75"/>
      <c r="P20" s="75"/>
      <c r="Q20" s="75"/>
      <c r="R20" s="75"/>
      <c r="S20" s="75"/>
    </row>
    <row r="24" spans="1:19">
      <c r="E24" s="75"/>
      <c r="F24" s="75"/>
      <c r="G24" s="75"/>
      <c r="H24" s="75"/>
      <c r="I24" s="75"/>
      <c r="J24" s="75"/>
      <c r="K24" s="75"/>
      <c r="L24" s="75"/>
      <c r="M24" s="75"/>
    </row>
    <row r="25" spans="1:19" ht="15.05">
      <c r="A25" s="75"/>
      <c r="B25" s="75"/>
      <c r="C25" s="75"/>
      <c r="E25" s="75"/>
      <c r="F25" s="75"/>
      <c r="G25" s="75"/>
      <c r="H25" s="75"/>
      <c r="I25" s="75"/>
      <c r="J25" s="75"/>
      <c r="K25" s="75"/>
      <c r="L25" s="75"/>
      <c r="M25" s="75"/>
      <c r="Q25" s="374"/>
    </row>
    <row r="26" spans="1:19">
      <c r="A26" s="75"/>
      <c r="B26" s="75"/>
      <c r="C26" s="75"/>
      <c r="E26" s="75"/>
      <c r="F26" s="75"/>
      <c r="G26" s="75"/>
      <c r="H26" s="75"/>
      <c r="I26" s="75"/>
      <c r="J26" s="75"/>
      <c r="K26" s="75"/>
      <c r="L26" s="75"/>
      <c r="M26" s="75"/>
    </row>
    <row r="27" spans="1:19">
      <c r="A27" s="75"/>
      <c r="B27" s="306"/>
      <c r="C27" s="75"/>
      <c r="E27" s="75"/>
      <c r="F27" s="75"/>
      <c r="G27" s="75"/>
      <c r="H27" s="75"/>
      <c r="I27" s="75"/>
      <c r="J27" s="75"/>
      <c r="K27" s="75"/>
      <c r="L27" s="75"/>
      <c r="M27" s="75"/>
    </row>
    <row r="28" spans="1:19">
      <c r="A28" s="75"/>
      <c r="B28" s="75"/>
      <c r="C28" s="75"/>
      <c r="E28" s="75"/>
      <c r="F28" s="75"/>
      <c r="G28" s="75"/>
      <c r="H28" s="75"/>
      <c r="I28" s="75"/>
      <c r="J28" s="75"/>
      <c r="K28" s="75"/>
      <c r="L28" s="75"/>
      <c r="M28" s="75"/>
    </row>
    <row r="29" spans="1:19">
      <c r="A29" s="75"/>
      <c r="B29" s="75"/>
      <c r="C29" s="75"/>
      <c r="E29" s="75"/>
      <c r="F29" s="75"/>
      <c r="G29" s="75"/>
      <c r="H29" s="75"/>
      <c r="I29" s="75"/>
      <c r="J29" s="75"/>
      <c r="K29" s="75"/>
      <c r="L29" s="75"/>
      <c r="M29" s="75"/>
    </row>
    <row r="30" spans="1:19">
      <c r="E30" s="75"/>
      <c r="F30" s="75"/>
      <c r="G30" s="75"/>
      <c r="H30" s="75"/>
      <c r="I30" s="75"/>
      <c r="J30" s="75"/>
      <c r="K30" s="75"/>
      <c r="L30" s="75"/>
      <c r="M30" s="75"/>
    </row>
    <row r="32" spans="1:19" ht="15.35">
      <c r="A32" s="372"/>
    </row>
    <row r="33" spans="1:13">
      <c r="A33" s="94"/>
    </row>
    <row r="34" spans="1:13">
      <c r="A34" s="75"/>
      <c r="E34" s="75"/>
      <c r="F34" s="75"/>
      <c r="G34" s="75"/>
      <c r="H34" s="75"/>
      <c r="I34" s="75"/>
      <c r="J34" s="75"/>
      <c r="K34" s="75"/>
      <c r="L34" s="75"/>
      <c r="M34" s="75"/>
    </row>
    <row r="35" spans="1:13">
      <c r="A35" s="367"/>
      <c r="B35" s="367"/>
      <c r="C35" s="368"/>
      <c r="E35" s="75"/>
      <c r="F35" s="75"/>
      <c r="G35" s="75"/>
      <c r="H35" s="75"/>
      <c r="I35" s="75"/>
      <c r="J35" s="75"/>
      <c r="K35" s="75"/>
      <c r="L35" s="75"/>
      <c r="M35" s="75"/>
    </row>
    <row r="36" spans="1:13">
      <c r="A36" s="75"/>
      <c r="B36" s="75"/>
      <c r="C36" s="306"/>
      <c r="E36" s="75"/>
      <c r="F36" s="75"/>
      <c r="G36" s="75"/>
      <c r="H36" s="75"/>
      <c r="I36" s="75"/>
      <c r="J36" s="75"/>
      <c r="K36" s="75"/>
      <c r="L36" s="75"/>
      <c r="M36" s="75"/>
    </row>
    <row r="37" spans="1:13">
      <c r="A37" s="75"/>
      <c r="B37" s="306" t="s">
        <v>1606</v>
      </c>
      <c r="E37" s="75"/>
      <c r="F37" s="75"/>
      <c r="G37" s="75"/>
      <c r="H37" s="75"/>
      <c r="I37" s="75"/>
      <c r="J37" s="75"/>
      <c r="K37" s="75"/>
      <c r="L37" s="75"/>
      <c r="M37" s="75"/>
    </row>
    <row r="38" spans="1:13">
      <c r="A38" s="75"/>
      <c r="B38" s="75"/>
      <c r="C38" s="306"/>
      <c r="E38" s="75"/>
      <c r="F38" s="75"/>
      <c r="G38" s="75"/>
      <c r="H38" s="75"/>
      <c r="I38" s="75"/>
      <c r="J38" s="75"/>
      <c r="K38" s="75"/>
      <c r="L38" s="75"/>
      <c r="M38" s="75"/>
    </row>
    <row r="39" spans="1:13">
      <c r="A39" s="68"/>
      <c r="B39" s="68"/>
      <c r="C39" s="371"/>
      <c r="E39" s="75"/>
      <c r="F39" s="75"/>
      <c r="G39" s="75"/>
      <c r="H39" s="75"/>
      <c r="I39" s="75"/>
      <c r="J39" s="75"/>
      <c r="K39" s="75"/>
      <c r="L39" s="75"/>
      <c r="M39" s="75"/>
    </row>
    <row r="40" spans="1:13">
      <c r="A40" s="75"/>
      <c r="E40" s="75"/>
      <c r="F40" s="75"/>
      <c r="G40" s="75"/>
      <c r="H40" s="75"/>
      <c r="I40" s="75"/>
      <c r="J40" s="75"/>
      <c r="K40" s="75"/>
      <c r="L40" s="75"/>
      <c r="M40" s="75"/>
    </row>
    <row r="41" spans="1:13">
      <c r="A41" s="75"/>
    </row>
    <row r="42" spans="1:13">
      <c r="A42" s="75"/>
    </row>
    <row r="44" spans="1:13">
      <c r="E44" s="75"/>
      <c r="F44" s="75"/>
      <c r="G44" s="75"/>
      <c r="H44" s="75"/>
      <c r="I44" s="75"/>
      <c r="J44" s="75"/>
      <c r="K44" s="75"/>
      <c r="L44" s="75"/>
      <c r="M44" s="75"/>
    </row>
    <row r="45" spans="1:13">
      <c r="A45" s="366"/>
      <c r="B45" s="367"/>
      <c r="C45" s="368"/>
      <c r="E45" s="75"/>
      <c r="F45" s="75"/>
      <c r="G45" s="75"/>
      <c r="H45" s="75"/>
      <c r="I45" s="75"/>
      <c r="J45" s="75"/>
      <c r="K45" s="75"/>
      <c r="L45" s="75"/>
      <c r="M45" s="75"/>
    </row>
    <row r="46" spans="1:13">
      <c r="A46" s="369"/>
      <c r="B46" s="75"/>
      <c r="C46" s="306"/>
      <c r="E46" s="75"/>
      <c r="F46" s="75"/>
      <c r="G46" s="75"/>
      <c r="H46" s="75"/>
      <c r="I46" s="75"/>
      <c r="J46" s="75"/>
      <c r="K46" s="75"/>
      <c r="L46" s="75"/>
      <c r="M46" s="75"/>
    </row>
    <row r="47" spans="1:13">
      <c r="A47" s="369"/>
      <c r="B47" s="306" t="s">
        <v>1562</v>
      </c>
      <c r="E47" s="75"/>
      <c r="F47" s="75"/>
      <c r="G47" s="75"/>
      <c r="H47" s="75"/>
      <c r="I47" s="75"/>
      <c r="J47" s="75"/>
      <c r="K47" s="75"/>
      <c r="L47" s="75"/>
      <c r="M47" s="75"/>
    </row>
    <row r="48" spans="1:13">
      <c r="A48" s="369"/>
      <c r="B48" s="75"/>
      <c r="C48" s="306"/>
      <c r="E48" s="75"/>
      <c r="F48" s="75"/>
      <c r="G48" s="75"/>
      <c r="H48" s="75"/>
      <c r="I48" s="75"/>
      <c r="J48" s="75"/>
      <c r="K48" s="75"/>
      <c r="L48" s="75"/>
      <c r="M48" s="75"/>
    </row>
    <row r="49" spans="1:13">
      <c r="A49" s="370"/>
      <c r="B49" s="68"/>
      <c r="C49" s="371"/>
      <c r="E49" s="75"/>
      <c r="F49" s="75"/>
      <c r="G49" s="75"/>
      <c r="H49" s="75"/>
      <c r="I49" s="75"/>
      <c r="J49" s="75"/>
      <c r="K49" s="75"/>
      <c r="L49" s="75"/>
      <c r="M49" s="75"/>
    </row>
    <row r="50" spans="1:13">
      <c r="E50" s="75"/>
      <c r="F50" s="75"/>
      <c r="G50" s="75"/>
      <c r="H50" s="75"/>
      <c r="I50" s="75"/>
      <c r="J50" s="75"/>
      <c r="K50" s="75"/>
      <c r="L50" s="75"/>
      <c r="M50" s="75"/>
    </row>
  </sheetData>
  <mergeCells count="1">
    <mergeCell ref="A1:A2"/>
  </mergeCells>
  <phoneticPr fontId="96"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theme="0" tint="-0.14996795556505021"/>
  </sheetPr>
  <dimension ref="A1:M41"/>
  <sheetViews>
    <sheetView workbookViewId="0">
      <pane xSplit="2" ySplit="8" topLeftCell="C25" activePane="bottomRight" state="frozen"/>
      <selection pane="topRight"/>
      <selection pane="bottomLeft"/>
      <selection pane="bottomRight" activeCell="K16" sqref="K16"/>
    </sheetView>
  </sheetViews>
  <sheetFormatPr defaultColWidth="9" defaultRowHeight="14.35"/>
  <cols>
    <col min="1" max="1" width="12.5625" style="5" customWidth="1"/>
    <col min="2" max="2" width="26.5625" style="306" customWidth="1"/>
    <col min="3" max="5" width="8.1875" style="5" bestFit="1" customWidth="1"/>
    <col min="6" max="6" width="12.5" style="5" bestFit="1" customWidth="1"/>
    <col min="7" max="9" width="8.1875" style="5" bestFit="1" customWidth="1"/>
    <col min="10" max="10" width="12.5" style="5" bestFit="1" customWidth="1"/>
    <col min="11" max="13" width="8.1875" style="5" bestFit="1" customWidth="1"/>
    <col min="14" max="16384" width="9" style="5"/>
  </cols>
  <sheetData>
    <row r="1" spans="1:13" ht="14.25" customHeight="1">
      <c r="A1" s="307"/>
      <c r="B1" s="308"/>
      <c r="C1" s="1035" t="s">
        <v>1607</v>
      </c>
      <c r="D1" s="1036"/>
      <c r="E1" s="1036"/>
      <c r="F1" s="1039" t="s">
        <v>1608</v>
      </c>
      <c r="G1" s="1037" t="s">
        <v>1609</v>
      </c>
      <c r="H1" s="1038"/>
      <c r="I1" s="1038"/>
      <c r="J1" s="1041" t="s">
        <v>1610</v>
      </c>
      <c r="K1" s="1037" t="s">
        <v>1611</v>
      </c>
      <c r="L1" s="1038"/>
      <c r="M1" s="1038"/>
    </row>
    <row r="2" spans="1:13">
      <c r="A2" s="309"/>
      <c r="B2" s="310"/>
      <c r="C2" s="311">
        <v>43830</v>
      </c>
      <c r="D2" s="312">
        <v>44196</v>
      </c>
      <c r="E2" s="312">
        <v>44561</v>
      </c>
      <c r="F2" s="1040"/>
      <c r="G2" s="311">
        <v>43830</v>
      </c>
      <c r="H2" s="312">
        <v>44196</v>
      </c>
      <c r="I2" s="312">
        <v>44561</v>
      </c>
      <c r="J2" s="1042"/>
      <c r="K2" s="311">
        <v>43830</v>
      </c>
      <c r="L2" s="312">
        <v>44196</v>
      </c>
      <c r="M2" s="312">
        <v>44561</v>
      </c>
    </row>
    <row r="3" spans="1:13">
      <c r="A3" s="313" t="s">
        <v>1535</v>
      </c>
      <c r="B3" s="314"/>
      <c r="C3" s="43">
        <f>G3*(1+$F$3)</f>
        <v>0.20725605807099573</v>
      </c>
      <c r="D3" s="43">
        <f>H3*(1+$F$3)</f>
        <v>0.20725605807099573</v>
      </c>
      <c r="E3" s="43">
        <f>I3*(1+$F$3)</f>
        <v>0.20725605807099573</v>
      </c>
      <c r="F3" s="315">
        <v>0.1</v>
      </c>
      <c r="G3" s="316">
        <f>预测利润表!H8</f>
        <v>0.18841459824635973</v>
      </c>
      <c r="H3" s="316">
        <f>预测利润表!I8</f>
        <v>0.18841459824635973</v>
      </c>
      <c r="I3" s="316">
        <f>预测利润表!J8</f>
        <v>0.18841459824635973</v>
      </c>
      <c r="J3" s="315">
        <v>-0.1</v>
      </c>
      <c r="K3" s="316">
        <f>G3*(1+$J$3)</f>
        <v>0.16957313842172375</v>
      </c>
      <c r="L3" s="316">
        <f>H3*(1+$J$3)</f>
        <v>0.16957313842172375</v>
      </c>
      <c r="M3" s="316">
        <f>I3*(1+$J$3)</f>
        <v>0.16957313842172375</v>
      </c>
    </row>
    <row r="4" spans="1:13">
      <c r="A4" s="317" t="s">
        <v>1612</v>
      </c>
      <c r="B4" s="318"/>
      <c r="C4" s="43">
        <f>G4*(1+$F$4)</f>
        <v>0.63397683913980629</v>
      </c>
      <c r="D4" s="43">
        <f>H3*(1+$F$4)</f>
        <v>0.18276216029896894</v>
      </c>
      <c r="E4" s="43">
        <f>I3*(1+$F$4)</f>
        <v>0.18276216029896894</v>
      </c>
      <c r="F4" s="319">
        <v>-0.03</v>
      </c>
      <c r="G4" s="43">
        <f>预测利润表!H9/预测利润表!H7</f>
        <v>0.65358437024722305</v>
      </c>
      <c r="H4" s="43">
        <f>预测利润表!I9/预测利润表!I7</f>
        <v>0.65358437024722305</v>
      </c>
      <c r="I4" s="43">
        <f>预测利润表!J9/预测利润表!J7</f>
        <v>0.65358437024722305</v>
      </c>
      <c r="J4" s="319">
        <v>0.03</v>
      </c>
      <c r="K4" s="43">
        <f>G4*(1+$J$4)</f>
        <v>0.6731919013546398</v>
      </c>
      <c r="L4" s="43">
        <f>H3*(1+$J$4)</f>
        <v>0.19406703619375051</v>
      </c>
      <c r="M4" s="43">
        <f>I3*(1+$J$4)</f>
        <v>0.19406703619375051</v>
      </c>
    </row>
    <row r="5" spans="1:13">
      <c r="A5" s="317" t="s">
        <v>1613</v>
      </c>
      <c r="B5" s="318"/>
      <c r="C5" s="43">
        <f>G5*(1+$F$5)</f>
        <v>1.3440731041020188E-2</v>
      </c>
      <c r="D5" s="43">
        <f>H3*(1+$F$5)</f>
        <v>0.18276216029896894</v>
      </c>
      <c r="E5" s="43">
        <f>I3*(1+$F$5)</f>
        <v>0.18276216029896894</v>
      </c>
      <c r="F5" s="319">
        <v>-0.03</v>
      </c>
      <c r="G5" s="43">
        <f>预测利润表!H12</f>
        <v>1.385642375362906E-2</v>
      </c>
      <c r="H5" s="43">
        <f>预测利润表!I12</f>
        <v>1.385642375362906E-2</v>
      </c>
      <c r="I5" s="43">
        <f>预测利润表!J12</f>
        <v>1.385642375362906E-2</v>
      </c>
      <c r="J5" s="319">
        <v>0.03</v>
      </c>
      <c r="K5" s="43">
        <f>G5*(1+$J$5)</f>
        <v>1.4272116466237932E-2</v>
      </c>
      <c r="L5" s="43">
        <f>H3*(1+$J$5)</f>
        <v>0.19406703619375051</v>
      </c>
      <c r="M5" s="43">
        <f>I3*(1+$J$5)</f>
        <v>0.19406703619375051</v>
      </c>
    </row>
    <row r="6" spans="1:13">
      <c r="A6" s="317" t="s">
        <v>1614</v>
      </c>
      <c r="B6" s="318"/>
      <c r="C6" s="43">
        <f>G6*(1+F6)</f>
        <v>9.3936978727762369E-2</v>
      </c>
      <c r="D6" s="43">
        <f>H3*(1+F6)</f>
        <v>0.18276216029896894</v>
      </c>
      <c r="E6" s="43">
        <f>I3*(1+F6)</f>
        <v>0.18276216029896894</v>
      </c>
      <c r="F6" s="319">
        <v>-0.03</v>
      </c>
      <c r="G6" s="43">
        <f>预测利润表!H16</f>
        <v>9.6842246111095223E-2</v>
      </c>
      <c r="H6" s="43">
        <f>预测利润表!I16</f>
        <v>9.2803330641816992E-2</v>
      </c>
      <c r="I6" s="43">
        <f>预测利润表!J16</f>
        <v>8.2758440503019004E-2</v>
      </c>
      <c r="J6" s="319">
        <v>0.03</v>
      </c>
      <c r="K6" s="43">
        <f>G6*(1+J6)</f>
        <v>9.9747513494428078E-2</v>
      </c>
      <c r="L6" s="43">
        <f>H3*(1+J6)</f>
        <v>0.19406703619375051</v>
      </c>
      <c r="M6" s="43">
        <f>I3*(1+J6)</f>
        <v>0.19406703619375051</v>
      </c>
    </row>
    <row r="7" spans="1:13">
      <c r="A7" s="317" t="s">
        <v>1615</v>
      </c>
      <c r="B7" s="318"/>
      <c r="C7" s="43">
        <f>G7*(1+F7)</f>
        <v>3.1625486394255865E-2</v>
      </c>
      <c r="D7" s="43">
        <f>H3*(1+F7)</f>
        <v>0.18276216029896894</v>
      </c>
      <c r="E7" s="43">
        <f>I3*(1+F7)</f>
        <v>0.18276216029896894</v>
      </c>
      <c r="F7" s="319">
        <v>-0.03</v>
      </c>
      <c r="G7" s="43">
        <f>预测利润表!D14</f>
        <v>3.2603594220882333E-2</v>
      </c>
      <c r="H7" s="43">
        <f>预测利润表!E14</f>
        <v>2.9631350777113558E-2</v>
      </c>
      <c r="I7" s="43">
        <f>预测利润表!F14</f>
        <v>3.4386574406443847E-2</v>
      </c>
      <c r="J7" s="319">
        <v>0.03</v>
      </c>
      <c r="K7" s="43">
        <f>G7*(1+J7)</f>
        <v>3.35817020475088E-2</v>
      </c>
      <c r="L7" s="43">
        <f>H3*(1+J7)</f>
        <v>0.19406703619375051</v>
      </c>
      <c r="M7" s="43">
        <f>I3*(1+J7)</f>
        <v>0.19406703619375051</v>
      </c>
    </row>
    <row r="8" spans="1:13">
      <c r="A8" s="320" t="s">
        <v>1616</v>
      </c>
      <c r="B8" s="321"/>
      <c r="C8" s="43">
        <f>G8*(1+F8)</f>
        <v>0</v>
      </c>
      <c r="D8" s="43">
        <f>H3*(1+F8)</f>
        <v>0.20725605807099573</v>
      </c>
      <c r="E8" s="43">
        <f>I3*(1+F8)</f>
        <v>0.20725605807099573</v>
      </c>
      <c r="F8" s="319">
        <v>0.1</v>
      </c>
      <c r="G8" s="43">
        <f>预测利润表!D47</f>
        <v>0</v>
      </c>
      <c r="H8" s="43">
        <f>预测利润表!E47</f>
        <v>0</v>
      </c>
      <c r="I8" s="43">
        <f>预测利润表!F47</f>
        <v>0</v>
      </c>
      <c r="J8" s="319">
        <v>-0.1</v>
      </c>
      <c r="K8" s="43">
        <f>G8*(1+J8)</f>
        <v>0</v>
      </c>
      <c r="L8" s="43">
        <f>H3*(1+J8)</f>
        <v>0.16957313842172375</v>
      </c>
      <c r="M8" s="43">
        <f>I3*(1+J8)</f>
        <v>0.16957313842172375</v>
      </c>
    </row>
    <row r="9" spans="1:13" s="305" customFormat="1" ht="15.05">
      <c r="A9" s="322" t="s">
        <v>855</v>
      </c>
      <c r="B9" s="323"/>
      <c r="F9" s="324"/>
      <c r="G9" s="325"/>
      <c r="H9" s="325"/>
      <c r="I9" s="325"/>
      <c r="J9" s="324"/>
      <c r="K9" s="361"/>
    </row>
    <row r="10" spans="1:13">
      <c r="A10" s="326" t="s">
        <v>856</v>
      </c>
      <c r="B10" s="327"/>
      <c r="F10" s="328"/>
      <c r="G10" s="329"/>
      <c r="H10" s="362"/>
      <c r="I10" s="362"/>
      <c r="J10" s="328"/>
    </row>
    <row r="11" spans="1:13">
      <c r="A11" s="330"/>
      <c r="B11" s="331" t="s">
        <v>857</v>
      </c>
      <c r="C11" s="332">
        <f>预测利润表!G7*(1+C3)</f>
        <v>28.515905275544618</v>
      </c>
      <c r="D11" s="333">
        <f>C11*(1+D3)</f>
        <v>34.425999395279902</v>
      </c>
      <c r="E11" s="333">
        <f>D11*(1+E3)</f>
        <v>41.560996325100092</v>
      </c>
      <c r="F11" s="328"/>
      <c r="G11" s="334">
        <f>预测利润表!H7</f>
        <v>28.070861922876926</v>
      </c>
      <c r="H11" s="363">
        <f>预测利润表!I7</f>
        <v>33.359822094504814</v>
      </c>
      <c r="I11" s="363">
        <f>预测利润表!J7</f>
        <v>39.64529957201097</v>
      </c>
      <c r="J11" s="328"/>
      <c r="K11" s="337">
        <f>预测利润表!G7*(1+K3)</f>
        <v>27.625818570209237</v>
      </c>
      <c r="L11" s="333">
        <f>K11*(1+L3)</f>
        <v>32.310415326628757</v>
      </c>
      <c r="M11" s="333">
        <f>L11*(1+M3)</f>
        <v>37.789393857274561</v>
      </c>
    </row>
    <row r="12" spans="1:13">
      <c r="A12" s="335" t="s">
        <v>858</v>
      </c>
      <c r="B12" s="331" t="s">
        <v>859</v>
      </c>
      <c r="C12" s="332">
        <f>C11*C4</f>
        <v>18.078423491799903</v>
      </c>
      <c r="D12" s="336">
        <f>D11*D4</f>
        <v>6.2917700199323532</v>
      </c>
      <c r="E12" s="336">
        <f>E11*E4</f>
        <v>7.5957774725528022</v>
      </c>
      <c r="F12" s="328"/>
      <c r="G12" s="337">
        <f>预测利润表!H9</f>
        <v>18.34667661216027</v>
      </c>
      <c r="H12" s="333">
        <f>预测利润表!I9</f>
        <v>21.803458315196327</v>
      </c>
      <c r="I12" s="333">
        <f>预测利润表!J9</f>
        <v>25.911548154035291</v>
      </c>
      <c r="J12" s="328"/>
      <c r="K12" s="337">
        <f>K4*K11</f>
        <v>18.597477329757474</v>
      </c>
      <c r="L12" s="333">
        <f>L4*L11</f>
        <v>6.2703865406279746</v>
      </c>
      <c r="M12" s="333">
        <f>M4*M11</f>
        <v>7.3336756654395954</v>
      </c>
    </row>
    <row r="13" spans="1:13">
      <c r="A13" s="330"/>
      <c r="B13" s="331" t="s">
        <v>860</v>
      </c>
      <c r="C13" s="333">
        <f>C11*C5</f>
        <v>0.38327461319980388</v>
      </c>
      <c r="D13" s="333">
        <f>D11*D5</f>
        <v>6.2917700199323532</v>
      </c>
      <c r="E13" s="333">
        <f>E11*E5</f>
        <v>7.5957774725528022</v>
      </c>
      <c r="F13" s="328"/>
      <c r="G13" s="337">
        <f>预测利润表!H11</f>
        <v>0.38896175793299337</v>
      </c>
      <c r="H13" s="333">
        <f>预测利润表!I11</f>
        <v>0.46224783128713604</v>
      </c>
      <c r="I13" s="333">
        <f>预测利润表!J11</f>
        <v>0.54934207070935281</v>
      </c>
      <c r="J13" s="328"/>
      <c r="K13" s="337">
        <f>G13</f>
        <v>0.38896175793299337</v>
      </c>
      <c r="L13" s="333">
        <f>H13</f>
        <v>0.46224783128713604</v>
      </c>
      <c r="M13" s="333">
        <f>I13</f>
        <v>0.54934207070935281</v>
      </c>
    </row>
    <row r="14" spans="1:13">
      <c r="A14" s="330"/>
      <c r="B14" s="331" t="s">
        <v>861</v>
      </c>
      <c r="C14" s="337">
        <f>C7*C11</f>
        <v>0.90182937431162535</v>
      </c>
      <c r="D14" s="333">
        <f>D7*D11</f>
        <v>6.2917700199323532</v>
      </c>
      <c r="E14" s="333">
        <f>E7*E11</f>
        <v>7.5957774725528022</v>
      </c>
      <c r="F14" s="328"/>
      <c r="G14" s="337">
        <f>预测利润表!H13</f>
        <v>0.86770223294058424</v>
      </c>
      <c r="H14" s="333">
        <f>预测利润表!I13</f>
        <v>1.0454211372952795</v>
      </c>
      <c r="I14" s="333">
        <f>预测利润表!J13</f>
        <v>1.2021029733031254</v>
      </c>
      <c r="J14" s="328"/>
      <c r="K14" s="337">
        <f>K7*K11</f>
        <v>0.92772200804330218</v>
      </c>
      <c r="L14" s="333">
        <f>L7*L11</f>
        <v>6.2703865406279746</v>
      </c>
      <c r="M14" s="333">
        <f>M7*M11</f>
        <v>7.3336756654395954</v>
      </c>
    </row>
    <row r="15" spans="1:13">
      <c r="A15" s="330"/>
      <c r="B15" s="331" t="s">
        <v>862</v>
      </c>
      <c r="C15" s="337">
        <f>C6*C11</f>
        <v>2.6786979872717214</v>
      </c>
      <c r="D15" s="333">
        <f>D6*D11</f>
        <v>6.2917700199323532</v>
      </c>
      <c r="E15" s="333">
        <f>E6*E11</f>
        <v>7.5957774725528022</v>
      </c>
      <c r="F15" s="328"/>
      <c r="G15" s="337">
        <f>预测利润表!H15</f>
        <v>2.7184453188858191</v>
      </c>
      <c r="H15" s="333">
        <f>预测利润表!I15</f>
        <v>3.0959025999885221</v>
      </c>
      <c r="I15" s="333">
        <f>预测利润表!J15</f>
        <v>3.2809831658546345</v>
      </c>
      <c r="J15" s="328"/>
      <c r="K15" s="337">
        <f>K6*K11</f>
        <v>2.7556067106265676</v>
      </c>
      <c r="L15" s="333">
        <f>L6*L11</f>
        <v>6.2703865406279746</v>
      </c>
      <c r="M15" s="333">
        <f>M6*M11</f>
        <v>7.3336756654395954</v>
      </c>
    </row>
    <row r="16" spans="1:13">
      <c r="A16" s="330"/>
      <c r="B16" s="331" t="s">
        <v>863</v>
      </c>
      <c r="C16" s="337">
        <f t="shared" ref="C16:E19" si="0">G16</f>
        <v>-4.0283720851454992E-2</v>
      </c>
      <c r="D16" s="333" t="e">
        <f t="shared" si="0"/>
        <v>#VALUE!</v>
      </c>
      <c r="E16" s="333" t="e">
        <f t="shared" si="0"/>
        <v>#VALUE!</v>
      </c>
      <c r="F16" s="328"/>
      <c r="G16" s="337">
        <f>预测利润表!H17</f>
        <v>-4.0283720851454992E-2</v>
      </c>
      <c r="H16" s="333" t="e">
        <f>预测利润表!I17</f>
        <v>#VALUE!</v>
      </c>
      <c r="I16" s="333" t="e">
        <f>预测利润表!J17</f>
        <v>#VALUE!</v>
      </c>
      <c r="J16" s="328"/>
      <c r="K16" s="337">
        <f t="shared" ref="K16:M19" si="1">G16</f>
        <v>-4.0283720851454992E-2</v>
      </c>
      <c r="L16" s="333" t="e">
        <f t="shared" si="1"/>
        <v>#VALUE!</v>
      </c>
      <c r="M16" s="333" t="e">
        <f t="shared" si="1"/>
        <v>#VALUE!</v>
      </c>
    </row>
    <row r="17" spans="1:13">
      <c r="A17" s="330"/>
      <c r="B17" s="331" t="s">
        <v>945</v>
      </c>
      <c r="C17" s="337">
        <f t="shared" si="0"/>
        <v>0</v>
      </c>
      <c r="D17" s="333">
        <f t="shared" si="0"/>
        <v>0</v>
      </c>
      <c r="E17" s="333">
        <f t="shared" si="0"/>
        <v>0</v>
      </c>
      <c r="F17" s="328"/>
      <c r="G17" s="337">
        <f>预测利润表!H18</f>
        <v>0</v>
      </c>
      <c r="H17" s="333">
        <f>预测利润表!I18</f>
        <v>0</v>
      </c>
      <c r="I17" s="333">
        <f>预测利润表!J18</f>
        <v>0</v>
      </c>
      <c r="J17" s="328"/>
      <c r="K17" s="337">
        <f t="shared" si="1"/>
        <v>0</v>
      </c>
      <c r="L17" s="333">
        <f t="shared" si="1"/>
        <v>0</v>
      </c>
      <c r="M17" s="333">
        <f t="shared" si="1"/>
        <v>0</v>
      </c>
    </row>
    <row r="18" spans="1:13">
      <c r="A18" s="330"/>
      <c r="B18" s="331" t="s">
        <v>864</v>
      </c>
      <c r="C18" s="337">
        <f t="shared" si="0"/>
        <v>0.12505913873333332</v>
      </c>
      <c r="D18" s="333">
        <f t="shared" si="0"/>
        <v>0.14726324361111109</v>
      </c>
      <c r="E18" s="333">
        <f t="shared" si="0"/>
        <v>0.17776982444814815</v>
      </c>
      <c r="F18" s="328"/>
      <c r="G18" s="337">
        <f>预测利润表!H20</f>
        <v>0.12505913873333332</v>
      </c>
      <c r="H18" s="333">
        <f>预测利润表!I20</f>
        <v>0.14726324361111109</v>
      </c>
      <c r="I18" s="333">
        <f>预测利润表!J20</f>
        <v>0.17776982444814815</v>
      </c>
      <c r="J18" s="328"/>
      <c r="K18" s="337">
        <f t="shared" si="1"/>
        <v>0.12505913873333332</v>
      </c>
      <c r="L18" s="333">
        <f t="shared" si="1"/>
        <v>0.14726324361111109</v>
      </c>
      <c r="M18" s="333">
        <f t="shared" si="1"/>
        <v>0.17776982444814815</v>
      </c>
    </row>
    <row r="19" spans="1:13">
      <c r="A19" s="335" t="s">
        <v>865</v>
      </c>
      <c r="B19" s="331" t="s">
        <v>866</v>
      </c>
      <c r="C19" s="337">
        <f t="shared" si="0"/>
        <v>-0.44474874243333368</v>
      </c>
      <c r="D19" s="333">
        <f t="shared" si="0"/>
        <v>-0.59299832324444468</v>
      </c>
      <c r="E19" s="333">
        <f t="shared" si="0"/>
        <v>-0.79066443099259287</v>
      </c>
      <c r="F19" s="328"/>
      <c r="G19" s="337">
        <f>预测利润表!H21</f>
        <v>-0.44474874243333368</v>
      </c>
      <c r="H19" s="333">
        <f>预测利润表!I21</f>
        <v>-0.59299832324444468</v>
      </c>
      <c r="I19" s="333">
        <f>预测利润表!J21</f>
        <v>-0.79066443099259287</v>
      </c>
      <c r="J19" s="328"/>
      <c r="K19" s="337">
        <f t="shared" si="1"/>
        <v>-0.44474874243333368</v>
      </c>
      <c r="L19" s="333">
        <f t="shared" si="1"/>
        <v>-0.59299832324444468</v>
      </c>
      <c r="M19" s="333">
        <f t="shared" si="1"/>
        <v>-0.79066443099259287</v>
      </c>
    </row>
    <row r="20" spans="1:13">
      <c r="A20" s="330"/>
      <c r="B20" s="331" t="s">
        <v>867</v>
      </c>
      <c r="C20" s="337">
        <f>C11-C12-C13-C14-C15-C16-C17-C18+C19</f>
        <v>5.944155648646352</v>
      </c>
      <c r="D20" s="333" t="e">
        <f>D11-D12-D13-D14-D15-D16-D17-D18+D19</f>
        <v>#VALUE!</v>
      </c>
      <c r="E20" s="333" t="e">
        <f>E11-E12-E13-E14-E15-E16-E17-E18+E19</f>
        <v>#VALUE!</v>
      </c>
      <c r="F20" s="328"/>
      <c r="G20" s="337">
        <f>预测利润表!H23</f>
        <v>5.2195518406420476</v>
      </c>
      <c r="H20" s="333" t="e">
        <f>预测利润表!I23</f>
        <v>#VALUE!</v>
      </c>
      <c r="I20" s="333" t="e">
        <f>预测利润表!J23</f>
        <v>#VALUE!</v>
      </c>
      <c r="J20" s="328"/>
      <c r="K20" s="337">
        <f>K11-K12-K13-K14-K15-K16-K17-K18+K19</f>
        <v>4.426526603533687</v>
      </c>
      <c r="L20" s="333" t="e">
        <f t="shared" ref="L20:M20" si="2">L11-L12-L13-L14-L15-L16-L17-L18+L19</f>
        <v>#VALUE!</v>
      </c>
      <c r="M20" s="333" t="e">
        <f t="shared" ref="M20" si="3">M11-M12-M13-M14-M15-M16-M17-M18+M19</f>
        <v>#VALUE!</v>
      </c>
    </row>
    <row r="21" spans="1:13">
      <c r="A21" s="335" t="s">
        <v>858</v>
      </c>
      <c r="B21" s="331" t="s">
        <v>868</v>
      </c>
      <c r="C21" s="337">
        <f>C20*C23</f>
        <v>0</v>
      </c>
      <c r="D21" s="333" t="e">
        <f>D20*D23</f>
        <v>#VALUE!</v>
      </c>
      <c r="E21" s="333" t="e">
        <f>E20*E23</f>
        <v>#VALUE!</v>
      </c>
      <c r="F21" s="328"/>
      <c r="G21" s="337">
        <f>预测利润表!H24</f>
        <v>0</v>
      </c>
      <c r="H21" s="333">
        <f>预测利润表!I24</f>
        <v>0</v>
      </c>
      <c r="I21" s="333">
        <f>预测利润表!J24</f>
        <v>0</v>
      </c>
      <c r="J21" s="328"/>
      <c r="K21" s="337">
        <f>K20*K23</f>
        <v>0</v>
      </c>
      <c r="L21" s="333" t="e">
        <f>L20*L23</f>
        <v>#VALUE!</v>
      </c>
      <c r="M21" s="333" t="e">
        <f>M20*M23</f>
        <v>#VALUE!</v>
      </c>
    </row>
    <row r="22" spans="1:13">
      <c r="A22" s="330"/>
      <c r="B22" s="338" t="s">
        <v>869</v>
      </c>
      <c r="C22" s="337">
        <f>C20-C21</f>
        <v>5.944155648646352</v>
      </c>
      <c r="D22" s="333" t="e">
        <f>D20-D21</f>
        <v>#VALUE!</v>
      </c>
      <c r="E22" s="333" t="e">
        <f>E20-E21</f>
        <v>#VALUE!</v>
      </c>
      <c r="F22" s="328"/>
      <c r="G22" s="337">
        <f>预测利润表!H26</f>
        <v>5.2195518406420476</v>
      </c>
      <c r="H22" s="333" t="e">
        <f>预测利润表!I26</f>
        <v>#VALUE!</v>
      </c>
      <c r="I22" s="333" t="e">
        <f>预测利润表!J26</f>
        <v>#VALUE!</v>
      </c>
      <c r="J22" s="328"/>
      <c r="K22" s="337">
        <f>K20-K21</f>
        <v>4.426526603533687</v>
      </c>
      <c r="L22" s="333" t="e">
        <f>L20-L21</f>
        <v>#VALUE!</v>
      </c>
      <c r="M22" s="333" t="e">
        <f>M20-M21</f>
        <v>#VALUE!</v>
      </c>
    </row>
    <row r="23" spans="1:13">
      <c r="A23" s="330"/>
      <c r="B23" s="331" t="s">
        <v>870</v>
      </c>
      <c r="C23" s="339">
        <f>G23</f>
        <v>0</v>
      </c>
      <c r="D23" s="340">
        <f>H23</f>
        <v>0</v>
      </c>
      <c r="E23" s="340">
        <f>I23</f>
        <v>0</v>
      </c>
      <c r="F23" s="328"/>
      <c r="G23" s="339">
        <f>预测利润表!H25</f>
        <v>0</v>
      </c>
      <c r="H23" s="340">
        <f>预测利润表!I25</f>
        <v>0</v>
      </c>
      <c r="I23" s="340">
        <f>预测利润表!J25</f>
        <v>0</v>
      </c>
      <c r="J23" s="328"/>
      <c r="K23" s="339">
        <f>G23</f>
        <v>0</v>
      </c>
      <c r="L23" s="340">
        <f>H23</f>
        <v>0</v>
      </c>
      <c r="M23" s="340">
        <f>I23</f>
        <v>0</v>
      </c>
    </row>
    <row r="24" spans="1:13">
      <c r="A24" s="341" t="s">
        <v>871</v>
      </c>
      <c r="B24" s="342"/>
      <c r="C24" s="343"/>
      <c r="D24" s="344"/>
      <c r="E24" s="344"/>
      <c r="F24" s="328"/>
      <c r="G24" s="343"/>
      <c r="H24" s="344"/>
      <c r="I24" s="344"/>
      <c r="J24" s="328"/>
      <c r="K24" s="343"/>
      <c r="L24" s="344"/>
      <c r="M24" s="344"/>
    </row>
    <row r="25" spans="1:13">
      <c r="A25" s="345"/>
      <c r="B25" s="346" t="s">
        <v>1321</v>
      </c>
      <c r="C25" s="337">
        <f>预测利润表!H29</f>
        <v>10</v>
      </c>
      <c r="D25" s="347">
        <f>预测利润表!I29</f>
        <v>0</v>
      </c>
      <c r="E25" s="347">
        <f>预测利润表!J29</f>
        <v>0</v>
      </c>
      <c r="F25" s="328"/>
      <c r="G25" s="337">
        <f>预测利润表!H29</f>
        <v>10</v>
      </c>
      <c r="H25" s="333">
        <f>预测利润表!I29</f>
        <v>0</v>
      </c>
      <c r="I25" s="333">
        <f>预测利润表!J29</f>
        <v>0</v>
      </c>
      <c r="J25" s="328"/>
      <c r="K25" s="337">
        <f t="shared" ref="K25:K35" si="4">G25</f>
        <v>10</v>
      </c>
      <c r="L25" s="333">
        <f t="shared" ref="L25:M35" si="5">H25</f>
        <v>0</v>
      </c>
      <c r="M25" s="333">
        <f t="shared" si="5"/>
        <v>0</v>
      </c>
    </row>
    <row r="26" spans="1:13">
      <c r="A26" s="348"/>
      <c r="B26" s="349" t="s">
        <v>1322</v>
      </c>
      <c r="C26" s="337">
        <f>预测利润表!H30</f>
        <v>5</v>
      </c>
      <c r="D26" s="347">
        <f>预测利润表!I30</f>
        <v>0</v>
      </c>
      <c r="E26" s="347">
        <f>预测利润表!J30</f>
        <v>0</v>
      </c>
      <c r="F26" s="328"/>
      <c r="G26" s="337">
        <f>预测利润表!H30</f>
        <v>5</v>
      </c>
      <c r="H26" s="333">
        <f>预测利润表!I30</f>
        <v>0</v>
      </c>
      <c r="I26" s="333">
        <f>预测利润表!J30</f>
        <v>0</v>
      </c>
      <c r="J26" s="328"/>
      <c r="K26" s="337">
        <f t="shared" si="4"/>
        <v>5</v>
      </c>
      <c r="L26" s="333">
        <f t="shared" si="5"/>
        <v>0</v>
      </c>
      <c r="M26" s="333">
        <f t="shared" si="5"/>
        <v>0</v>
      </c>
    </row>
    <row r="27" spans="1:13" hidden="1">
      <c r="A27" s="348"/>
      <c r="B27" s="349" t="s">
        <v>1392</v>
      </c>
      <c r="C27" s="337">
        <f>预测利润表!H31</f>
        <v>0</v>
      </c>
      <c r="D27" s="347">
        <f>预测利润表!I31</f>
        <v>0</v>
      </c>
      <c r="E27" s="347">
        <f>预测利润表!J31</f>
        <v>0</v>
      </c>
      <c r="F27" s="328"/>
      <c r="G27" s="337">
        <f>预测利润表!H31</f>
        <v>0</v>
      </c>
      <c r="H27" s="333">
        <f>预测利润表!I31</f>
        <v>0</v>
      </c>
      <c r="I27" s="333">
        <f>预测利润表!J31</f>
        <v>0</v>
      </c>
      <c r="J27" s="328"/>
      <c r="K27" s="337">
        <f t="shared" si="4"/>
        <v>0</v>
      </c>
      <c r="L27" s="333">
        <f t="shared" si="5"/>
        <v>0</v>
      </c>
      <c r="M27" s="333">
        <f t="shared" si="5"/>
        <v>0</v>
      </c>
    </row>
    <row r="28" spans="1:13">
      <c r="A28" s="350"/>
      <c r="B28" s="349" t="s">
        <v>1441</v>
      </c>
      <c r="C28" s="337">
        <f>预测利润表!H32</f>
        <v>0</v>
      </c>
      <c r="D28" s="347">
        <f>预测利润表!I32</f>
        <v>1</v>
      </c>
      <c r="E28" s="347">
        <f>预测利润表!J32</f>
        <v>2</v>
      </c>
      <c r="F28" s="328"/>
      <c r="G28" s="337">
        <f>预测利润表!H32</f>
        <v>0</v>
      </c>
      <c r="H28" s="333">
        <f>预测利润表!I32</f>
        <v>1</v>
      </c>
      <c r="I28" s="333">
        <f>预测利润表!J32</f>
        <v>2</v>
      </c>
      <c r="J28" s="328"/>
      <c r="K28" s="337">
        <f t="shared" si="4"/>
        <v>0</v>
      </c>
      <c r="L28" s="333">
        <f t="shared" si="5"/>
        <v>1</v>
      </c>
      <c r="M28" s="333">
        <f t="shared" si="5"/>
        <v>2</v>
      </c>
    </row>
    <row r="29" spans="1:13">
      <c r="A29" s="350"/>
      <c r="B29" s="349" t="s">
        <v>1442</v>
      </c>
      <c r="C29" s="337">
        <f>预测利润表!H33</f>
        <v>0</v>
      </c>
      <c r="D29" s="347">
        <f>预测利润表!I33</f>
        <v>0</v>
      </c>
      <c r="E29" s="347">
        <f>预测利润表!J33</f>
        <v>0</v>
      </c>
      <c r="F29" s="328"/>
      <c r="G29" s="337">
        <f>预测利润表!H33</f>
        <v>0</v>
      </c>
      <c r="H29" s="333">
        <f>预测利润表!I33</f>
        <v>0</v>
      </c>
      <c r="I29" s="333">
        <f>预测利润表!J33</f>
        <v>0</v>
      </c>
      <c r="J29" s="328"/>
      <c r="K29" s="337">
        <f t="shared" si="4"/>
        <v>0</v>
      </c>
      <c r="L29" s="333">
        <f t="shared" si="5"/>
        <v>0</v>
      </c>
      <c r="M29" s="333">
        <f t="shared" si="5"/>
        <v>0</v>
      </c>
    </row>
    <row r="30" spans="1:13">
      <c r="A30" s="350"/>
      <c r="B30" s="349" t="s">
        <v>875</v>
      </c>
      <c r="C30" s="337">
        <f>预测利润表!H34</f>
        <v>-4.8026621666666667E-3</v>
      </c>
      <c r="D30" s="347">
        <f>预测利润表!I34</f>
        <v>-3.2991466555555558E-3</v>
      </c>
      <c r="E30" s="347">
        <f>预测利润表!J34</f>
        <v>-4.398862207407408E-3</v>
      </c>
      <c r="F30" s="328"/>
      <c r="G30" s="337">
        <f>预测利润表!H34</f>
        <v>-4.8026621666666667E-3</v>
      </c>
      <c r="H30" s="333">
        <f>预测利润表!I34</f>
        <v>-3.2991466555555558E-3</v>
      </c>
      <c r="I30" s="333">
        <f>预测利润表!J34</f>
        <v>-4.398862207407408E-3</v>
      </c>
      <c r="J30" s="328"/>
      <c r="K30" s="337">
        <f t="shared" si="4"/>
        <v>-4.8026621666666667E-3</v>
      </c>
      <c r="L30" s="333">
        <f t="shared" si="5"/>
        <v>-3.2991466555555558E-3</v>
      </c>
      <c r="M30" s="333">
        <f t="shared" si="5"/>
        <v>-4.398862207407408E-3</v>
      </c>
    </row>
    <row r="31" spans="1:13">
      <c r="A31" s="350"/>
      <c r="B31" s="349" t="s">
        <v>1443</v>
      </c>
      <c r="C31" s="337">
        <f>预测利润表!H35</f>
        <v>0.4573408044333333</v>
      </c>
      <c r="D31" s="347">
        <f>预测利润表!I35</f>
        <v>0.53397656104444446</v>
      </c>
      <c r="E31" s="347">
        <f>预测利润表!J35</f>
        <v>0.63465308799259257</v>
      </c>
      <c r="F31" s="328"/>
      <c r="G31" s="337">
        <f>预测利润表!H35</f>
        <v>0.4573408044333333</v>
      </c>
      <c r="H31" s="333">
        <f>预测利润表!I35</f>
        <v>0.53397656104444446</v>
      </c>
      <c r="I31" s="333">
        <f>预测利润表!J35</f>
        <v>0.63465308799259257</v>
      </c>
      <c r="J31" s="328"/>
      <c r="K31" s="337">
        <f t="shared" si="4"/>
        <v>0.4573408044333333</v>
      </c>
      <c r="L31" s="333">
        <f t="shared" si="5"/>
        <v>0.53397656104444446</v>
      </c>
      <c r="M31" s="333">
        <f t="shared" si="5"/>
        <v>0.63465308799259257</v>
      </c>
    </row>
    <row r="32" spans="1:13">
      <c r="A32" s="350"/>
      <c r="B32" s="351" t="s">
        <v>877</v>
      </c>
      <c r="C32" s="337">
        <f>预测利润表!H36</f>
        <v>15.452538142266667</v>
      </c>
      <c r="D32" s="347">
        <f>预测利润表!I36</f>
        <v>1.5306774143888888</v>
      </c>
      <c r="E32" s="347">
        <f>预测利润表!J36</f>
        <v>2.6302542257851851</v>
      </c>
      <c r="F32" s="328"/>
      <c r="G32" s="337">
        <f>预测利润表!H36</f>
        <v>15.452538142266667</v>
      </c>
      <c r="H32" s="333">
        <f>预测利润表!I36</f>
        <v>1.5306774143888888</v>
      </c>
      <c r="I32" s="333">
        <f>预测利润表!J36</f>
        <v>2.6302542257851851</v>
      </c>
      <c r="J32" s="328"/>
      <c r="K32" s="337">
        <f t="shared" si="4"/>
        <v>15.452538142266667</v>
      </c>
      <c r="L32" s="333">
        <f t="shared" si="5"/>
        <v>1.5306774143888888</v>
      </c>
      <c r="M32" s="333">
        <f t="shared" si="5"/>
        <v>2.6302542257851851</v>
      </c>
    </row>
    <row r="33" spans="1:13">
      <c r="A33" s="348" t="s">
        <v>858</v>
      </c>
      <c r="B33" s="351" t="s">
        <v>878</v>
      </c>
      <c r="C33" s="337">
        <f>预测利润表!H37</f>
        <v>0</v>
      </c>
      <c r="D33" s="347">
        <f>预测利润表!I37</f>
        <v>0</v>
      </c>
      <c r="E33" s="347">
        <f>预测利润表!J37</f>
        <v>0</v>
      </c>
      <c r="F33" s="328"/>
      <c r="G33" s="337">
        <f>预测利润表!H37</f>
        <v>0</v>
      </c>
      <c r="H33" s="333">
        <f>预测利润表!I37</f>
        <v>0</v>
      </c>
      <c r="I33" s="333">
        <f>预测利润表!J37</f>
        <v>0</v>
      </c>
      <c r="J33" s="328"/>
      <c r="K33" s="337">
        <f t="shared" si="4"/>
        <v>0</v>
      </c>
      <c r="L33" s="333">
        <f t="shared" si="5"/>
        <v>0</v>
      </c>
      <c r="M33" s="333">
        <f t="shared" si="5"/>
        <v>0</v>
      </c>
    </row>
    <row r="34" spans="1:13">
      <c r="A34" s="348" t="s">
        <v>865</v>
      </c>
      <c r="B34" s="351" t="s">
        <v>1444</v>
      </c>
      <c r="C34" s="337">
        <f>预测利润表!H38</f>
        <v>0.56447551789275918</v>
      </c>
      <c r="D34" s="347">
        <f>预测利润表!I38</f>
        <v>0.56447551789275918</v>
      </c>
      <c r="E34" s="347">
        <f>预测利润表!J38</f>
        <v>0.56447551789275918</v>
      </c>
      <c r="F34" s="328"/>
      <c r="G34" s="337">
        <f>预测利润表!H38</f>
        <v>0.56447551789275918</v>
      </c>
      <c r="H34" s="333">
        <f>预测利润表!I38</f>
        <v>0.56447551789275918</v>
      </c>
      <c r="I34" s="333">
        <f>预测利润表!J38</f>
        <v>0.56447551789275918</v>
      </c>
      <c r="J34" s="328"/>
      <c r="K34" s="337">
        <f t="shared" si="4"/>
        <v>0.56447551789275918</v>
      </c>
      <c r="L34" s="333">
        <f t="shared" si="5"/>
        <v>0.56447551789275918</v>
      </c>
      <c r="M34" s="333">
        <f t="shared" si="5"/>
        <v>0.56447551789275918</v>
      </c>
    </row>
    <row r="35" spans="1:13">
      <c r="A35" s="350"/>
      <c r="B35" s="352" t="s">
        <v>880</v>
      </c>
      <c r="C35" s="337">
        <f>预测利润表!H39</f>
        <v>16.017013660159424</v>
      </c>
      <c r="D35" s="347">
        <f>预测利润表!I39</f>
        <v>2.095152932281648</v>
      </c>
      <c r="E35" s="347">
        <f>预测利润表!J39</f>
        <v>3.1947297436779443</v>
      </c>
      <c r="F35" s="328"/>
      <c r="G35" s="337">
        <f>预测利润表!H39</f>
        <v>16.017013660159424</v>
      </c>
      <c r="H35" s="333">
        <f>预测利润表!I39</f>
        <v>2.095152932281648</v>
      </c>
      <c r="I35" s="333">
        <f>预测利润表!J39</f>
        <v>3.1947297436779443</v>
      </c>
      <c r="J35" s="328"/>
      <c r="K35" s="337">
        <f t="shared" si="4"/>
        <v>16.017013660159424</v>
      </c>
      <c r="L35" s="333">
        <f t="shared" si="5"/>
        <v>2.095152932281648</v>
      </c>
      <c r="M35" s="333">
        <f t="shared" si="5"/>
        <v>3.1947297436779443</v>
      </c>
    </row>
    <row r="36" spans="1:13">
      <c r="A36" s="353" t="s">
        <v>1445</v>
      </c>
      <c r="B36" s="353"/>
      <c r="C36" s="343"/>
      <c r="D36" s="344"/>
      <c r="E36" s="344"/>
      <c r="F36" s="328"/>
      <c r="G36" s="343"/>
      <c r="H36" s="344"/>
      <c r="I36" s="344"/>
      <c r="J36" s="328"/>
      <c r="K36" s="343"/>
      <c r="L36" s="344"/>
      <c r="M36" s="344"/>
    </row>
    <row r="37" spans="1:13">
      <c r="A37" s="348"/>
      <c r="B37" s="352" t="s">
        <v>882</v>
      </c>
      <c r="C37" s="337">
        <f>C22+C35</f>
        <v>21.961169308805776</v>
      </c>
      <c r="D37" s="333" t="e">
        <f>D22+D35</f>
        <v>#VALUE!</v>
      </c>
      <c r="E37" s="333" t="e">
        <f>E22+E35</f>
        <v>#VALUE!</v>
      </c>
      <c r="F37" s="328"/>
      <c r="G37" s="337">
        <f>预测利润表!H42</f>
        <v>21.236565500801472</v>
      </c>
      <c r="H37" s="333" t="e">
        <f>预测利润表!I42</f>
        <v>#VALUE!</v>
      </c>
      <c r="I37" s="333" t="e">
        <f>预测利润表!J42</f>
        <v>#VALUE!</v>
      </c>
      <c r="J37" s="328"/>
      <c r="K37" s="337">
        <f>K22+K35</f>
        <v>20.443540263693112</v>
      </c>
      <c r="L37" s="333" t="e">
        <f>L22+L35</f>
        <v>#VALUE!</v>
      </c>
      <c r="M37" s="333" t="e">
        <f>M22+M35</f>
        <v>#VALUE!</v>
      </c>
    </row>
    <row r="38" spans="1:13">
      <c r="A38" s="354" t="s">
        <v>858</v>
      </c>
      <c r="B38" s="355" t="s">
        <v>883</v>
      </c>
      <c r="C38" s="337">
        <f>预测利润表!H43</f>
        <v>0</v>
      </c>
      <c r="D38" s="333">
        <f>预测利润表!I43</f>
        <v>0</v>
      </c>
      <c r="E38" s="333">
        <f>预测利润表!J43</f>
        <v>0</v>
      </c>
      <c r="F38" s="328"/>
      <c r="G38" s="337">
        <f>预测利润表!H43</f>
        <v>0</v>
      </c>
      <c r="H38" s="333">
        <f>预测利润表!I43</f>
        <v>0</v>
      </c>
      <c r="I38" s="333">
        <f>预测利润表!J43</f>
        <v>0</v>
      </c>
      <c r="J38" s="328"/>
      <c r="K38" s="337">
        <f>G38</f>
        <v>0</v>
      </c>
      <c r="L38" s="333">
        <f>H38</f>
        <v>0</v>
      </c>
      <c r="M38" s="333">
        <f>I38</f>
        <v>0</v>
      </c>
    </row>
    <row r="39" spans="1:13">
      <c r="A39" s="348"/>
      <c r="B39" s="352" t="s">
        <v>884</v>
      </c>
      <c r="C39" s="337">
        <f>C37-C38</f>
        <v>21.961169308805776</v>
      </c>
      <c r="D39" s="333" t="e">
        <f>D37-D38</f>
        <v>#VALUE!</v>
      </c>
      <c r="E39" s="333" t="e">
        <f>E37-E38</f>
        <v>#VALUE!</v>
      </c>
      <c r="F39" s="328"/>
      <c r="G39" s="337">
        <f>预测利润表!H45</f>
        <v>21.236565500801472</v>
      </c>
      <c r="H39" s="333" t="e">
        <f>预测利润表!I45</f>
        <v>#VALUE!</v>
      </c>
      <c r="I39" s="333" t="e">
        <f>预测利润表!J45</f>
        <v>#VALUE!</v>
      </c>
      <c r="J39" s="328"/>
      <c r="K39" s="337">
        <f>K37-K38</f>
        <v>20.443540263693112</v>
      </c>
      <c r="L39" s="333" t="e">
        <f>L37-L38</f>
        <v>#VALUE!</v>
      </c>
      <c r="M39" s="333" t="e">
        <f>M37-M38</f>
        <v>#VALUE!</v>
      </c>
    </row>
    <row r="40" spans="1:13">
      <c r="A40" s="354" t="s">
        <v>858</v>
      </c>
      <c r="B40" s="355" t="s">
        <v>888</v>
      </c>
      <c r="C40" s="337">
        <f>C39*C8</f>
        <v>0</v>
      </c>
      <c r="D40" s="333" t="e">
        <f>D39*D8</f>
        <v>#VALUE!</v>
      </c>
      <c r="E40" s="333" t="e">
        <f>E39*E8</f>
        <v>#VALUE!</v>
      </c>
      <c r="F40" s="328"/>
      <c r="G40" s="337">
        <f>预测利润表!H46</f>
        <v>0</v>
      </c>
      <c r="H40" s="333">
        <f>预测利润表!I46</f>
        <v>0</v>
      </c>
      <c r="I40" s="333">
        <f>预测利润表!J46</f>
        <v>0</v>
      </c>
      <c r="J40" s="328"/>
      <c r="K40" s="337">
        <f>K39*K8</f>
        <v>0</v>
      </c>
      <c r="L40" s="333" t="e">
        <f>L39*L8</f>
        <v>#VALUE!</v>
      </c>
      <c r="M40" s="333" t="e">
        <f>M39*M8</f>
        <v>#VALUE!</v>
      </c>
    </row>
    <row r="41" spans="1:13" ht="15.9" customHeight="1">
      <c r="A41" s="356"/>
      <c r="B41" s="357" t="s">
        <v>1448</v>
      </c>
      <c r="C41" s="358">
        <f>C39-C40</f>
        <v>21.961169308805776</v>
      </c>
      <c r="D41" s="359" t="e">
        <f>D39-D40</f>
        <v>#VALUE!</v>
      </c>
      <c r="E41" s="359" t="e">
        <f>E39-E40</f>
        <v>#VALUE!</v>
      </c>
      <c r="F41" s="360"/>
      <c r="G41" s="358">
        <f>预测利润表!H48</f>
        <v>21.236565500801472</v>
      </c>
      <c r="H41" s="359" t="e">
        <f>预测利润表!I48</f>
        <v>#VALUE!</v>
      </c>
      <c r="I41" s="359" t="e">
        <f>预测利润表!J48</f>
        <v>#VALUE!</v>
      </c>
      <c r="J41" s="360"/>
      <c r="K41" s="358">
        <f>K39-K40</f>
        <v>20.443540263693112</v>
      </c>
      <c r="L41" s="359" t="e">
        <f>L39-L40</f>
        <v>#VALUE!</v>
      </c>
      <c r="M41" s="359" t="e">
        <f>M39-M40</f>
        <v>#VALUE!</v>
      </c>
    </row>
  </sheetData>
  <mergeCells count="5">
    <mergeCell ref="C1:E1"/>
    <mergeCell ref="G1:I1"/>
    <mergeCell ref="K1:M1"/>
    <mergeCell ref="F1:F2"/>
    <mergeCell ref="J1:J2"/>
  </mergeCells>
  <phoneticPr fontId="96" type="noConversion"/>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0" tint="-0.14996795556505021"/>
  </sheetPr>
  <dimension ref="A1:W462"/>
  <sheetViews>
    <sheetView workbookViewId="0">
      <pane ySplit="17" topLeftCell="A57" activePane="bottomLeft" state="frozen"/>
      <selection pane="bottomLeft" activeCell="M39" sqref="M39"/>
    </sheetView>
  </sheetViews>
  <sheetFormatPr defaultColWidth="9" defaultRowHeight="14.35" outlineLevelRow="1"/>
  <cols>
    <col min="2" max="2" width="16.25" customWidth="1"/>
    <col min="3" max="3" width="18.75" customWidth="1"/>
    <col min="4" max="4" width="7.5" bestFit="1" customWidth="1"/>
    <col min="5" max="7" width="8.1875" bestFit="1" customWidth="1"/>
    <col min="8" max="8" width="8.1875" style="206" bestFit="1" customWidth="1"/>
    <col min="9" max="11" width="8.1875" bestFit="1" customWidth="1"/>
    <col min="14" max="14" width="10.25" customWidth="1"/>
  </cols>
  <sheetData>
    <row r="1" spans="1:23">
      <c r="A1" s="207"/>
      <c r="B1" s="208"/>
      <c r="C1" s="209"/>
      <c r="D1" s="210"/>
      <c r="E1" s="210"/>
      <c r="F1" s="210"/>
      <c r="G1" s="210"/>
      <c r="H1" s="271"/>
      <c r="I1" s="210"/>
      <c r="J1" s="210"/>
      <c r="K1" s="210"/>
      <c r="L1" s="210"/>
      <c r="M1" s="210"/>
      <c r="N1" s="210"/>
      <c r="O1" s="210"/>
      <c r="P1" s="210"/>
      <c r="Q1" s="210"/>
      <c r="R1" s="210"/>
      <c r="S1" s="210"/>
      <c r="T1" s="210"/>
      <c r="U1" s="210"/>
      <c r="V1" s="220"/>
      <c r="W1" s="220"/>
    </row>
    <row r="2" spans="1:23" ht="15.35">
      <c r="A2" s="211" t="str">
        <f>'[2]历史年度（原始）'!A2</f>
        <v>单位：元</v>
      </c>
      <c r="B2" s="212"/>
      <c r="C2" s="209"/>
      <c r="D2" s="210"/>
      <c r="E2" s="210"/>
      <c r="F2" s="210"/>
      <c r="G2" s="214"/>
      <c r="H2" s="210"/>
      <c r="I2" s="210"/>
      <c r="J2" s="210"/>
      <c r="K2" s="210"/>
      <c r="L2" s="210"/>
      <c r="M2" s="210"/>
      <c r="N2" s="210"/>
      <c r="O2" s="210"/>
      <c r="P2" s="210"/>
      <c r="Q2" s="210"/>
      <c r="R2" s="210"/>
      <c r="S2" s="210"/>
      <c r="T2" s="210"/>
      <c r="U2" s="210"/>
      <c r="V2" s="220"/>
      <c r="W2" s="220"/>
    </row>
    <row r="3" spans="1:23">
      <c r="A3" s="215"/>
      <c r="B3" s="216" t="s">
        <v>1617</v>
      </c>
      <c r="C3" s="216" t="s">
        <v>1618</v>
      </c>
      <c r="D3" s="217"/>
      <c r="E3" s="218"/>
      <c r="F3" s="218"/>
      <c r="G3" s="219"/>
      <c r="H3" s="272"/>
      <c r="I3" s="273"/>
      <c r="J3" s="273"/>
      <c r="K3" s="224"/>
      <c r="L3" s="224"/>
      <c r="M3" s="224"/>
      <c r="N3" s="224"/>
      <c r="O3" s="224"/>
      <c r="P3" s="224"/>
      <c r="Q3" s="210"/>
      <c r="R3" s="210"/>
      <c r="S3" s="210"/>
      <c r="T3" s="210"/>
      <c r="U3" s="210"/>
      <c r="V3" s="220"/>
      <c r="W3" s="220"/>
    </row>
    <row r="4" spans="1:23">
      <c r="A4" s="220"/>
      <c r="B4" s="221" t="s">
        <v>1619</v>
      </c>
      <c r="C4" s="222">
        <v>4</v>
      </c>
      <c r="D4" s="223"/>
      <c r="E4" s="224"/>
      <c r="F4" s="224"/>
      <c r="G4" s="214"/>
      <c r="H4" s="224"/>
      <c r="I4" s="224"/>
      <c r="J4" s="224"/>
      <c r="K4" s="224"/>
      <c r="L4" s="224"/>
      <c r="M4" s="224"/>
      <c r="N4" s="210"/>
      <c r="O4" s="210"/>
      <c r="P4" s="210"/>
      <c r="Q4" s="210"/>
      <c r="R4" s="210"/>
      <c r="S4" s="210"/>
      <c r="T4" s="210"/>
      <c r="U4" s="210"/>
      <c r="V4" s="220"/>
      <c r="W4" s="220"/>
    </row>
    <row r="5" spans="1:23">
      <c r="A5" s="225"/>
      <c r="B5" s="221" t="s">
        <v>1620</v>
      </c>
      <c r="C5" s="226">
        <v>0.02</v>
      </c>
      <c r="D5" s="227"/>
      <c r="E5" s="228"/>
      <c r="F5" s="228"/>
      <c r="G5" s="214"/>
      <c r="H5" s="209"/>
      <c r="I5" s="274"/>
      <c r="J5" s="274"/>
      <c r="K5" s="275"/>
      <c r="L5" s="274"/>
      <c r="M5" s="210"/>
      <c r="N5" s="210"/>
      <c r="O5" s="210"/>
      <c r="P5" s="210"/>
      <c r="Q5" s="210"/>
      <c r="R5" s="210"/>
      <c r="S5" s="210"/>
      <c r="T5" s="210"/>
      <c r="U5" s="210"/>
      <c r="V5" s="220"/>
      <c r="W5" s="220"/>
    </row>
    <row r="6" spans="1:23">
      <c r="A6" s="225"/>
      <c r="B6" s="221" t="s">
        <v>1621</v>
      </c>
      <c r="C6" s="226">
        <v>2.5000000000000001E-2</v>
      </c>
      <c r="D6" s="227"/>
      <c r="E6" s="229"/>
      <c r="F6" s="229"/>
      <c r="G6" s="214"/>
      <c r="H6" s="276"/>
      <c r="I6" s="277"/>
      <c r="J6" s="274"/>
      <c r="K6" s="275"/>
      <c r="L6" s="274"/>
      <c r="M6" s="210"/>
      <c r="N6" s="210"/>
      <c r="O6" s="210"/>
      <c r="P6" s="210"/>
      <c r="Q6" s="210"/>
      <c r="R6" s="210"/>
      <c r="S6" s="210"/>
      <c r="T6" s="210"/>
      <c r="U6" s="210"/>
      <c r="V6" s="220"/>
      <c r="W6" s="220"/>
    </row>
    <row r="7" spans="1:23">
      <c r="A7" s="220"/>
      <c r="B7" s="221" t="s">
        <v>1622</v>
      </c>
      <c r="C7" s="226">
        <v>0.12</v>
      </c>
      <c r="D7" s="227"/>
      <c r="E7" s="228"/>
      <c r="F7" s="228"/>
      <c r="G7" s="230"/>
      <c r="H7" s="209"/>
      <c r="I7" s="274"/>
      <c r="J7" s="274"/>
      <c r="K7" s="275"/>
      <c r="L7" s="274"/>
      <c r="M7" s="210"/>
      <c r="N7" s="210"/>
      <c r="O7" s="210"/>
      <c r="P7" s="210"/>
      <c r="Q7" s="210"/>
      <c r="R7" s="210"/>
      <c r="S7" s="210"/>
      <c r="T7" s="210"/>
      <c r="U7" s="210"/>
      <c r="V7" s="220"/>
      <c r="W7" s="220"/>
    </row>
    <row r="8" spans="1:23" ht="15.35">
      <c r="A8" s="212"/>
      <c r="B8" s="221" t="s">
        <v>1623</v>
      </c>
      <c r="C8" s="226">
        <v>0.33</v>
      </c>
      <c r="D8" s="231" t="s">
        <v>1624</v>
      </c>
      <c r="E8" s="228"/>
      <c r="F8" s="228"/>
      <c r="G8" s="232"/>
      <c r="H8" s="278"/>
      <c r="I8" s="274"/>
      <c r="J8" s="274"/>
      <c r="K8" s="275"/>
      <c r="L8" s="274"/>
      <c r="M8" s="210"/>
      <c r="N8" s="210"/>
      <c r="O8" s="210"/>
      <c r="P8" s="210"/>
      <c r="Q8" s="210"/>
      <c r="R8" s="210"/>
      <c r="S8" s="210"/>
      <c r="T8" s="210"/>
      <c r="U8" s="210"/>
      <c r="V8" s="220"/>
      <c r="W8" s="220"/>
    </row>
    <row r="9" spans="1:23">
      <c r="A9" s="233"/>
      <c r="B9" s="233"/>
      <c r="C9" s="231"/>
      <c r="D9" s="234">
        <v>43672</v>
      </c>
      <c r="E9" s="121">
        <v>43830</v>
      </c>
      <c r="F9" s="121">
        <v>44196</v>
      </c>
      <c r="G9" s="121">
        <v>44561</v>
      </c>
      <c r="H9" s="279">
        <v>44926</v>
      </c>
      <c r="I9" s="279">
        <v>45291</v>
      </c>
      <c r="J9" s="279">
        <v>45657</v>
      </c>
      <c r="K9" s="279">
        <v>46022</v>
      </c>
      <c r="L9" s="217"/>
      <c r="M9" s="217"/>
      <c r="N9" s="217"/>
      <c r="O9" s="217"/>
      <c r="P9" s="217"/>
      <c r="Q9" s="217"/>
      <c r="R9" s="224"/>
      <c r="S9" s="224"/>
      <c r="T9" s="224"/>
      <c r="U9" s="224"/>
      <c r="V9" s="224"/>
      <c r="W9" s="225"/>
    </row>
    <row r="10" spans="1:23">
      <c r="A10" s="233"/>
      <c r="B10" s="211" t="s">
        <v>1625</v>
      </c>
      <c r="C10" s="226">
        <v>0.03</v>
      </c>
      <c r="D10" s="235"/>
      <c r="E10" s="236"/>
      <c r="F10" s="236"/>
      <c r="G10" s="236"/>
      <c r="H10" s="280"/>
      <c r="I10" s="280"/>
      <c r="J10" s="280"/>
      <c r="K10" s="280"/>
      <c r="L10" s="281"/>
      <c r="M10" s="281"/>
      <c r="N10" s="281"/>
      <c r="O10" s="281"/>
      <c r="P10" s="281"/>
      <c r="Q10" s="281"/>
      <c r="R10" s="281"/>
      <c r="S10" s="281"/>
      <c r="T10" s="281"/>
      <c r="U10" s="281"/>
      <c r="V10" s="300"/>
      <c r="W10" s="225"/>
    </row>
    <row r="11" spans="1:23">
      <c r="A11" s="237" t="s">
        <v>1626</v>
      </c>
      <c r="B11" s="211"/>
      <c r="C11" s="231"/>
      <c r="D11" s="238"/>
      <c r="E11" s="239"/>
      <c r="F11" s="239"/>
      <c r="G11" s="239"/>
      <c r="H11" s="282"/>
      <c r="I11" s="283"/>
      <c r="J11" s="283"/>
      <c r="K11" s="283"/>
      <c r="L11" s="239"/>
      <c r="M11" s="239"/>
      <c r="N11" s="239"/>
      <c r="O11" s="239"/>
      <c r="P11" s="239"/>
      <c r="Q11" s="301"/>
      <c r="R11" s="301"/>
      <c r="S11" s="301"/>
      <c r="T11" s="301"/>
      <c r="U11" s="301"/>
      <c r="V11" s="225"/>
      <c r="W11" s="225"/>
    </row>
    <row r="12" spans="1:23">
      <c r="A12" s="233"/>
      <c r="B12" s="233" t="s">
        <v>1627</v>
      </c>
      <c r="C12" s="226">
        <v>0.94230002164840598</v>
      </c>
      <c r="D12" s="238"/>
      <c r="E12" s="226">
        <f>C12</f>
        <v>0.94230002164840598</v>
      </c>
      <c r="F12" s="226">
        <f>C12</f>
        <v>0.94230002164840598</v>
      </c>
      <c r="G12" s="226">
        <f>C12</f>
        <v>0.94230002164840598</v>
      </c>
      <c r="H12" s="280">
        <f>C12</f>
        <v>0.94230002164840598</v>
      </c>
      <c r="I12" s="280">
        <f>C12</f>
        <v>0.94230002164840598</v>
      </c>
      <c r="J12" s="280">
        <f>C12</f>
        <v>0.94230002164840598</v>
      </c>
      <c r="K12" s="280">
        <f>C12</f>
        <v>0.94230002164840598</v>
      </c>
      <c r="L12" s="284"/>
      <c r="M12" s="284"/>
      <c r="N12" s="284"/>
      <c r="O12" s="284"/>
      <c r="P12" s="284"/>
      <c r="Q12" s="284"/>
      <c r="R12" s="284"/>
      <c r="S12" s="284"/>
      <c r="T12" s="284"/>
      <c r="U12" s="284"/>
      <c r="V12" s="302"/>
      <c r="W12" s="225"/>
    </row>
    <row r="13" spans="1:23">
      <c r="A13" s="233"/>
      <c r="B13" s="211" t="s">
        <v>1628</v>
      </c>
      <c r="C13" s="226">
        <v>2.6499999999999999E-2</v>
      </c>
      <c r="D13" s="238"/>
      <c r="E13" s="240" t="e">
        <f>IF(E14=0,0,(筹资!$B$7*预测资产负债表!H68/预测资产负债表!H70+筹资!$B$8*预测资产负债表!H69/预测资产负债表!H70)*(1-$C$8))</f>
        <v>#VALUE!</v>
      </c>
      <c r="F13" s="240" t="e">
        <f>IF(F14=0,0,(筹资!$B$7*预测资产负债表!I68/预测资产负债表!I70+筹资!$B$8*预测资产负债表!I69/预测资产负债表!I70)*(1-$C$8))</f>
        <v>#VALUE!</v>
      </c>
      <c r="G13" s="240" t="e">
        <f>IF(G14=0,0,(筹资!$B$7*预测资产负债表!J68/预测资产负债表!J70+筹资!$B$8*预测资产负债表!J69/预测资产负债表!J70)*(1-$C$8))</f>
        <v>#VALUE!</v>
      </c>
      <c r="H13" s="285">
        <f>IF(H14=0,0,$C$13)</f>
        <v>2.6499999999999999E-2</v>
      </c>
      <c r="I13" s="285">
        <f>IF(I14=0,0,$C$13)</f>
        <v>2.6499999999999999E-2</v>
      </c>
      <c r="J13" s="285">
        <f t="shared" ref="J13:K13" si="0">IF(J14=0,0,$C$13)</f>
        <v>2.6499999999999999E-2</v>
      </c>
      <c r="K13" s="285">
        <f t="shared" si="0"/>
        <v>2.6499999999999999E-2</v>
      </c>
      <c r="L13" s="286"/>
      <c r="M13" s="286"/>
      <c r="N13" s="286"/>
      <c r="O13" s="286"/>
      <c r="P13" s="286"/>
      <c r="Q13" s="286"/>
      <c r="R13" s="281"/>
      <c r="S13" s="281"/>
      <c r="T13" s="281"/>
      <c r="U13" s="281"/>
      <c r="V13" s="300"/>
      <c r="W13" s="225"/>
    </row>
    <row r="14" spans="1:23">
      <c r="A14" s="233"/>
      <c r="B14" s="211" t="s">
        <v>1629</v>
      </c>
      <c r="C14" s="226">
        <v>3.5999999999999997E-2</v>
      </c>
      <c r="D14" s="238"/>
      <c r="E14" s="240" t="e">
        <f>预测资产负债表!H70/预测资产负债表!H94</f>
        <v>#VALUE!</v>
      </c>
      <c r="F14" s="240" t="e">
        <f>预测资产负债表!I70/预测资产负债表!I94</f>
        <v>#VALUE!</v>
      </c>
      <c r="G14" s="240" t="e">
        <f>预测资产负债表!J70/预测资产负债表!J94</f>
        <v>#VALUE!</v>
      </c>
      <c r="H14" s="285">
        <f>IF($C$14="",AVERAGE(E14:G14),$C$14)</f>
        <v>3.5999999999999997E-2</v>
      </c>
      <c r="I14" s="285">
        <f t="shared" ref="I14:K14" si="1">IF($C$14="",AVERAGE(F14:H14),$C$14)</f>
        <v>3.5999999999999997E-2</v>
      </c>
      <c r="J14" s="285">
        <f t="shared" si="1"/>
        <v>3.5999999999999997E-2</v>
      </c>
      <c r="K14" s="285">
        <f t="shared" si="1"/>
        <v>3.5999999999999997E-2</v>
      </c>
      <c r="L14" s="286"/>
      <c r="M14" s="286"/>
      <c r="N14" s="286"/>
      <c r="O14" s="286"/>
      <c r="P14" s="286"/>
      <c r="Q14" s="286"/>
      <c r="R14" s="281"/>
      <c r="S14" s="281"/>
      <c r="T14" s="281"/>
      <c r="U14" s="281"/>
      <c r="V14" s="300"/>
      <c r="W14" s="225"/>
    </row>
    <row r="15" spans="1:23" s="205" customFormat="1" hidden="1">
      <c r="A15" s="241"/>
      <c r="B15" s="242"/>
      <c r="C15" s="243"/>
      <c r="D15" s="244"/>
      <c r="E15" s="245"/>
      <c r="F15" s="245"/>
      <c r="G15" s="245"/>
      <c r="H15" s="287"/>
      <c r="I15" s="288"/>
      <c r="J15" s="288"/>
      <c r="K15" s="288"/>
      <c r="L15" s="252"/>
      <c r="M15" s="252"/>
      <c r="N15" s="252"/>
      <c r="O15" s="252"/>
      <c r="P15" s="252"/>
      <c r="Q15" s="106"/>
      <c r="R15" s="106"/>
      <c r="S15" s="106"/>
      <c r="T15" s="106"/>
      <c r="U15" s="106"/>
      <c r="V15" s="241"/>
      <c r="W15" s="241"/>
    </row>
    <row r="16" spans="1:23" s="205" customFormat="1">
      <c r="A16" s="246"/>
      <c r="B16" s="247" t="s">
        <v>1630</v>
      </c>
      <c r="C16" s="248">
        <f>C6+C12*(C7-C6)</f>
        <v>0.11451850205659858</v>
      </c>
      <c r="D16" s="244"/>
      <c r="E16" s="249">
        <f>$C$6+E12*($C$7-$C$6)</f>
        <v>0.11451850205659858</v>
      </c>
      <c r="F16" s="249">
        <f t="shared" ref="F16:G16" si="2">$C$6+F12*($C$7-$C$6)</f>
        <v>0.11451850205659858</v>
      </c>
      <c r="G16" s="249">
        <f t="shared" si="2"/>
        <v>0.11451850205659858</v>
      </c>
      <c r="H16" s="249">
        <f>$C$6+H12*($C$7-$C$6)</f>
        <v>0.11451850205659858</v>
      </c>
      <c r="I16" s="249">
        <f t="shared" ref="I16:K16" si="3">$C$6+I12*($C$7-$C$6)</f>
        <v>0.11451850205659858</v>
      </c>
      <c r="J16" s="249">
        <f t="shared" ref="J16:K16" si="4">$C$6+J12*($C$7-$C$6)</f>
        <v>0.11451850205659858</v>
      </c>
      <c r="K16" s="249">
        <f t="shared" si="4"/>
        <v>0.11451850205659858</v>
      </c>
      <c r="L16" s="252"/>
      <c r="M16" s="252"/>
      <c r="N16" s="252"/>
      <c r="O16" s="252"/>
      <c r="P16" s="252"/>
      <c r="Q16" s="106"/>
      <c r="R16" s="106"/>
      <c r="S16" s="106"/>
      <c r="T16" s="106"/>
      <c r="U16" s="106"/>
      <c r="V16" s="241"/>
      <c r="W16" s="241"/>
    </row>
    <row r="17" spans="1:23">
      <c r="A17" s="233"/>
      <c r="B17" s="233" t="s">
        <v>1464</v>
      </c>
      <c r="C17" s="250">
        <f>C13*C14+C16*(1-C14)</f>
        <v>0.11134983598256103</v>
      </c>
      <c r="D17" s="238"/>
      <c r="E17" s="249" t="e">
        <f>E13*E14+E16*(1-E14)</f>
        <v>#VALUE!</v>
      </c>
      <c r="F17" s="249" t="e">
        <f t="shared" ref="F17:G17" si="5">F13*F14+F16*(1-F14)</f>
        <v>#VALUE!</v>
      </c>
      <c r="G17" s="249" t="e">
        <f t="shared" si="5"/>
        <v>#VALUE!</v>
      </c>
      <c r="H17" s="249">
        <f t="shared" ref="H17:I17" si="6">H13*H14+H16*(1-H14)</f>
        <v>0.11134983598256103</v>
      </c>
      <c r="I17" s="249">
        <f t="shared" si="6"/>
        <v>0.11134983598256103</v>
      </c>
      <c r="J17" s="249">
        <f t="shared" ref="J17:K17" si="7">J13*J14+J16*(1-J14)</f>
        <v>0.11134983598256103</v>
      </c>
      <c r="K17" s="249">
        <f t="shared" si="7"/>
        <v>0.11134983598256103</v>
      </c>
      <c r="L17" s="252"/>
      <c r="M17" s="252"/>
      <c r="N17" s="252"/>
      <c r="O17" s="252"/>
      <c r="P17" s="252"/>
      <c r="Q17" s="106"/>
      <c r="R17" s="106"/>
      <c r="S17" s="106"/>
      <c r="T17" s="106"/>
      <c r="U17" s="106"/>
      <c r="V17" s="225"/>
      <c r="W17" s="225"/>
    </row>
    <row r="18" spans="1:23">
      <c r="A18" s="233"/>
      <c r="B18" s="233"/>
      <c r="C18" s="251"/>
      <c r="D18" s="238"/>
      <c r="E18" s="252"/>
      <c r="F18" s="252"/>
      <c r="G18" s="252"/>
      <c r="H18" s="289"/>
      <c r="I18" s="245"/>
      <c r="J18" s="245"/>
      <c r="K18" s="245"/>
      <c r="L18" s="252"/>
      <c r="M18" s="252"/>
      <c r="N18" s="252"/>
      <c r="O18" s="252"/>
      <c r="P18" s="252"/>
      <c r="Q18" s="301"/>
      <c r="R18" s="301"/>
      <c r="S18" s="301"/>
      <c r="T18" s="301"/>
      <c r="U18" s="301"/>
      <c r="V18" s="225"/>
      <c r="W18" s="225"/>
    </row>
    <row r="19" spans="1:23">
      <c r="A19" s="233"/>
      <c r="B19" s="211"/>
      <c r="C19" s="231"/>
      <c r="D19" s="238"/>
      <c r="E19" s="239"/>
      <c r="F19" s="239"/>
      <c r="G19" s="239"/>
      <c r="H19" s="290"/>
      <c r="I19" s="239"/>
      <c r="J19" s="239"/>
      <c r="K19" s="239"/>
      <c r="L19" s="239"/>
      <c r="M19" s="239"/>
      <c r="N19" s="239"/>
      <c r="O19" s="239"/>
      <c r="P19" s="239"/>
      <c r="Q19" s="301"/>
      <c r="R19" s="301"/>
      <c r="S19" s="301"/>
      <c r="T19" s="301"/>
      <c r="U19" s="301"/>
      <c r="V19" s="225"/>
      <c r="W19" s="225"/>
    </row>
    <row r="20" spans="1:23">
      <c r="A20" s="253" t="s">
        <v>1631</v>
      </c>
      <c r="B20" s="233"/>
      <c r="C20" s="233"/>
      <c r="D20" s="210"/>
      <c r="E20" s="254"/>
      <c r="F20" s="254"/>
      <c r="G20" s="254"/>
      <c r="H20" s="291"/>
      <c r="I20" s="269"/>
      <c r="J20" s="269"/>
      <c r="K20" s="269"/>
      <c r="L20" s="210"/>
      <c r="M20" s="210"/>
      <c r="N20" s="292"/>
      <c r="O20" s="210"/>
      <c r="P20" s="210"/>
      <c r="Q20" s="301"/>
      <c r="R20" s="301"/>
      <c r="S20" s="301"/>
      <c r="T20" s="301"/>
      <c r="U20" s="301"/>
      <c r="V20" s="225"/>
      <c r="W20" s="225"/>
    </row>
    <row r="21" spans="1:23" outlineLevel="1">
      <c r="A21" s="255"/>
      <c r="B21" s="256" t="s">
        <v>1632</v>
      </c>
      <c r="C21" s="233"/>
      <c r="D21" s="257"/>
      <c r="E21" s="171" t="e">
        <f>预测现金流量表!H56</f>
        <v>#VALUE!</v>
      </c>
      <c r="F21" s="171" t="e">
        <f>预测现金流量表!I56</f>
        <v>#VALUE!</v>
      </c>
      <c r="G21" s="171" t="e">
        <f>预测现金流量表!J56</f>
        <v>#VALUE!</v>
      </c>
      <c r="H21" s="293"/>
      <c r="I21" s="293"/>
      <c r="J21" s="293"/>
      <c r="K21" s="293"/>
      <c r="L21" s="109"/>
      <c r="M21" s="109"/>
      <c r="N21" s="294"/>
      <c r="O21" s="109"/>
      <c r="P21" s="109"/>
      <c r="Q21" s="301"/>
      <c r="R21" s="301"/>
      <c r="S21" s="301"/>
      <c r="T21" s="301"/>
      <c r="U21" s="301"/>
      <c r="V21" s="225"/>
      <c r="W21" s="225"/>
    </row>
    <row r="22" spans="1:23" outlineLevel="1">
      <c r="A22" s="255"/>
      <c r="B22" s="256" t="s">
        <v>1633</v>
      </c>
      <c r="C22" s="233"/>
      <c r="D22" s="258"/>
      <c r="E22" s="171"/>
      <c r="F22" s="171"/>
      <c r="G22" s="171"/>
      <c r="H22" s="293" t="e">
        <f>G21*(1+IF(H10="",$C$10,H10))</f>
        <v>#VALUE!</v>
      </c>
      <c r="I22" s="293" t="e">
        <f>H22*(1+IF(I10="",$C$10,I10))</f>
        <v>#VALUE!</v>
      </c>
      <c r="J22" s="293" t="e">
        <f t="shared" ref="J22:K22" si="8">I22*(1+IF(J10="",$C$10,J10))</f>
        <v>#VALUE!</v>
      </c>
      <c r="K22" s="293" t="e">
        <f t="shared" si="8"/>
        <v>#VALUE!</v>
      </c>
      <c r="L22" s="109"/>
      <c r="M22" s="109"/>
      <c r="N22" s="294"/>
      <c r="O22" s="109"/>
      <c r="P22" s="109"/>
      <c r="Q22" s="301"/>
      <c r="R22" s="301"/>
      <c r="S22" s="301"/>
      <c r="T22" s="301"/>
      <c r="U22" s="301"/>
      <c r="V22" s="225"/>
      <c r="W22" s="225"/>
    </row>
    <row r="23" spans="1:23" outlineLevel="1">
      <c r="A23" s="255"/>
      <c r="B23" s="259" t="s">
        <v>1634</v>
      </c>
      <c r="C23" s="233"/>
      <c r="D23" s="260" t="e">
        <f>(E21+NPV(C17,F21:G21))/(1+C17)^((DATE(EndYear,12,31)-EstiDate)/365)</f>
        <v>#VALUE!</v>
      </c>
      <c r="E23" s="261"/>
      <c r="F23" s="261"/>
      <c r="G23" s="261"/>
      <c r="H23" s="295"/>
      <c r="I23" s="296"/>
      <c r="J23" s="296"/>
      <c r="K23" s="296"/>
      <c r="L23" s="297"/>
      <c r="M23" s="297"/>
      <c r="N23" s="297"/>
      <c r="O23" s="297"/>
      <c r="P23" s="297"/>
      <c r="Q23" s="303"/>
      <c r="R23" s="303"/>
      <c r="S23" s="303"/>
      <c r="T23" s="303"/>
      <c r="U23" s="303"/>
      <c r="V23" s="225"/>
      <c r="W23" s="225"/>
    </row>
    <row r="24" spans="1:23" outlineLevel="1">
      <c r="A24" s="255"/>
      <c r="B24" s="259" t="s">
        <v>1635</v>
      </c>
      <c r="C24" s="233"/>
      <c r="D24" s="260" t="e">
        <f>(H22+NPV(C17,I22:K22))/(1+C17)^Estiyears/(1+C17)^((DATE(EndYear,12,31)-EstiDate)/365)</f>
        <v>#VALUE!</v>
      </c>
      <c r="E24" s="261"/>
      <c r="F24" s="261"/>
      <c r="G24" s="261"/>
      <c r="H24" s="298"/>
      <c r="I24" s="109"/>
      <c r="J24" s="426"/>
      <c r="K24" s="426"/>
      <c r="L24" s="297"/>
      <c r="M24" s="297"/>
      <c r="N24" s="297"/>
      <c r="O24" s="297"/>
      <c r="P24" s="297"/>
      <c r="Q24" s="303"/>
      <c r="R24" s="303"/>
      <c r="S24" s="303"/>
      <c r="T24" s="303"/>
      <c r="U24" s="303"/>
      <c r="V24" s="225"/>
      <c r="W24" s="225"/>
    </row>
    <row r="25" spans="1:23" outlineLevel="1">
      <c r="A25" s="262"/>
      <c r="B25" s="259" t="s">
        <v>1636</v>
      </c>
      <c r="C25" s="263"/>
      <c r="D25" s="260" t="e">
        <f>K22*(1+C5)/(C17-C5)/(1+C17)^(C4+目录!C11-1)/(1+C17)^((DATE(EndYear,12,31)-EstiDate)/365)</f>
        <v>#VALUE!</v>
      </c>
      <c r="E25" s="109"/>
      <c r="F25" s="426"/>
      <c r="G25" s="426"/>
      <c r="H25" s="298"/>
      <c r="I25" s="109"/>
      <c r="J25" s="426"/>
      <c r="K25" s="426"/>
      <c r="L25" s="109"/>
      <c r="M25" s="109"/>
      <c r="N25" s="109"/>
      <c r="O25" s="109"/>
      <c r="P25" s="109"/>
      <c r="Q25" s="301"/>
      <c r="R25" s="301"/>
      <c r="S25" s="301"/>
      <c r="T25" s="301"/>
      <c r="U25" s="301"/>
      <c r="V25" s="225"/>
      <c r="W25" s="225"/>
    </row>
    <row r="26" spans="1:23" outlineLevel="1">
      <c r="A26" s="262"/>
      <c r="B26" s="259" t="s">
        <v>1637</v>
      </c>
      <c r="C26" s="233"/>
      <c r="D26" s="171" t="e">
        <f>D23+D24+D25</f>
        <v>#VALUE!</v>
      </c>
      <c r="E26" s="264"/>
      <c r="F26" s="264"/>
      <c r="G26" s="264"/>
      <c r="H26" s="298"/>
      <c r="I26" s="109"/>
      <c r="J26" s="426"/>
      <c r="K26" s="426"/>
      <c r="L26" s="109"/>
      <c r="M26" s="109"/>
      <c r="N26" s="109"/>
      <c r="O26" s="109"/>
      <c r="P26" s="109"/>
      <c r="Q26" s="301"/>
      <c r="R26" s="301"/>
      <c r="S26" s="301"/>
      <c r="T26" s="301"/>
      <c r="U26" s="301"/>
      <c r="V26" s="225"/>
      <c r="W26" s="225"/>
    </row>
    <row r="27" spans="1:23" outlineLevel="1">
      <c r="A27" s="265" t="s">
        <v>865</v>
      </c>
      <c r="B27" s="259" t="s">
        <v>1638</v>
      </c>
      <c r="C27" s="233"/>
      <c r="D27" s="171">
        <f>预测资产负债表!G8+预测资产负债表!G28-预测资产负债表!G35</f>
        <v>3.5999999999999997E-2</v>
      </c>
      <c r="E27" s="264"/>
      <c r="F27" s="264"/>
      <c r="G27" s="264"/>
      <c r="H27" s="298"/>
      <c r="I27" s="109"/>
      <c r="J27" s="426"/>
      <c r="K27" s="426"/>
      <c r="L27" s="109"/>
      <c r="M27" s="109"/>
      <c r="N27" s="109"/>
      <c r="O27" s="109"/>
      <c r="P27" s="109"/>
      <c r="Q27" s="301"/>
      <c r="R27" s="301"/>
      <c r="S27" s="301"/>
      <c r="T27" s="301"/>
      <c r="U27" s="301"/>
      <c r="V27" s="225"/>
      <c r="W27" s="225"/>
    </row>
    <row r="28" spans="1:23" outlineLevel="1">
      <c r="A28" s="265" t="s">
        <v>858</v>
      </c>
      <c r="B28" s="259" t="s">
        <v>1639</v>
      </c>
      <c r="C28" s="233"/>
      <c r="D28" s="171">
        <f>预测资产负债表!G34+预测资产负债表!G44</f>
        <v>0.60194173890000002</v>
      </c>
      <c r="E28" s="264"/>
      <c r="F28" s="264"/>
      <c r="G28" s="264"/>
      <c r="H28" s="298"/>
      <c r="I28" s="109"/>
      <c r="J28" s="426"/>
      <c r="K28" s="426"/>
      <c r="L28" s="109"/>
      <c r="M28" s="109"/>
      <c r="N28" s="109"/>
      <c r="O28" s="109"/>
      <c r="P28" s="109"/>
      <c r="Q28" s="301"/>
      <c r="R28" s="301"/>
      <c r="S28" s="301"/>
      <c r="T28" s="301"/>
      <c r="U28" s="301"/>
      <c r="V28" s="225"/>
      <c r="W28" s="225"/>
    </row>
    <row r="29" spans="1:23" outlineLevel="1">
      <c r="A29" s="265" t="s">
        <v>858</v>
      </c>
      <c r="B29" s="259" t="s">
        <v>936</v>
      </c>
      <c r="C29" s="233"/>
      <c r="D29" s="171">
        <f>预测资产负债表!H61</f>
        <v>0.59386458720000002</v>
      </c>
      <c r="E29" s="264"/>
      <c r="F29" s="264"/>
      <c r="G29" s="264"/>
      <c r="H29" s="298"/>
      <c r="I29" s="109"/>
      <c r="J29" s="426"/>
      <c r="K29" s="426"/>
      <c r="L29" s="109"/>
      <c r="M29" s="109"/>
      <c r="N29" s="109"/>
      <c r="O29" s="109"/>
      <c r="P29" s="109"/>
      <c r="Q29" s="301"/>
      <c r="R29" s="301"/>
      <c r="S29" s="301"/>
      <c r="T29" s="301"/>
      <c r="U29" s="301"/>
      <c r="V29" s="225"/>
      <c r="W29" s="225"/>
    </row>
    <row r="30" spans="1:23" outlineLevel="1">
      <c r="A30" s="265"/>
      <c r="B30" s="259" t="s">
        <v>1598</v>
      </c>
      <c r="C30" s="233"/>
      <c r="D30" s="171" t="e">
        <f>D26+D27-D28-D29</f>
        <v>#VALUE!</v>
      </c>
      <c r="E30" s="264"/>
      <c r="F30" s="264"/>
      <c r="G30" s="264"/>
      <c r="H30" s="298"/>
      <c r="I30" s="109"/>
      <c r="J30" s="426"/>
      <c r="K30" s="426"/>
      <c r="L30" s="109"/>
      <c r="M30" s="109"/>
      <c r="N30" s="109"/>
      <c r="O30" s="109"/>
      <c r="P30" s="109"/>
      <c r="Q30" s="301"/>
      <c r="R30" s="301"/>
      <c r="S30" s="301"/>
      <c r="T30" s="301"/>
      <c r="U30" s="301"/>
      <c r="V30" s="225"/>
      <c r="W30" s="225"/>
    </row>
    <row r="31" spans="1:23" outlineLevel="1">
      <c r="A31" s="265" t="s">
        <v>1640</v>
      </c>
      <c r="B31" s="259" t="s">
        <v>1641</v>
      </c>
      <c r="C31" s="233"/>
      <c r="D31" s="171" t="e">
        <f ca="1">目录!E9</f>
        <v>#VALUE!</v>
      </c>
      <c r="E31" s="264"/>
      <c r="F31" s="264"/>
      <c r="G31" s="264"/>
      <c r="H31" s="298"/>
      <c r="I31" s="109"/>
      <c r="J31" s="426"/>
      <c r="K31" s="426"/>
      <c r="L31" s="109"/>
      <c r="M31" s="109"/>
      <c r="N31" s="109"/>
      <c r="O31" s="109"/>
      <c r="P31" s="109"/>
      <c r="Q31" s="301"/>
      <c r="R31" s="301"/>
      <c r="S31" s="301"/>
      <c r="T31" s="301"/>
      <c r="U31" s="301"/>
      <c r="V31" s="225"/>
      <c r="W31" s="225"/>
    </row>
    <row r="32" spans="1:23" outlineLevel="1">
      <c r="A32" s="265"/>
      <c r="B32" s="259" t="s">
        <v>1642</v>
      </c>
      <c r="C32" s="233"/>
      <c r="D32" s="171" t="e">
        <f ca="1">D30*unit/(D31*10000)</f>
        <v>#VALUE!</v>
      </c>
      <c r="E32" s="264"/>
      <c r="F32" s="264"/>
      <c r="G32" s="264"/>
      <c r="H32" s="298"/>
      <c r="I32" s="109"/>
      <c r="J32" s="426"/>
      <c r="K32" s="426"/>
      <c r="L32" s="109"/>
      <c r="M32" s="109"/>
      <c r="N32" s="109"/>
      <c r="O32" s="109"/>
      <c r="P32" s="109"/>
      <c r="Q32" s="301"/>
      <c r="R32" s="301"/>
      <c r="S32" s="301"/>
      <c r="T32" s="301"/>
      <c r="U32" s="301"/>
      <c r="V32" s="225"/>
      <c r="W32" s="225"/>
    </row>
    <row r="33" spans="1:23">
      <c r="A33" s="266"/>
      <c r="B33" s="233"/>
      <c r="C33" s="233"/>
      <c r="D33" s="109"/>
      <c r="E33" s="264"/>
      <c r="F33" s="264"/>
      <c r="G33" s="264"/>
      <c r="H33" s="298"/>
      <c r="I33" s="109"/>
      <c r="J33" s="426"/>
      <c r="K33" s="426"/>
      <c r="L33" s="109"/>
      <c r="M33" s="109"/>
      <c r="N33" s="109"/>
      <c r="O33" s="109"/>
      <c r="P33" s="109"/>
      <c r="Q33" s="301"/>
      <c r="R33" s="301"/>
      <c r="S33" s="301"/>
      <c r="T33" s="301"/>
      <c r="U33" s="301"/>
      <c r="V33" s="225"/>
      <c r="W33" s="225"/>
    </row>
    <row r="34" spans="1:23">
      <c r="A34" s="253" t="s">
        <v>1643</v>
      </c>
      <c r="B34" s="233"/>
      <c r="C34" s="233"/>
      <c r="D34" s="109"/>
      <c r="E34" s="264"/>
      <c r="F34" s="264"/>
      <c r="G34" s="264"/>
      <c r="H34" s="291"/>
      <c r="I34" s="269"/>
      <c r="J34" s="269"/>
      <c r="K34" s="269"/>
      <c r="L34" s="109"/>
      <c r="M34" s="109"/>
      <c r="N34" s="109"/>
      <c r="O34" s="109"/>
      <c r="P34" s="109"/>
      <c r="Q34" s="301"/>
      <c r="R34" s="301"/>
      <c r="S34" s="301"/>
      <c r="T34" s="301"/>
      <c r="U34" s="301"/>
      <c r="V34" s="225"/>
      <c r="W34" s="225"/>
    </row>
    <row r="35" spans="1:23" outlineLevel="1">
      <c r="A35" s="255"/>
      <c r="B35" s="256" t="s">
        <v>1644</v>
      </c>
      <c r="C35" s="233"/>
      <c r="D35" s="257"/>
      <c r="E35" s="171" t="e">
        <f>预测现金流量表!H63</f>
        <v>#VALUE!</v>
      </c>
      <c r="F35" s="171" t="e">
        <f>预测现金流量表!I63</f>
        <v>#VALUE!</v>
      </c>
      <c r="G35" s="171" t="e">
        <f>预测现金流量表!J63</f>
        <v>#VALUE!</v>
      </c>
      <c r="H35" s="293"/>
      <c r="I35" s="293"/>
      <c r="J35" s="293"/>
      <c r="K35" s="293"/>
      <c r="L35" s="109"/>
      <c r="M35" s="109"/>
      <c r="N35" s="109"/>
      <c r="O35" s="109"/>
      <c r="P35" s="109"/>
      <c r="Q35" s="301"/>
      <c r="R35" s="301"/>
      <c r="S35" s="301"/>
      <c r="T35" s="301"/>
      <c r="U35" s="301"/>
      <c r="V35" s="225"/>
      <c r="W35" s="225"/>
    </row>
    <row r="36" spans="1:23" outlineLevel="1">
      <c r="A36" s="255"/>
      <c r="B36" s="259" t="s">
        <v>1645</v>
      </c>
      <c r="C36" s="233"/>
      <c r="D36" s="258"/>
      <c r="E36" s="267"/>
      <c r="F36" s="267"/>
      <c r="G36" s="267"/>
      <c r="H36" s="293" t="e">
        <f>G35*(1+IF(H10="",$C$10,H10))</f>
        <v>#VALUE!</v>
      </c>
      <c r="I36" s="293" t="e">
        <f>H36*(1+IF(I10="",$C$10,I10))</f>
        <v>#VALUE!</v>
      </c>
      <c r="J36" s="293" t="e">
        <f t="shared" ref="J36:K36" si="9">I36*(1+IF(J10="",$C$10,J10))</f>
        <v>#VALUE!</v>
      </c>
      <c r="K36" s="293" t="e">
        <f t="shared" si="9"/>
        <v>#VALUE!</v>
      </c>
      <c r="L36" s="297"/>
      <c r="M36" s="297"/>
      <c r="N36" s="297"/>
      <c r="O36" s="297"/>
      <c r="P36" s="297"/>
      <c r="Q36" s="303"/>
      <c r="R36" s="303"/>
      <c r="S36" s="303"/>
      <c r="T36" s="303"/>
      <c r="U36" s="303"/>
      <c r="V36" s="225"/>
      <c r="W36" s="225"/>
    </row>
    <row r="37" spans="1:23" outlineLevel="1">
      <c r="A37" s="262"/>
      <c r="B37" s="256" t="s">
        <v>1646</v>
      </c>
      <c r="C37" s="233"/>
      <c r="D37" s="171" t="e">
        <f>(E35+NPV(C16,F35:G35))/(1+C16)^((DATE(EndYear,12,31)-EstiDate)/365)</f>
        <v>#VALUE!</v>
      </c>
      <c r="E37" s="264"/>
      <c r="F37" s="264"/>
      <c r="G37" s="264"/>
      <c r="H37" s="295"/>
      <c r="I37" s="296"/>
      <c r="J37" s="296"/>
      <c r="K37" s="296"/>
      <c r="L37" s="109"/>
      <c r="M37" s="109"/>
      <c r="N37" s="109"/>
      <c r="O37" s="109"/>
      <c r="P37" s="109"/>
      <c r="Q37" s="301"/>
      <c r="R37" s="301"/>
      <c r="S37" s="301"/>
      <c r="T37" s="301"/>
      <c r="U37" s="301"/>
      <c r="V37" s="225"/>
      <c r="W37" s="225"/>
    </row>
    <row r="38" spans="1:23" outlineLevel="1">
      <c r="A38" s="262"/>
      <c r="B38" s="256" t="s">
        <v>1647</v>
      </c>
      <c r="C38" s="233"/>
      <c r="D38" s="268" t="e">
        <f>(H36+NPV(C16,I36:K36))/(1+C16)^Estiyears/(1+C16)^((DATE(EndYear,12,31)-EstiDate)/365)</f>
        <v>#VALUE!</v>
      </c>
      <c r="E38" s="109"/>
      <c r="F38" s="426"/>
      <c r="G38" s="426"/>
      <c r="H38" s="298"/>
      <c r="I38" s="109"/>
      <c r="J38" s="426"/>
      <c r="K38" s="426"/>
      <c r="L38" s="109"/>
      <c r="M38" s="109"/>
      <c r="N38" s="109"/>
      <c r="O38" s="109"/>
      <c r="P38" s="109"/>
      <c r="Q38" s="301"/>
      <c r="R38" s="301"/>
      <c r="S38" s="301"/>
      <c r="T38" s="301"/>
      <c r="U38" s="301"/>
      <c r="V38" s="225"/>
      <c r="W38" s="225"/>
    </row>
    <row r="39" spans="1:23" outlineLevel="1">
      <c r="A39" s="262"/>
      <c r="B39" s="259" t="s">
        <v>1636</v>
      </c>
      <c r="C39" s="263"/>
      <c r="D39" s="171" t="e">
        <f>K36*(1+C5)/(C16-C5)/(1+C16)^(Transeyear+Estiyears-1)/(1+C16)^((DATE(EndYear,12,31)-EstiDate)/365)</f>
        <v>#VALUE!</v>
      </c>
      <c r="E39" s="109"/>
      <c r="F39" s="426"/>
      <c r="G39" s="426"/>
      <c r="H39" s="298"/>
      <c r="I39" s="109"/>
      <c r="J39" s="426"/>
      <c r="K39" s="426"/>
      <c r="L39" s="109"/>
      <c r="M39" s="109"/>
      <c r="N39" s="109"/>
      <c r="O39" s="109"/>
      <c r="P39" s="109"/>
      <c r="Q39" s="301"/>
      <c r="R39" s="301"/>
      <c r="S39" s="301"/>
      <c r="T39" s="301"/>
      <c r="U39" s="301"/>
      <c r="V39" s="225"/>
      <c r="W39" s="225"/>
    </row>
    <row r="40" spans="1:23" outlineLevel="1">
      <c r="A40" s="262"/>
      <c r="B40" s="259" t="s">
        <v>1648</v>
      </c>
      <c r="C40" s="233"/>
      <c r="D40" s="171" t="e">
        <f>D37+D38+D39</f>
        <v>#VALUE!</v>
      </c>
      <c r="E40" s="264"/>
      <c r="F40" s="264"/>
      <c r="G40" s="264"/>
      <c r="H40" s="298"/>
      <c r="I40" s="109"/>
      <c r="J40" s="426"/>
      <c r="K40" s="426"/>
      <c r="L40" s="109"/>
      <c r="M40" s="109"/>
      <c r="N40" s="109"/>
      <c r="O40" s="109"/>
      <c r="P40" s="109"/>
      <c r="Q40" s="301"/>
      <c r="R40" s="301"/>
      <c r="S40" s="301"/>
      <c r="T40" s="301"/>
      <c r="U40" s="301"/>
      <c r="V40" s="225"/>
      <c r="W40" s="225"/>
    </row>
    <row r="41" spans="1:23" outlineLevel="1">
      <c r="A41" s="265" t="s">
        <v>858</v>
      </c>
      <c r="B41" s="259" t="s">
        <v>936</v>
      </c>
      <c r="C41" s="233"/>
      <c r="D41" s="171">
        <f>预测资产负债表!H61</f>
        <v>0.59386458720000002</v>
      </c>
      <c r="E41" s="264"/>
      <c r="F41" s="264"/>
      <c r="G41" s="264"/>
      <c r="H41" s="298"/>
      <c r="I41" s="109"/>
      <c r="J41" s="426"/>
      <c r="K41" s="426"/>
      <c r="L41" s="109"/>
      <c r="M41" s="109"/>
      <c r="N41" s="109"/>
      <c r="O41" s="109"/>
      <c r="P41" s="109"/>
      <c r="Q41" s="301"/>
      <c r="R41" s="301"/>
      <c r="S41" s="301"/>
      <c r="T41" s="301"/>
      <c r="U41" s="301"/>
      <c r="V41" s="225"/>
      <c r="W41" s="225"/>
    </row>
    <row r="42" spans="1:23" outlineLevel="1">
      <c r="A42" s="265"/>
      <c r="B42" s="259" t="s">
        <v>1598</v>
      </c>
      <c r="C42" s="233"/>
      <c r="D42" s="171" t="e">
        <f>D40-D41</f>
        <v>#VALUE!</v>
      </c>
      <c r="E42" s="264"/>
      <c r="F42" s="264"/>
      <c r="G42" s="264"/>
      <c r="H42" s="298"/>
      <c r="I42" s="109"/>
      <c r="J42" s="426"/>
      <c r="K42" s="426"/>
      <c r="L42" s="109"/>
      <c r="M42" s="109"/>
      <c r="N42" s="109"/>
      <c r="O42" s="109"/>
      <c r="P42" s="109"/>
      <c r="Q42" s="301"/>
      <c r="R42" s="301"/>
      <c r="S42" s="301"/>
      <c r="T42" s="301"/>
      <c r="U42" s="301"/>
      <c r="V42" s="225"/>
      <c r="W42" s="225"/>
    </row>
    <row r="43" spans="1:23" outlineLevel="1">
      <c r="A43" s="265" t="s">
        <v>1640</v>
      </c>
      <c r="B43" s="259" t="s">
        <v>1641</v>
      </c>
      <c r="C43" s="233"/>
      <c r="D43" s="171" t="e">
        <f ca="1">目录!E9</f>
        <v>#VALUE!</v>
      </c>
      <c r="E43" s="264"/>
      <c r="F43" s="264"/>
      <c r="G43" s="264"/>
      <c r="H43" s="298"/>
      <c r="I43" s="109"/>
      <c r="J43" s="426"/>
      <c r="K43" s="426"/>
      <c r="L43" s="109"/>
      <c r="M43" s="109"/>
      <c r="N43" s="109"/>
      <c r="O43" s="109"/>
      <c r="P43" s="109"/>
      <c r="Q43" s="301"/>
      <c r="R43" s="301"/>
      <c r="S43" s="301"/>
      <c r="T43" s="301"/>
      <c r="U43" s="301"/>
      <c r="V43" s="225"/>
      <c r="W43" s="225"/>
    </row>
    <row r="44" spans="1:23" outlineLevel="1">
      <c r="A44" s="265"/>
      <c r="B44" s="259" t="s">
        <v>1642</v>
      </c>
      <c r="C44" s="233"/>
      <c r="D44" s="171" t="e">
        <f ca="1">D42*unit/(D43*10000)</f>
        <v>#VALUE!</v>
      </c>
      <c r="E44" s="264"/>
      <c r="F44" s="264"/>
      <c r="G44" s="264"/>
      <c r="H44" s="298"/>
      <c r="I44" s="109"/>
      <c r="J44" s="426"/>
      <c r="K44" s="426"/>
      <c r="L44" s="109"/>
      <c r="M44" s="109"/>
      <c r="N44" s="109"/>
      <c r="O44" s="109"/>
      <c r="P44" s="109"/>
      <c r="Q44" s="301"/>
      <c r="R44" s="301"/>
      <c r="S44" s="301"/>
      <c r="T44" s="301"/>
      <c r="U44" s="301"/>
      <c r="V44" s="225"/>
      <c r="W44" s="225"/>
    </row>
    <row r="45" spans="1:23">
      <c r="A45" s="233"/>
      <c r="B45" s="233"/>
      <c r="C45" s="233"/>
      <c r="D45" s="109"/>
      <c r="E45" s="264"/>
      <c r="F45" s="264"/>
      <c r="G45" s="264"/>
      <c r="H45" s="298"/>
      <c r="I45" s="109"/>
      <c r="J45" s="426"/>
      <c r="K45" s="426"/>
      <c r="L45" s="109"/>
      <c r="M45" s="109"/>
      <c r="N45" s="109"/>
      <c r="O45" s="109"/>
      <c r="P45" s="109"/>
      <c r="Q45" s="301"/>
      <c r="R45" s="301"/>
      <c r="S45" s="301"/>
      <c r="T45" s="301"/>
      <c r="U45" s="301"/>
      <c r="V45" s="225"/>
      <c r="W45" s="225"/>
    </row>
    <row r="46" spans="1:23">
      <c r="A46" s="253" t="s">
        <v>1649</v>
      </c>
      <c r="B46" s="233"/>
      <c r="C46" s="233"/>
      <c r="D46" s="109"/>
      <c r="E46" s="264"/>
      <c r="F46" s="264"/>
      <c r="G46" s="264"/>
      <c r="H46" s="291"/>
      <c r="I46" s="269"/>
      <c r="J46" s="269"/>
      <c r="K46" s="269"/>
      <c r="L46" s="109"/>
      <c r="M46" s="109"/>
      <c r="N46" s="109"/>
      <c r="O46" s="109"/>
      <c r="P46" s="109"/>
      <c r="Q46" s="301"/>
      <c r="R46" s="301"/>
      <c r="S46" s="301"/>
      <c r="T46" s="301"/>
      <c r="U46" s="301"/>
      <c r="V46" s="225"/>
      <c r="W46" s="225"/>
    </row>
    <row r="47" spans="1:23" outlineLevel="1">
      <c r="A47" s="255"/>
      <c r="B47" s="259" t="s">
        <v>1650</v>
      </c>
      <c r="C47" s="233"/>
      <c r="D47" s="109"/>
      <c r="E47" s="171">
        <f>预测利润表!H46</f>
        <v>0</v>
      </c>
      <c r="F47" s="171">
        <f>预测利润表!I46</f>
        <v>0</v>
      </c>
      <c r="G47" s="171">
        <f>预测利润表!J46</f>
        <v>0</v>
      </c>
      <c r="H47" s="293"/>
      <c r="I47" s="293"/>
      <c r="J47" s="293"/>
      <c r="K47" s="293"/>
      <c r="L47" s="109"/>
      <c r="M47" s="109"/>
      <c r="N47" s="109"/>
      <c r="O47" s="109"/>
      <c r="P47" s="109"/>
      <c r="Q47" s="301"/>
      <c r="R47" s="301"/>
      <c r="S47" s="301"/>
      <c r="T47" s="301"/>
      <c r="U47" s="301"/>
      <c r="V47" s="225"/>
      <c r="W47" s="225"/>
    </row>
    <row r="48" spans="1:23" outlineLevel="1">
      <c r="A48" s="255"/>
      <c r="B48" s="259" t="s">
        <v>1651</v>
      </c>
      <c r="C48" s="233"/>
      <c r="D48" s="269"/>
      <c r="E48" s="270"/>
      <c r="F48" s="270"/>
      <c r="G48" s="270"/>
      <c r="H48" s="293">
        <f>G47*(1+IF(H10="",$C$10,H10))</f>
        <v>0</v>
      </c>
      <c r="I48" s="293">
        <f>H48*(1+IF(I10="",$C$10,I10))</f>
        <v>0</v>
      </c>
      <c r="J48" s="293">
        <f t="shared" ref="J48:K48" si="10">I48*(1+IF(J10="",$C$10,J10))</f>
        <v>0</v>
      </c>
      <c r="K48" s="293">
        <f t="shared" si="10"/>
        <v>0</v>
      </c>
      <c r="L48" s="106"/>
      <c r="M48" s="106"/>
      <c r="N48" s="106"/>
      <c r="O48" s="106"/>
      <c r="P48" s="106"/>
      <c r="Q48" s="106"/>
      <c r="R48" s="106"/>
      <c r="S48" s="106"/>
      <c r="T48" s="106"/>
      <c r="U48" s="106"/>
      <c r="V48" s="225"/>
      <c r="W48" s="225"/>
    </row>
    <row r="49" spans="1:23" outlineLevel="1">
      <c r="A49" s="255"/>
      <c r="B49" s="259" t="s">
        <v>1652</v>
      </c>
      <c r="C49" s="233"/>
      <c r="D49" s="171">
        <f>(E47+NPV(C16,F47:G47))/(1+C16)^((DATE(EndYear,12,31)-EstiDate)/365)</f>
        <v>0</v>
      </c>
      <c r="E49" s="264"/>
      <c r="F49" s="264"/>
      <c r="G49" s="264"/>
      <c r="H49" s="295"/>
      <c r="I49" s="296"/>
      <c r="J49" s="296"/>
      <c r="K49" s="296"/>
      <c r="L49" s="297"/>
      <c r="M49" s="297"/>
      <c r="N49" s="297"/>
      <c r="O49" s="297"/>
      <c r="P49" s="297"/>
      <c r="Q49" s="303"/>
      <c r="R49" s="303"/>
      <c r="S49" s="303"/>
      <c r="T49" s="303"/>
      <c r="U49" s="303"/>
      <c r="V49" s="225"/>
      <c r="W49" s="225"/>
    </row>
    <row r="50" spans="1:23" outlineLevel="1">
      <c r="A50" s="262"/>
      <c r="B50" s="259" t="s">
        <v>1653</v>
      </c>
      <c r="C50" s="233"/>
      <c r="D50" s="171">
        <f>(H48+NPV(C16,I48:K48))/(1+C16)^Estiyears/(1+C16)^((DATE(EndYear,12,31)-EstiDate)/365)</f>
        <v>0</v>
      </c>
      <c r="E50" s="264"/>
      <c r="F50" s="264"/>
      <c r="G50" s="264"/>
      <c r="H50" s="298"/>
      <c r="I50" s="109"/>
      <c r="J50" s="426"/>
      <c r="K50" s="426"/>
      <c r="L50" s="109"/>
      <c r="M50" s="109"/>
      <c r="N50" s="109"/>
      <c r="O50" s="109"/>
      <c r="P50" s="109"/>
      <c r="Q50" s="301"/>
      <c r="R50" s="301"/>
      <c r="S50" s="301"/>
      <c r="T50" s="301"/>
      <c r="U50" s="301"/>
      <c r="V50" s="225"/>
      <c r="W50" s="225"/>
    </row>
    <row r="51" spans="1:23" outlineLevel="1">
      <c r="A51" s="262"/>
      <c r="B51" s="259" t="s">
        <v>1636</v>
      </c>
      <c r="C51" s="263"/>
      <c r="D51" s="171">
        <f>K48*(1+C5)/(C16-C5)/(1+C16)^(Transeyear+Estiyears-1)/(1+C16)^((DATE(EndYear,12,31)-EstiDate)/365)</f>
        <v>0</v>
      </c>
      <c r="E51" s="109"/>
      <c r="F51" s="426"/>
      <c r="G51" s="426"/>
      <c r="H51" s="298"/>
      <c r="I51" s="109"/>
      <c r="J51" s="426"/>
      <c r="K51" s="426"/>
      <c r="L51" s="109"/>
      <c r="M51" s="109"/>
      <c r="N51" s="109"/>
      <c r="O51" s="109"/>
      <c r="P51" s="109"/>
      <c r="Q51" s="301"/>
      <c r="R51" s="301"/>
      <c r="S51" s="301"/>
      <c r="T51" s="301"/>
      <c r="U51" s="301"/>
      <c r="V51" s="225"/>
      <c r="W51" s="225"/>
    </row>
    <row r="52" spans="1:23" outlineLevel="1">
      <c r="A52" s="262"/>
      <c r="B52" s="259" t="s">
        <v>1654</v>
      </c>
      <c r="C52" s="233"/>
      <c r="D52" s="171">
        <f>D49+D50+D51</f>
        <v>0</v>
      </c>
      <c r="E52" s="264"/>
      <c r="F52" s="264"/>
      <c r="G52" s="264"/>
      <c r="H52" s="298"/>
      <c r="I52" s="109"/>
      <c r="J52" s="426"/>
      <c r="K52" s="426"/>
      <c r="L52" s="109"/>
      <c r="M52" s="109"/>
      <c r="N52" s="109"/>
      <c r="O52" s="109"/>
      <c r="P52" s="109"/>
      <c r="Q52" s="301"/>
      <c r="R52" s="301"/>
      <c r="S52" s="301"/>
      <c r="T52" s="301"/>
      <c r="U52" s="301"/>
      <c r="V52" s="225"/>
      <c r="W52" s="225"/>
    </row>
    <row r="53" spans="1:23" outlineLevel="1">
      <c r="A53" s="265" t="s">
        <v>1640</v>
      </c>
      <c r="B53" s="259" t="s">
        <v>1641</v>
      </c>
      <c r="C53" s="233"/>
      <c r="D53" s="171" t="e">
        <f ca="1">目录!E9</f>
        <v>#VALUE!</v>
      </c>
      <c r="E53" s="264"/>
      <c r="F53" s="264"/>
      <c r="G53" s="264"/>
      <c r="H53" s="298"/>
      <c r="I53" s="109"/>
      <c r="J53" s="426"/>
      <c r="K53" s="426"/>
      <c r="L53" s="109"/>
      <c r="M53" s="109"/>
      <c r="N53" s="109"/>
      <c r="O53" s="299"/>
      <c r="P53" s="109"/>
      <c r="Q53" s="301"/>
      <c r="R53" s="301"/>
      <c r="S53" s="301"/>
      <c r="T53" s="301"/>
      <c r="U53" s="301"/>
      <c r="V53" s="225"/>
      <c r="W53" s="225"/>
    </row>
    <row r="54" spans="1:23" outlineLevel="1">
      <c r="A54" s="265"/>
      <c r="B54" s="259" t="s">
        <v>1642</v>
      </c>
      <c r="C54" s="233"/>
      <c r="D54" s="267" t="e">
        <f ca="1">D52*unit/(D53*10000)</f>
        <v>#VALUE!</v>
      </c>
      <c r="E54" s="264"/>
      <c r="F54" s="264"/>
      <c r="G54" s="264"/>
      <c r="H54" s="298"/>
      <c r="I54" s="109"/>
      <c r="J54" s="426"/>
      <c r="K54" s="426"/>
      <c r="L54" s="109"/>
      <c r="M54" s="109"/>
      <c r="N54" s="109"/>
      <c r="O54" s="299"/>
      <c r="P54" s="109"/>
      <c r="Q54" s="301"/>
      <c r="R54" s="301"/>
      <c r="S54" s="301"/>
      <c r="T54" s="301"/>
      <c r="U54" s="301"/>
      <c r="V54" s="225"/>
      <c r="W54" s="225"/>
    </row>
    <row r="55" spans="1:23">
      <c r="A55" s="233"/>
      <c r="B55" s="233"/>
      <c r="C55" s="233"/>
      <c r="D55" s="109"/>
      <c r="E55" s="264"/>
      <c r="F55" s="264"/>
      <c r="G55" s="264"/>
      <c r="H55" s="298"/>
      <c r="I55" s="109"/>
      <c r="J55" s="426"/>
      <c r="K55" s="426"/>
      <c r="L55" s="109"/>
      <c r="M55" s="109"/>
      <c r="N55" s="109"/>
      <c r="O55" s="109"/>
      <c r="P55" s="109"/>
      <c r="Q55" s="301"/>
      <c r="R55" s="301"/>
      <c r="S55" s="301"/>
      <c r="T55" s="301"/>
      <c r="U55" s="301"/>
      <c r="V55" s="225"/>
      <c r="W55" s="225"/>
    </row>
    <row r="56" spans="1:23">
      <c r="A56" s="237" t="s">
        <v>1655</v>
      </c>
      <c r="B56" s="233"/>
      <c r="C56" s="233"/>
      <c r="D56" s="109"/>
      <c r="E56" s="264"/>
      <c r="F56" s="264"/>
      <c r="G56" s="264"/>
      <c r="H56" s="291"/>
      <c r="I56" s="269"/>
      <c r="J56" s="269"/>
      <c r="K56" s="269"/>
      <c r="L56" s="109"/>
      <c r="M56" s="109"/>
      <c r="N56" s="109"/>
      <c r="O56" s="109"/>
      <c r="P56" s="109"/>
      <c r="Q56" s="301"/>
      <c r="R56" s="301"/>
      <c r="S56" s="301"/>
      <c r="T56" s="301"/>
      <c r="U56" s="301"/>
      <c r="V56" s="225"/>
      <c r="W56" s="225"/>
    </row>
    <row r="57" spans="1:23" outlineLevel="1">
      <c r="A57" s="255"/>
      <c r="B57" s="256" t="s">
        <v>1656</v>
      </c>
      <c r="C57" s="233"/>
      <c r="D57" s="257"/>
      <c r="E57" s="171">
        <f>预测利润表!H90</f>
        <v>1.0841361122189745</v>
      </c>
      <c r="F57" s="171" t="e">
        <f>预测利润表!I90</f>
        <v>#VALUE!</v>
      </c>
      <c r="G57" s="171" t="e">
        <f>预测利润表!J90</f>
        <v>#VALUE!</v>
      </c>
      <c r="H57" s="293"/>
      <c r="I57" s="293"/>
      <c r="J57" s="293"/>
      <c r="K57" s="293"/>
      <c r="L57" s="109"/>
      <c r="M57" s="109"/>
      <c r="N57" s="109"/>
      <c r="O57" s="109"/>
      <c r="P57" s="109"/>
      <c r="Q57" s="301"/>
      <c r="R57" s="301"/>
      <c r="S57" s="301"/>
      <c r="T57" s="301"/>
      <c r="U57" s="301"/>
      <c r="V57" s="225"/>
      <c r="W57" s="225"/>
    </row>
    <row r="58" spans="1:23" outlineLevel="1">
      <c r="A58" s="255"/>
      <c r="B58" s="255" t="s">
        <v>1657</v>
      </c>
      <c r="C58" s="233"/>
      <c r="D58" s="258"/>
      <c r="E58" s="270"/>
      <c r="F58" s="270"/>
      <c r="G58" s="270"/>
      <c r="H58" s="293" t="e">
        <f>G57*(1+IF(H10="",$C$10,H10))</f>
        <v>#VALUE!</v>
      </c>
      <c r="I58" s="293" t="e">
        <f>H58*(1+IF(I10="",$C$10,I10))</f>
        <v>#VALUE!</v>
      </c>
      <c r="J58" s="293" t="e">
        <f t="shared" ref="J58:K58" si="11">I58*(1+IF(J10="",$C$10,J10))</f>
        <v>#VALUE!</v>
      </c>
      <c r="K58" s="293" t="e">
        <f t="shared" si="11"/>
        <v>#VALUE!</v>
      </c>
      <c r="L58" s="106"/>
      <c r="M58" s="106"/>
      <c r="N58" s="106"/>
      <c r="O58" s="106"/>
      <c r="P58" s="106"/>
      <c r="Q58" s="106"/>
      <c r="R58" s="106"/>
      <c r="S58" s="106"/>
      <c r="T58" s="106"/>
      <c r="U58" s="106"/>
      <c r="V58" s="225"/>
      <c r="W58" s="225"/>
    </row>
    <row r="59" spans="1:23" outlineLevel="1">
      <c r="A59" s="255"/>
      <c r="B59" s="259" t="s">
        <v>1658</v>
      </c>
      <c r="C59" s="233"/>
      <c r="D59" s="171" t="e">
        <f>(E57+NPV(C17,F57:G57))/(1+C17)^((DATE(EndYear,12,31)-EstiDate)/365)</f>
        <v>#VALUE!</v>
      </c>
      <c r="E59" s="264"/>
      <c r="F59" s="264"/>
      <c r="G59" s="264"/>
      <c r="H59" s="295"/>
      <c r="I59" s="296"/>
      <c r="J59" s="296"/>
      <c r="K59" s="296"/>
      <c r="L59" s="297"/>
      <c r="M59" s="297"/>
      <c r="N59" s="297"/>
      <c r="O59" s="297"/>
      <c r="P59" s="297"/>
      <c r="Q59" s="303"/>
      <c r="R59" s="303"/>
      <c r="S59" s="303"/>
      <c r="T59" s="303"/>
      <c r="U59" s="303"/>
      <c r="V59" s="225"/>
      <c r="W59" s="225"/>
    </row>
    <row r="60" spans="1:23" outlineLevel="1">
      <c r="A60" s="262"/>
      <c r="B60" s="256" t="s">
        <v>1659</v>
      </c>
      <c r="C60" s="233"/>
      <c r="D60" s="171" t="e">
        <f>(H58+NPV(C17,I58:K58))/(1+C17)^Estiyears/(1+C17)^((DATE(EndYear,12,31)-EstiDate)/365)</f>
        <v>#VALUE!</v>
      </c>
      <c r="E60" s="264"/>
      <c r="F60" s="264"/>
      <c r="G60" s="264"/>
      <c r="H60" s="298"/>
      <c r="I60" s="109"/>
      <c r="J60" s="426"/>
      <c r="K60" s="426"/>
      <c r="L60" s="109"/>
      <c r="M60" s="109"/>
      <c r="N60" s="109"/>
      <c r="O60" s="109"/>
      <c r="P60" s="109"/>
      <c r="Q60" s="301"/>
      <c r="R60" s="301"/>
      <c r="S60" s="301"/>
      <c r="T60" s="301"/>
      <c r="U60" s="301"/>
      <c r="V60" s="225"/>
      <c r="W60" s="225"/>
    </row>
    <row r="61" spans="1:23" outlineLevel="1">
      <c r="A61" s="262"/>
      <c r="B61" s="259" t="s">
        <v>1636</v>
      </c>
      <c r="C61" s="263"/>
      <c r="D61" s="171" t="e">
        <f>K58*(1+C5)/(C17-C5)/(1+C17)^(Transeyear+Estiyears-1)/(1+C17)^((DATE(EndYear,12,31)-EstiDate)/365)</f>
        <v>#VALUE!</v>
      </c>
      <c r="E61" s="109"/>
      <c r="F61" s="426"/>
      <c r="G61" s="426"/>
      <c r="H61" s="298"/>
      <c r="I61" s="109"/>
      <c r="J61" s="426"/>
      <c r="K61" s="426"/>
      <c r="L61" s="109"/>
      <c r="M61" s="109"/>
      <c r="N61" s="109"/>
      <c r="O61" s="109"/>
      <c r="P61" s="109"/>
      <c r="Q61" s="301"/>
      <c r="R61" s="301"/>
      <c r="S61" s="301"/>
      <c r="T61" s="301"/>
      <c r="U61" s="301"/>
      <c r="V61" s="225"/>
      <c r="W61" s="225"/>
    </row>
    <row r="62" spans="1:23" outlineLevel="1">
      <c r="A62" s="262"/>
      <c r="B62" s="256" t="s">
        <v>1660</v>
      </c>
      <c r="C62" s="233"/>
      <c r="D62" s="171" t="e">
        <f>D59+D60+D61</f>
        <v>#VALUE!</v>
      </c>
      <c r="E62" s="264"/>
      <c r="F62" s="264"/>
      <c r="G62" s="264"/>
      <c r="H62" s="298"/>
      <c r="I62" s="109"/>
      <c r="J62" s="426"/>
      <c r="K62" s="426"/>
      <c r="L62" s="109"/>
      <c r="M62" s="109"/>
      <c r="N62" s="109"/>
      <c r="O62" s="109"/>
      <c r="P62" s="109"/>
      <c r="Q62" s="301"/>
      <c r="R62" s="301"/>
      <c r="S62" s="301"/>
      <c r="T62" s="301"/>
      <c r="U62" s="301"/>
      <c r="V62" s="225"/>
      <c r="W62" s="225"/>
    </row>
    <row r="63" spans="1:23" outlineLevel="1">
      <c r="A63" s="265" t="s">
        <v>865</v>
      </c>
      <c r="B63" s="259" t="s">
        <v>1661</v>
      </c>
      <c r="C63" s="233"/>
      <c r="D63" s="171">
        <f>预测资产负债表!G94</f>
        <v>41.846559398562</v>
      </c>
      <c r="E63" s="264"/>
      <c r="F63" s="264"/>
      <c r="G63" s="264"/>
      <c r="H63" s="298"/>
      <c r="I63" s="109"/>
      <c r="J63" s="426"/>
      <c r="K63" s="426"/>
      <c r="L63" s="109"/>
      <c r="M63" s="109"/>
      <c r="N63" s="109"/>
      <c r="O63" s="109"/>
      <c r="P63" s="109"/>
      <c r="Q63" s="301"/>
      <c r="R63" s="301"/>
      <c r="S63" s="301"/>
      <c r="T63" s="301"/>
      <c r="U63" s="301"/>
      <c r="V63" s="225"/>
      <c r="W63" s="225"/>
    </row>
    <row r="64" spans="1:23" outlineLevel="1">
      <c r="A64" s="265"/>
      <c r="B64" s="259" t="s">
        <v>1637</v>
      </c>
      <c r="C64" s="233"/>
      <c r="D64" s="171" t="e">
        <f>D62+D63</f>
        <v>#VALUE!</v>
      </c>
      <c r="E64" s="264"/>
      <c r="F64" s="264"/>
      <c r="G64" s="264"/>
      <c r="H64" s="298"/>
      <c r="I64" s="109"/>
      <c r="J64" s="426"/>
      <c r="K64" s="426"/>
      <c r="L64" s="109"/>
      <c r="M64" s="109"/>
      <c r="N64" s="109"/>
      <c r="O64" s="109"/>
      <c r="P64" s="109"/>
      <c r="Q64" s="301"/>
      <c r="R64" s="301"/>
      <c r="S64" s="301"/>
      <c r="T64" s="301"/>
      <c r="U64" s="301"/>
      <c r="V64" s="225"/>
      <c r="W64" s="225"/>
    </row>
    <row r="65" spans="1:23" outlineLevel="1">
      <c r="A65" s="265" t="s">
        <v>865</v>
      </c>
      <c r="B65" s="259" t="s">
        <v>1638</v>
      </c>
      <c r="C65" s="233"/>
      <c r="D65" s="171">
        <f>D27</f>
        <v>3.5999999999999997E-2</v>
      </c>
      <c r="E65" s="264"/>
      <c r="F65" s="264"/>
      <c r="G65" s="264"/>
      <c r="H65" s="298"/>
      <c r="I65" s="109"/>
      <c r="J65" s="426"/>
      <c r="K65" s="426"/>
      <c r="L65" s="109"/>
      <c r="M65" s="109"/>
      <c r="N65" s="109"/>
      <c r="O65" s="109"/>
      <c r="P65" s="109"/>
      <c r="Q65" s="301"/>
      <c r="R65" s="301"/>
      <c r="S65" s="301"/>
      <c r="T65" s="301"/>
      <c r="U65" s="301"/>
      <c r="V65" s="225"/>
      <c r="W65" s="225"/>
    </row>
    <row r="66" spans="1:23" outlineLevel="1">
      <c r="A66" s="265" t="s">
        <v>858</v>
      </c>
      <c r="B66" s="259" t="s">
        <v>1639</v>
      </c>
      <c r="C66" s="233"/>
      <c r="D66" s="171">
        <f>D28</f>
        <v>0.60194173890000002</v>
      </c>
      <c r="E66" s="264"/>
      <c r="F66" s="264"/>
      <c r="G66" s="264"/>
      <c r="H66" s="298"/>
      <c r="I66" s="109"/>
      <c r="J66" s="426"/>
      <c r="K66" s="426"/>
      <c r="L66" s="109"/>
      <c r="M66" s="109"/>
      <c r="N66" s="109"/>
      <c r="O66" s="109"/>
      <c r="P66" s="109"/>
      <c r="Q66" s="301"/>
      <c r="R66" s="301"/>
      <c r="S66" s="301"/>
      <c r="T66" s="301"/>
      <c r="U66" s="301"/>
      <c r="V66" s="225"/>
      <c r="W66" s="225"/>
    </row>
    <row r="67" spans="1:23" outlineLevel="1">
      <c r="A67" s="265" t="s">
        <v>858</v>
      </c>
      <c r="B67" s="259" t="s">
        <v>936</v>
      </c>
      <c r="C67" s="233"/>
      <c r="D67" s="171">
        <v>28351.382409000002</v>
      </c>
      <c r="E67" s="264"/>
      <c r="F67" s="264"/>
      <c r="G67" s="264"/>
      <c r="H67" s="298"/>
      <c r="I67" s="109"/>
      <c r="J67" s="426"/>
      <c r="K67" s="426"/>
      <c r="L67" s="109"/>
      <c r="M67" s="109"/>
      <c r="N67" s="109"/>
      <c r="O67" s="109"/>
      <c r="P67" s="109"/>
      <c r="Q67" s="301"/>
      <c r="R67" s="301"/>
      <c r="S67" s="301"/>
      <c r="T67" s="301"/>
      <c r="U67" s="301"/>
      <c r="V67" s="225"/>
      <c r="W67" s="225"/>
    </row>
    <row r="68" spans="1:23" outlineLevel="1">
      <c r="A68" s="265"/>
      <c r="B68" s="259" t="s">
        <v>1598</v>
      </c>
      <c r="C68" s="233"/>
      <c r="D68" s="171" t="e">
        <f>D64+D65-D66-D67</f>
        <v>#VALUE!</v>
      </c>
      <c r="E68" s="264"/>
      <c r="F68" s="264"/>
      <c r="G68" s="264"/>
      <c r="H68" s="298"/>
      <c r="I68" s="109"/>
      <c r="J68" s="426"/>
      <c r="K68" s="426"/>
      <c r="L68" s="109"/>
      <c r="M68" s="109"/>
      <c r="N68" s="109"/>
      <c r="O68" s="109"/>
      <c r="P68" s="109"/>
      <c r="Q68" s="301"/>
      <c r="R68" s="301"/>
      <c r="S68" s="301"/>
      <c r="T68" s="301"/>
      <c r="U68" s="301"/>
      <c r="V68" s="225"/>
      <c r="W68" s="225"/>
    </row>
    <row r="69" spans="1:23" outlineLevel="1">
      <c r="A69" s="265" t="s">
        <v>1640</v>
      </c>
      <c r="B69" s="259" t="s">
        <v>1641</v>
      </c>
      <c r="C69" s="233"/>
      <c r="D69" s="171" t="e">
        <f ca="1">目录!E9</f>
        <v>#VALUE!</v>
      </c>
      <c r="E69" s="264"/>
      <c r="F69" s="264"/>
      <c r="G69" s="264"/>
      <c r="H69" s="298"/>
      <c r="I69" s="109"/>
      <c r="J69" s="426"/>
      <c r="K69" s="426"/>
      <c r="L69" s="109"/>
      <c r="M69" s="109"/>
      <c r="N69" s="109"/>
      <c r="O69" s="109"/>
      <c r="P69" s="109"/>
      <c r="Q69" s="301"/>
      <c r="R69" s="301"/>
      <c r="S69" s="301"/>
      <c r="T69" s="301"/>
      <c r="U69" s="301"/>
      <c r="V69" s="225"/>
      <c r="W69" s="225"/>
    </row>
    <row r="70" spans="1:23" outlineLevel="1">
      <c r="A70" s="265"/>
      <c r="B70" s="259" t="s">
        <v>1642</v>
      </c>
      <c r="C70" s="233"/>
      <c r="D70" s="171" t="e">
        <f ca="1">D68*unit/(D69*10000)</f>
        <v>#VALUE!</v>
      </c>
      <c r="E70" s="264"/>
      <c r="F70" s="264"/>
      <c r="G70" s="264"/>
      <c r="H70" s="298"/>
      <c r="I70" s="109"/>
      <c r="J70" s="426"/>
      <c r="K70" s="426"/>
      <c r="L70" s="109"/>
      <c r="M70" s="109"/>
      <c r="N70" s="109"/>
      <c r="O70" s="109"/>
      <c r="P70" s="109"/>
      <c r="Q70" s="301"/>
      <c r="R70" s="301"/>
      <c r="S70" s="301"/>
      <c r="T70" s="301"/>
      <c r="U70" s="301"/>
      <c r="V70" s="225"/>
      <c r="W70" s="225"/>
    </row>
    <row r="71" spans="1:23">
      <c r="A71" s="233"/>
      <c r="B71" s="211"/>
      <c r="C71" s="233"/>
      <c r="D71" s="109"/>
      <c r="E71" s="264"/>
      <c r="F71" s="264"/>
      <c r="G71" s="264"/>
      <c r="H71" s="298"/>
      <c r="I71" s="109"/>
      <c r="J71" s="426"/>
      <c r="K71" s="426"/>
      <c r="L71" s="109"/>
      <c r="M71" s="109"/>
      <c r="N71" s="109"/>
      <c r="O71" s="109"/>
      <c r="P71" s="109"/>
      <c r="Q71" s="301"/>
      <c r="R71" s="301"/>
      <c r="S71" s="301"/>
      <c r="T71" s="301"/>
      <c r="U71" s="301"/>
      <c r="V71" s="225"/>
      <c r="W71" s="225"/>
    </row>
    <row r="72" spans="1:23">
      <c r="A72" s="237" t="s">
        <v>1662</v>
      </c>
      <c r="B72" s="233"/>
      <c r="C72" s="233"/>
      <c r="D72" s="109"/>
      <c r="E72" s="264"/>
      <c r="F72" s="264"/>
      <c r="G72" s="264"/>
      <c r="H72" s="291"/>
      <c r="I72" s="269"/>
      <c r="J72" s="269"/>
      <c r="K72" s="269"/>
      <c r="L72" s="109"/>
      <c r="M72" s="109"/>
      <c r="N72" s="109"/>
      <c r="O72" s="109"/>
      <c r="P72" s="109"/>
      <c r="Q72" s="301"/>
      <c r="R72" s="301"/>
      <c r="S72" s="301"/>
      <c r="T72" s="301"/>
      <c r="U72" s="301"/>
      <c r="V72" s="225"/>
      <c r="W72" s="225"/>
    </row>
    <row r="73" spans="1:23" outlineLevel="1">
      <c r="A73" s="255"/>
      <c r="B73" s="259" t="s">
        <v>1663</v>
      </c>
      <c r="C73" s="233"/>
      <c r="D73" s="257"/>
      <c r="E73" s="171">
        <f>预测利润表!H93</f>
        <v>21.236565500801472</v>
      </c>
      <c r="F73" s="171" t="e">
        <f>预测利润表!I93</f>
        <v>#VALUE!</v>
      </c>
      <c r="G73" s="171" t="e">
        <f>预测利润表!J93</f>
        <v>#VALUE!</v>
      </c>
      <c r="H73" s="293"/>
      <c r="I73" s="293"/>
      <c r="J73" s="293"/>
      <c r="K73" s="293"/>
      <c r="L73" s="109"/>
      <c r="M73" s="109"/>
      <c r="N73" s="109"/>
      <c r="O73" s="109"/>
      <c r="P73" s="109"/>
      <c r="Q73" s="301"/>
      <c r="R73" s="301"/>
      <c r="S73" s="301"/>
      <c r="T73" s="301"/>
      <c r="U73" s="301"/>
      <c r="V73" s="225"/>
      <c r="W73" s="225"/>
    </row>
    <row r="74" spans="1:23" outlineLevel="1">
      <c r="A74" s="255"/>
      <c r="B74" s="259" t="s">
        <v>1664</v>
      </c>
      <c r="C74" s="233"/>
      <c r="D74" s="258"/>
      <c r="E74" s="171"/>
      <c r="F74" s="171"/>
      <c r="G74" s="171"/>
      <c r="H74" s="293" t="e">
        <f>G73*(1+IF(H10="",$C$10,H10))</f>
        <v>#VALUE!</v>
      </c>
      <c r="I74" s="293" t="e">
        <f>H74*(1+IF(I10="",$C$10,I10))</f>
        <v>#VALUE!</v>
      </c>
      <c r="J74" s="293" t="e">
        <f t="shared" ref="J74:K74" si="12">I74*(1+IF(J10="",$C$10,J10))</f>
        <v>#VALUE!</v>
      </c>
      <c r="K74" s="293" t="e">
        <f t="shared" si="12"/>
        <v>#VALUE!</v>
      </c>
      <c r="L74" s="106"/>
      <c r="M74" s="106"/>
      <c r="N74" s="106"/>
      <c r="O74" s="106"/>
      <c r="P74" s="106"/>
      <c r="Q74" s="106"/>
      <c r="R74" s="106"/>
      <c r="S74" s="106"/>
      <c r="T74" s="106"/>
      <c r="U74" s="106"/>
      <c r="V74" s="225"/>
      <c r="W74" s="225"/>
    </row>
    <row r="75" spans="1:23" outlineLevel="1">
      <c r="A75" s="262"/>
      <c r="B75" s="259" t="s">
        <v>1665</v>
      </c>
      <c r="C75" s="233"/>
      <c r="D75" s="171" t="e">
        <f>(E73+NPV(C16,F73:G73))/(1+C16)^((DATE(EndYear,12,31)-EstiDate)/365)</f>
        <v>#VALUE!</v>
      </c>
      <c r="E75" s="264"/>
      <c r="F75" s="264"/>
      <c r="G75" s="264"/>
      <c r="H75" s="295"/>
      <c r="I75" s="296"/>
      <c r="J75" s="296"/>
      <c r="K75" s="296"/>
      <c r="L75" s="109"/>
      <c r="M75" s="109"/>
      <c r="N75" s="109"/>
      <c r="O75" s="109"/>
      <c r="P75" s="109"/>
      <c r="Q75" s="301"/>
      <c r="R75" s="301"/>
      <c r="S75" s="301"/>
      <c r="T75" s="301"/>
      <c r="U75" s="301"/>
      <c r="V75" s="225"/>
      <c r="W75" s="225"/>
    </row>
    <row r="76" spans="1:23" outlineLevel="1">
      <c r="A76" s="262"/>
      <c r="B76" s="259" t="s">
        <v>1666</v>
      </c>
      <c r="C76" s="233"/>
      <c r="D76" s="171" t="e">
        <f>(H74+NPV(C16,I74:K74))/(1+C16)^Estiyears/(1+C16)^((DATE(EndYear,12,31)-EstiDate)/365)</f>
        <v>#VALUE!</v>
      </c>
      <c r="E76" s="109"/>
      <c r="F76" s="426"/>
      <c r="G76" s="426"/>
      <c r="H76" s="298"/>
      <c r="I76" s="109"/>
      <c r="J76" s="426"/>
      <c r="K76" s="426"/>
      <c r="L76" s="109"/>
      <c r="M76" s="109"/>
      <c r="N76" s="109"/>
      <c r="O76" s="109"/>
      <c r="P76" s="109"/>
      <c r="Q76" s="301"/>
      <c r="R76" s="301"/>
      <c r="S76" s="301"/>
      <c r="T76" s="301"/>
      <c r="U76" s="301"/>
      <c r="V76" s="225"/>
      <c r="W76" s="225"/>
    </row>
    <row r="77" spans="1:23" outlineLevel="1">
      <c r="A77" s="262"/>
      <c r="B77" s="259" t="s">
        <v>1636</v>
      </c>
      <c r="C77" s="263"/>
      <c r="D77" s="171" t="e">
        <f>K74*(1+C5)/(C16-C5)/(1+C16)^(Transeyear+Estiyears-1)/(1+C16)^((DATE(EndYear,12,31)-EstiDate)/365)</f>
        <v>#VALUE!</v>
      </c>
      <c r="E77" s="109"/>
      <c r="F77" s="426"/>
      <c r="G77" s="426"/>
      <c r="H77" s="298"/>
      <c r="I77" s="109"/>
      <c r="J77" s="426"/>
      <c r="K77" s="426"/>
      <c r="L77" s="109"/>
      <c r="M77" s="109"/>
      <c r="N77" s="109"/>
      <c r="O77" s="109"/>
      <c r="P77" s="109"/>
      <c r="Q77" s="301"/>
      <c r="R77" s="301"/>
      <c r="S77" s="301"/>
      <c r="T77" s="301"/>
      <c r="U77" s="301"/>
      <c r="V77" s="225"/>
      <c r="W77" s="225"/>
    </row>
    <row r="78" spans="1:23" outlineLevel="1">
      <c r="A78" s="262"/>
      <c r="B78" s="259" t="s">
        <v>1667</v>
      </c>
      <c r="C78" s="233"/>
      <c r="D78" s="171" t="e">
        <f>D75+D76+D77</f>
        <v>#VALUE!</v>
      </c>
      <c r="E78" s="264"/>
      <c r="F78" s="264"/>
      <c r="G78" s="264"/>
      <c r="H78" s="298"/>
      <c r="I78" s="109"/>
      <c r="J78" s="426"/>
      <c r="K78" s="426"/>
      <c r="L78" s="109"/>
      <c r="M78" s="109"/>
      <c r="N78" s="109"/>
      <c r="O78" s="109"/>
      <c r="P78" s="109"/>
      <c r="Q78" s="301"/>
      <c r="R78" s="301"/>
      <c r="S78" s="301"/>
      <c r="T78" s="301"/>
      <c r="U78" s="301"/>
      <c r="V78" s="225"/>
      <c r="W78" s="225"/>
    </row>
    <row r="79" spans="1:23" outlineLevel="1">
      <c r="A79" s="265" t="s">
        <v>865</v>
      </c>
      <c r="B79" s="259" t="s">
        <v>1668</v>
      </c>
      <c r="C79" s="233"/>
      <c r="D79" s="171">
        <f>预测资产负债表!G62</f>
        <v>43.5765576087</v>
      </c>
      <c r="E79" s="264"/>
      <c r="F79" s="264"/>
      <c r="G79" s="264"/>
      <c r="H79" s="298"/>
      <c r="I79" s="109"/>
      <c r="J79" s="426"/>
      <c r="K79" s="426"/>
      <c r="L79" s="109"/>
      <c r="M79" s="109"/>
      <c r="N79" s="109"/>
      <c r="O79" s="109"/>
      <c r="P79" s="109"/>
      <c r="Q79" s="301"/>
      <c r="R79" s="301"/>
      <c r="S79" s="301"/>
      <c r="T79" s="301"/>
      <c r="U79" s="301"/>
      <c r="V79" s="225"/>
      <c r="W79" s="225"/>
    </row>
    <row r="80" spans="1:23" outlineLevel="1">
      <c r="A80" s="265"/>
      <c r="B80" s="259" t="s">
        <v>1648</v>
      </c>
      <c r="C80" s="233"/>
      <c r="D80" s="171" t="e">
        <f>D78+D79</f>
        <v>#VALUE!</v>
      </c>
      <c r="E80" s="264"/>
      <c r="F80" s="264"/>
      <c r="G80" s="264"/>
      <c r="H80" s="298"/>
      <c r="I80" s="109"/>
      <c r="J80" s="426"/>
      <c r="K80" s="426"/>
      <c r="L80" s="109"/>
      <c r="M80" s="109"/>
      <c r="N80" s="109"/>
      <c r="O80" s="109"/>
      <c r="P80" s="109"/>
      <c r="Q80" s="301"/>
      <c r="R80" s="301"/>
      <c r="S80" s="301"/>
      <c r="T80" s="301"/>
      <c r="U80" s="301"/>
      <c r="V80" s="225"/>
      <c r="W80" s="225"/>
    </row>
    <row r="81" spans="1:23" outlineLevel="1">
      <c r="A81" s="265" t="s">
        <v>858</v>
      </c>
      <c r="B81" s="259" t="s">
        <v>936</v>
      </c>
      <c r="C81" s="233"/>
      <c r="D81" s="171">
        <f>D67</f>
        <v>28351.382409000002</v>
      </c>
      <c r="E81" s="264"/>
      <c r="F81" s="264"/>
      <c r="G81" s="264"/>
      <c r="H81" s="298"/>
      <c r="I81" s="109"/>
      <c r="J81" s="426"/>
      <c r="K81" s="426"/>
      <c r="L81" s="109"/>
      <c r="M81" s="109"/>
      <c r="N81" s="109"/>
      <c r="O81" s="109"/>
      <c r="P81" s="109"/>
      <c r="Q81" s="301"/>
      <c r="R81" s="301"/>
      <c r="S81" s="301"/>
      <c r="T81" s="301"/>
      <c r="U81" s="301"/>
      <c r="V81" s="225"/>
      <c r="W81" s="225"/>
    </row>
    <row r="82" spans="1:23" outlineLevel="1">
      <c r="A82" s="265"/>
      <c r="B82" s="259" t="s">
        <v>1598</v>
      </c>
      <c r="C82" s="233"/>
      <c r="D82" s="171" t="e">
        <f>D80-D81</f>
        <v>#VALUE!</v>
      </c>
      <c r="E82" s="264"/>
      <c r="F82" s="264"/>
      <c r="G82" s="264"/>
      <c r="H82" s="298"/>
      <c r="I82" s="109"/>
      <c r="J82" s="426"/>
      <c r="K82" s="426"/>
      <c r="L82" s="109"/>
      <c r="M82" s="109"/>
      <c r="N82" s="109"/>
      <c r="O82" s="109"/>
      <c r="P82" s="109"/>
      <c r="Q82" s="301"/>
      <c r="R82" s="301"/>
      <c r="S82" s="301"/>
      <c r="T82" s="301"/>
      <c r="U82" s="301"/>
      <c r="V82" s="225"/>
      <c r="W82" s="225"/>
    </row>
    <row r="83" spans="1:23" outlineLevel="1">
      <c r="A83" s="265" t="s">
        <v>1640</v>
      </c>
      <c r="B83" s="259" t="s">
        <v>1641</v>
      </c>
      <c r="C83" s="233"/>
      <c r="D83" s="171" t="e">
        <f ca="1">目录!E9</f>
        <v>#VALUE!</v>
      </c>
      <c r="E83" s="264"/>
      <c r="F83" s="264"/>
      <c r="G83" s="264"/>
      <c r="H83" s="298"/>
      <c r="I83" s="109"/>
      <c r="J83" s="426"/>
      <c r="K83" s="426"/>
      <c r="L83" s="109"/>
      <c r="M83" s="109"/>
      <c r="N83" s="109"/>
      <c r="O83" s="109"/>
      <c r="P83" s="109"/>
      <c r="Q83" s="301"/>
      <c r="R83" s="301"/>
      <c r="S83" s="301"/>
      <c r="T83" s="301"/>
      <c r="U83" s="301"/>
      <c r="V83" s="225"/>
      <c r="W83" s="225"/>
    </row>
    <row r="84" spans="1:23" outlineLevel="1">
      <c r="A84" s="265"/>
      <c r="B84" s="259" t="s">
        <v>1642</v>
      </c>
      <c r="C84" s="233"/>
      <c r="D84" s="171" t="e">
        <f ca="1">D82*unit/(D83*10000)</f>
        <v>#VALUE!</v>
      </c>
      <c r="E84" s="264"/>
      <c r="F84" s="264"/>
      <c r="G84" s="264"/>
      <c r="H84" s="298"/>
      <c r="I84" s="109"/>
      <c r="J84" s="426"/>
      <c r="K84" s="426"/>
      <c r="L84" s="109"/>
      <c r="M84" s="109"/>
      <c r="N84" s="109"/>
      <c r="O84" s="109"/>
      <c r="P84" s="109"/>
      <c r="Q84" s="301"/>
      <c r="R84" s="301"/>
      <c r="S84" s="301"/>
      <c r="T84" s="301"/>
      <c r="U84" s="301"/>
      <c r="V84" s="225"/>
      <c r="W84" s="225"/>
    </row>
    <row r="85" spans="1:23">
      <c r="A85" s="233"/>
      <c r="B85" s="233"/>
      <c r="C85" s="233"/>
      <c r="D85" s="210"/>
      <c r="E85" s="254"/>
      <c r="F85" s="254"/>
      <c r="G85" s="254"/>
      <c r="H85" s="271"/>
      <c r="I85" s="210"/>
      <c r="J85" s="210"/>
      <c r="K85" s="210"/>
      <c r="L85" s="210"/>
      <c r="M85" s="210"/>
      <c r="N85" s="210"/>
      <c r="O85" s="210"/>
      <c r="P85" s="210"/>
      <c r="Q85" s="210"/>
      <c r="R85" s="210"/>
      <c r="S85" s="210"/>
      <c r="T85" s="210"/>
      <c r="U85" s="210"/>
      <c r="V85" s="225"/>
      <c r="W85" s="225"/>
    </row>
    <row r="86" spans="1:23">
      <c r="A86" s="210"/>
      <c r="B86" s="210"/>
      <c r="C86" s="210"/>
      <c r="D86" s="210"/>
      <c r="E86" s="210"/>
      <c r="F86" s="210"/>
      <c r="G86" s="210"/>
      <c r="H86" s="271"/>
      <c r="I86" s="210"/>
      <c r="J86" s="210"/>
      <c r="K86" s="210"/>
      <c r="L86" s="210"/>
      <c r="M86" s="210"/>
      <c r="N86" s="210"/>
      <c r="O86" s="210"/>
      <c r="P86" s="210"/>
      <c r="Q86" s="210"/>
      <c r="R86" s="210"/>
      <c r="S86" s="210"/>
      <c r="T86" s="210"/>
      <c r="U86" s="210"/>
      <c r="V86" s="225"/>
      <c r="W86" s="225"/>
    </row>
    <row r="87" spans="1:23">
      <c r="A87" s="210"/>
      <c r="B87" s="210"/>
      <c r="C87" s="210"/>
      <c r="D87" s="210"/>
      <c r="E87" s="210"/>
      <c r="F87" s="210"/>
      <c r="G87" s="210"/>
      <c r="H87" s="271"/>
      <c r="I87" s="210"/>
      <c r="J87" s="210"/>
      <c r="K87" s="210"/>
      <c r="L87" s="210"/>
      <c r="M87" s="210"/>
      <c r="N87" s="210"/>
      <c r="O87" s="210"/>
      <c r="P87" s="210"/>
      <c r="Q87" s="210"/>
      <c r="R87" s="210"/>
      <c r="S87" s="210"/>
      <c r="T87" s="210"/>
      <c r="U87" s="210"/>
      <c r="V87" s="225"/>
      <c r="W87" s="225"/>
    </row>
    <row r="88" spans="1:23">
      <c r="A88" s="210"/>
      <c r="B88" s="210"/>
      <c r="C88" s="210"/>
      <c r="D88" s="210"/>
      <c r="E88" s="210"/>
      <c r="F88" s="210"/>
      <c r="G88" s="210"/>
      <c r="H88" s="271"/>
      <c r="I88" s="210"/>
      <c r="J88" s="210"/>
      <c r="K88" s="210"/>
      <c r="L88" s="210"/>
      <c r="M88" s="210"/>
      <c r="N88" s="210"/>
      <c r="O88" s="210"/>
      <c r="P88" s="210"/>
      <c r="Q88" s="210"/>
      <c r="R88" s="210"/>
      <c r="S88" s="210"/>
      <c r="T88" s="210"/>
      <c r="U88" s="210"/>
      <c r="V88" s="220"/>
      <c r="W88" s="220"/>
    </row>
    <row r="89" spans="1:23">
      <c r="A89" s="210"/>
      <c r="B89" s="210"/>
      <c r="C89" s="210"/>
      <c r="D89" s="210"/>
      <c r="E89" s="210"/>
      <c r="F89" s="210"/>
      <c r="G89" s="210"/>
      <c r="H89" s="271"/>
      <c r="I89" s="210"/>
      <c r="J89" s="210"/>
      <c r="K89" s="210"/>
      <c r="L89" s="210"/>
      <c r="M89" s="210"/>
      <c r="N89" s="210"/>
      <c r="O89" s="210"/>
      <c r="P89" s="210"/>
      <c r="Q89" s="210"/>
      <c r="R89" s="210"/>
      <c r="S89" s="210"/>
      <c r="T89" s="210"/>
      <c r="U89" s="210"/>
      <c r="V89" s="220"/>
      <c r="W89" s="220"/>
    </row>
    <row r="90" spans="1:23">
      <c r="A90" s="210"/>
      <c r="B90" s="210"/>
      <c r="C90" s="210"/>
      <c r="D90" s="210"/>
      <c r="E90" s="210"/>
      <c r="F90" s="210"/>
      <c r="G90" s="210"/>
      <c r="H90" s="271"/>
      <c r="I90" s="210"/>
      <c r="J90" s="210"/>
      <c r="K90" s="210"/>
      <c r="L90" s="210"/>
      <c r="M90" s="210"/>
      <c r="N90" s="210"/>
      <c r="O90" s="210"/>
      <c r="P90" s="210"/>
      <c r="Q90" s="210"/>
      <c r="R90" s="210"/>
      <c r="S90" s="210"/>
      <c r="T90" s="210"/>
      <c r="U90" s="210"/>
      <c r="V90" s="220"/>
      <c r="W90" s="220"/>
    </row>
    <row r="91" spans="1:23">
      <c r="A91" s="210"/>
      <c r="B91" s="210"/>
      <c r="C91" s="210"/>
      <c r="D91" s="210"/>
      <c r="E91" s="210"/>
      <c r="F91" s="210"/>
      <c r="G91" s="210"/>
      <c r="H91" s="271"/>
      <c r="I91" s="210"/>
      <c r="J91" s="210"/>
      <c r="K91" s="210"/>
      <c r="L91" s="210"/>
      <c r="M91" s="210"/>
      <c r="N91" s="210"/>
      <c r="O91" s="210"/>
      <c r="P91" s="210"/>
      <c r="Q91" s="210"/>
      <c r="R91" s="210"/>
      <c r="S91" s="210"/>
      <c r="T91" s="210"/>
      <c r="U91" s="210"/>
      <c r="V91" s="220"/>
      <c r="W91" s="220"/>
    </row>
    <row r="92" spans="1:23">
      <c r="A92" s="210"/>
      <c r="B92" s="210"/>
      <c r="C92" s="210"/>
      <c r="D92" s="210"/>
      <c r="E92" s="210"/>
      <c r="F92" s="210"/>
      <c r="G92" s="210"/>
      <c r="H92" s="271"/>
      <c r="I92" s="210"/>
      <c r="J92" s="210"/>
      <c r="K92" s="210"/>
      <c r="L92" s="210"/>
      <c r="M92" s="210"/>
      <c r="N92" s="210"/>
      <c r="O92" s="210"/>
      <c r="P92" s="210"/>
      <c r="Q92" s="210"/>
      <c r="R92" s="210"/>
      <c r="S92" s="210"/>
      <c r="T92" s="210"/>
      <c r="U92" s="210"/>
      <c r="V92" s="220"/>
      <c r="W92" s="220"/>
    </row>
    <row r="93" spans="1:23">
      <c r="A93" s="210"/>
      <c r="B93" s="210"/>
      <c r="C93" s="210"/>
      <c r="D93" s="210"/>
      <c r="E93" s="210"/>
      <c r="F93" s="210"/>
      <c r="G93" s="210"/>
      <c r="H93" s="271"/>
      <c r="I93" s="210"/>
      <c r="J93" s="210"/>
      <c r="K93" s="210"/>
      <c r="L93" s="210"/>
      <c r="M93" s="210"/>
      <c r="N93" s="210"/>
      <c r="O93" s="210"/>
      <c r="P93" s="210"/>
      <c r="Q93" s="210"/>
      <c r="R93" s="210"/>
      <c r="S93" s="210"/>
      <c r="T93" s="210"/>
      <c r="U93" s="210"/>
      <c r="V93" s="220"/>
      <c r="W93" s="220"/>
    </row>
    <row r="94" spans="1:23">
      <c r="A94" s="210"/>
      <c r="B94" s="210"/>
      <c r="C94" s="210"/>
      <c r="D94" s="210"/>
      <c r="E94" s="210"/>
      <c r="F94" s="210"/>
      <c r="G94" s="210"/>
      <c r="H94" s="271"/>
      <c r="I94" s="210"/>
      <c r="J94" s="210"/>
      <c r="K94" s="210"/>
      <c r="L94" s="210"/>
      <c r="M94" s="210"/>
      <c r="N94" s="210"/>
      <c r="O94" s="210"/>
      <c r="P94" s="210"/>
      <c r="Q94" s="210"/>
      <c r="R94" s="210"/>
      <c r="S94" s="210"/>
      <c r="T94" s="210"/>
      <c r="U94" s="210"/>
      <c r="V94" s="220"/>
      <c r="W94" s="220"/>
    </row>
    <row r="95" spans="1:23">
      <c r="A95" s="210"/>
      <c r="B95" s="210"/>
      <c r="C95" s="210"/>
      <c r="D95" s="210"/>
      <c r="E95" s="210"/>
      <c r="F95" s="210"/>
      <c r="G95" s="210"/>
      <c r="H95" s="271"/>
      <c r="I95" s="210"/>
      <c r="J95" s="210"/>
      <c r="K95" s="210"/>
      <c r="L95" s="210"/>
      <c r="M95" s="210"/>
      <c r="N95" s="210"/>
      <c r="O95" s="210"/>
      <c r="P95" s="210"/>
      <c r="Q95" s="210"/>
      <c r="R95" s="210"/>
      <c r="S95" s="210"/>
      <c r="T95" s="210"/>
      <c r="U95" s="210"/>
      <c r="V95" s="220"/>
      <c r="W95" s="220"/>
    </row>
    <row r="96" spans="1:23">
      <c r="A96" s="210"/>
      <c r="B96" s="210"/>
      <c r="C96" s="210"/>
      <c r="D96" s="210"/>
      <c r="E96" s="210"/>
      <c r="F96" s="210"/>
      <c r="G96" s="210"/>
      <c r="H96" s="271"/>
      <c r="I96" s="210"/>
      <c r="J96" s="210"/>
      <c r="K96" s="210"/>
      <c r="L96" s="210"/>
      <c r="M96" s="210"/>
      <c r="N96" s="210"/>
      <c r="O96" s="210"/>
      <c r="P96" s="210"/>
      <c r="Q96" s="210"/>
      <c r="R96" s="210"/>
      <c r="S96" s="210"/>
      <c r="T96" s="210"/>
      <c r="U96" s="210"/>
      <c r="V96" s="220"/>
      <c r="W96" s="220"/>
    </row>
    <row r="97" spans="1:11" s="5" customFormat="1">
      <c r="A97" s="210"/>
      <c r="B97" s="210"/>
      <c r="C97" s="210"/>
      <c r="D97" s="210"/>
      <c r="E97" s="210"/>
      <c r="F97" s="210"/>
      <c r="G97" s="210"/>
      <c r="H97" s="271"/>
      <c r="I97" s="210"/>
      <c r="J97" s="210"/>
      <c r="K97" s="75"/>
    </row>
    <row r="98" spans="1:11" s="5" customFormat="1">
      <c r="H98" s="304"/>
    </row>
    <row r="99" spans="1:11" s="5" customFormat="1">
      <c r="H99" s="304"/>
    </row>
    <row r="100" spans="1:11" s="5" customFormat="1">
      <c r="H100" s="304"/>
    </row>
    <row r="101" spans="1:11" s="5" customFormat="1">
      <c r="H101" s="304"/>
    </row>
    <row r="102" spans="1:11" s="5" customFormat="1">
      <c r="H102" s="304"/>
    </row>
    <row r="103" spans="1:11" s="5" customFormat="1">
      <c r="H103" s="304"/>
    </row>
    <row r="104" spans="1:11" s="5" customFormat="1">
      <c r="H104" s="304"/>
    </row>
    <row r="105" spans="1:11" s="5" customFormat="1">
      <c r="H105" s="304"/>
    </row>
    <row r="106" spans="1:11" s="5" customFormat="1">
      <c r="H106" s="304"/>
    </row>
    <row r="107" spans="1:11" s="5" customFormat="1">
      <c r="H107" s="304"/>
    </row>
    <row r="108" spans="1:11" s="5" customFormat="1">
      <c r="H108" s="304"/>
    </row>
    <row r="109" spans="1:11" s="5" customFormat="1">
      <c r="H109" s="304"/>
    </row>
    <row r="110" spans="1:11" s="5" customFormat="1">
      <c r="H110" s="304"/>
    </row>
    <row r="111" spans="1:11" s="5" customFormat="1">
      <c r="H111" s="304"/>
    </row>
    <row r="112" spans="1:11" s="5" customFormat="1">
      <c r="H112" s="304"/>
    </row>
    <row r="113" spans="8:8" s="5" customFormat="1">
      <c r="H113" s="304"/>
    </row>
    <row r="114" spans="8:8" s="5" customFormat="1">
      <c r="H114" s="304"/>
    </row>
    <row r="115" spans="8:8" s="5" customFormat="1">
      <c r="H115" s="304"/>
    </row>
    <row r="116" spans="8:8" s="5" customFormat="1">
      <c r="H116" s="304"/>
    </row>
    <row r="117" spans="8:8" s="5" customFormat="1">
      <c r="H117" s="304"/>
    </row>
    <row r="118" spans="8:8" s="5" customFormat="1">
      <c r="H118" s="304"/>
    </row>
    <row r="119" spans="8:8" s="5" customFormat="1">
      <c r="H119" s="304"/>
    </row>
    <row r="120" spans="8:8" s="5" customFormat="1">
      <c r="H120" s="304"/>
    </row>
    <row r="121" spans="8:8" s="5" customFormat="1">
      <c r="H121" s="304"/>
    </row>
    <row r="122" spans="8:8" s="5" customFormat="1">
      <c r="H122" s="304"/>
    </row>
    <row r="123" spans="8:8" s="5" customFormat="1">
      <c r="H123" s="304"/>
    </row>
    <row r="124" spans="8:8" s="5" customFormat="1">
      <c r="H124" s="304"/>
    </row>
    <row r="125" spans="8:8" s="5" customFormat="1">
      <c r="H125" s="304"/>
    </row>
    <row r="126" spans="8:8" s="5" customFormat="1">
      <c r="H126" s="304"/>
    </row>
    <row r="127" spans="8:8" s="5" customFormat="1">
      <c r="H127" s="304"/>
    </row>
    <row r="128" spans="8:8" s="5" customFormat="1">
      <c r="H128" s="304"/>
    </row>
    <row r="129" spans="8:8" s="5" customFormat="1">
      <c r="H129" s="304"/>
    </row>
    <row r="130" spans="8:8" s="5" customFormat="1">
      <c r="H130" s="304"/>
    </row>
    <row r="131" spans="8:8" s="5" customFormat="1">
      <c r="H131" s="304"/>
    </row>
    <row r="132" spans="8:8" s="5" customFormat="1">
      <c r="H132" s="304"/>
    </row>
    <row r="133" spans="8:8" s="5" customFormat="1">
      <c r="H133" s="304"/>
    </row>
    <row r="134" spans="8:8" s="5" customFormat="1">
      <c r="H134" s="304"/>
    </row>
    <row r="135" spans="8:8" s="5" customFormat="1">
      <c r="H135" s="304"/>
    </row>
    <row r="136" spans="8:8" s="5" customFormat="1">
      <c r="H136" s="304"/>
    </row>
    <row r="137" spans="8:8" s="5" customFormat="1">
      <c r="H137" s="304"/>
    </row>
    <row r="138" spans="8:8" s="5" customFormat="1">
      <c r="H138" s="304"/>
    </row>
    <row r="139" spans="8:8" s="5" customFormat="1">
      <c r="H139" s="304"/>
    </row>
    <row r="140" spans="8:8" s="5" customFormat="1">
      <c r="H140" s="304"/>
    </row>
    <row r="141" spans="8:8" s="5" customFormat="1">
      <c r="H141" s="304"/>
    </row>
    <row r="142" spans="8:8" s="5" customFormat="1">
      <c r="H142" s="304"/>
    </row>
    <row r="143" spans="8:8" s="5" customFormat="1">
      <c r="H143" s="304"/>
    </row>
    <row r="144" spans="8:8" s="5" customFormat="1">
      <c r="H144" s="304"/>
    </row>
    <row r="145" spans="8:8" s="5" customFormat="1">
      <c r="H145" s="304"/>
    </row>
    <row r="146" spans="8:8" s="5" customFormat="1">
      <c r="H146" s="304"/>
    </row>
    <row r="147" spans="8:8" s="5" customFormat="1">
      <c r="H147" s="304"/>
    </row>
    <row r="148" spans="8:8" s="5" customFormat="1">
      <c r="H148" s="304"/>
    </row>
    <row r="149" spans="8:8" s="5" customFormat="1">
      <c r="H149" s="304"/>
    </row>
    <row r="150" spans="8:8" s="5" customFormat="1">
      <c r="H150" s="304"/>
    </row>
    <row r="151" spans="8:8" s="5" customFormat="1">
      <c r="H151" s="304"/>
    </row>
    <row r="152" spans="8:8" s="5" customFormat="1">
      <c r="H152" s="304"/>
    </row>
    <row r="153" spans="8:8" s="5" customFormat="1">
      <c r="H153" s="304"/>
    </row>
    <row r="154" spans="8:8" s="5" customFormat="1">
      <c r="H154" s="304"/>
    </row>
    <row r="155" spans="8:8" s="5" customFormat="1">
      <c r="H155" s="304"/>
    </row>
    <row r="156" spans="8:8" s="5" customFormat="1">
      <c r="H156" s="304"/>
    </row>
    <row r="157" spans="8:8" s="5" customFormat="1">
      <c r="H157" s="304"/>
    </row>
    <row r="158" spans="8:8" s="5" customFormat="1">
      <c r="H158" s="304"/>
    </row>
    <row r="159" spans="8:8" s="5" customFormat="1">
      <c r="H159" s="304"/>
    </row>
    <row r="160" spans="8:8" s="5" customFormat="1">
      <c r="H160" s="304"/>
    </row>
    <row r="161" spans="8:8" s="5" customFormat="1">
      <c r="H161" s="304"/>
    </row>
    <row r="162" spans="8:8" s="5" customFormat="1">
      <c r="H162" s="304"/>
    </row>
    <row r="163" spans="8:8" s="5" customFormat="1">
      <c r="H163" s="304"/>
    </row>
    <row r="164" spans="8:8" s="5" customFormat="1">
      <c r="H164" s="304"/>
    </row>
    <row r="165" spans="8:8" s="5" customFormat="1">
      <c r="H165" s="304"/>
    </row>
    <row r="166" spans="8:8" s="5" customFormat="1">
      <c r="H166" s="304"/>
    </row>
    <row r="167" spans="8:8" s="5" customFormat="1">
      <c r="H167" s="304"/>
    </row>
    <row r="168" spans="8:8" s="5" customFormat="1">
      <c r="H168" s="304"/>
    </row>
    <row r="169" spans="8:8" s="5" customFormat="1">
      <c r="H169" s="304"/>
    </row>
    <row r="170" spans="8:8" s="5" customFormat="1">
      <c r="H170" s="304"/>
    </row>
    <row r="171" spans="8:8" s="5" customFormat="1">
      <c r="H171" s="304"/>
    </row>
    <row r="172" spans="8:8" s="5" customFormat="1">
      <c r="H172" s="304"/>
    </row>
    <row r="173" spans="8:8" s="5" customFormat="1">
      <c r="H173" s="304"/>
    </row>
    <row r="174" spans="8:8" s="5" customFormat="1">
      <c r="H174" s="304"/>
    </row>
    <row r="175" spans="8:8" s="5" customFormat="1">
      <c r="H175" s="304"/>
    </row>
    <row r="176" spans="8:8" s="5" customFormat="1">
      <c r="H176" s="304"/>
    </row>
    <row r="177" spans="8:8" s="5" customFormat="1">
      <c r="H177" s="304"/>
    </row>
    <row r="178" spans="8:8" s="5" customFormat="1">
      <c r="H178" s="304"/>
    </row>
    <row r="179" spans="8:8" s="5" customFormat="1">
      <c r="H179" s="304"/>
    </row>
    <row r="180" spans="8:8" s="5" customFormat="1">
      <c r="H180" s="304"/>
    </row>
    <row r="181" spans="8:8" s="5" customFormat="1">
      <c r="H181" s="304"/>
    </row>
    <row r="182" spans="8:8" s="5" customFormat="1">
      <c r="H182" s="304"/>
    </row>
    <row r="183" spans="8:8" s="5" customFormat="1">
      <c r="H183" s="304"/>
    </row>
    <row r="184" spans="8:8" s="5" customFormat="1">
      <c r="H184" s="304"/>
    </row>
    <row r="185" spans="8:8" s="5" customFormat="1">
      <c r="H185" s="304"/>
    </row>
    <row r="186" spans="8:8" s="5" customFormat="1">
      <c r="H186" s="304"/>
    </row>
    <row r="187" spans="8:8" s="5" customFormat="1">
      <c r="H187" s="304"/>
    </row>
    <row r="188" spans="8:8" s="5" customFormat="1">
      <c r="H188" s="304"/>
    </row>
    <row r="189" spans="8:8" s="5" customFormat="1">
      <c r="H189" s="304"/>
    </row>
    <row r="190" spans="8:8" s="5" customFormat="1">
      <c r="H190" s="304"/>
    </row>
    <row r="191" spans="8:8" s="5" customFormat="1">
      <c r="H191" s="304"/>
    </row>
    <row r="192" spans="8:8" s="5" customFormat="1">
      <c r="H192" s="304"/>
    </row>
    <row r="193" spans="8:8" s="5" customFormat="1">
      <c r="H193" s="304"/>
    </row>
    <row r="194" spans="8:8" s="5" customFormat="1">
      <c r="H194" s="304"/>
    </row>
    <row r="195" spans="8:8" s="5" customFormat="1">
      <c r="H195" s="304"/>
    </row>
    <row r="196" spans="8:8" s="5" customFormat="1">
      <c r="H196" s="304"/>
    </row>
    <row r="197" spans="8:8" s="5" customFormat="1">
      <c r="H197" s="304"/>
    </row>
    <row r="198" spans="8:8" s="5" customFormat="1">
      <c r="H198" s="304"/>
    </row>
    <row r="199" spans="8:8" s="5" customFormat="1">
      <c r="H199" s="304"/>
    </row>
    <row r="200" spans="8:8" s="5" customFormat="1">
      <c r="H200" s="304"/>
    </row>
    <row r="201" spans="8:8" s="5" customFormat="1">
      <c r="H201" s="304"/>
    </row>
    <row r="202" spans="8:8" s="5" customFormat="1">
      <c r="H202" s="304"/>
    </row>
    <row r="203" spans="8:8" s="5" customFormat="1">
      <c r="H203" s="304"/>
    </row>
    <row r="204" spans="8:8" s="5" customFormat="1">
      <c r="H204" s="304"/>
    </row>
    <row r="205" spans="8:8" s="5" customFormat="1">
      <c r="H205" s="304"/>
    </row>
    <row r="206" spans="8:8" s="5" customFormat="1">
      <c r="H206" s="304"/>
    </row>
    <row r="207" spans="8:8" s="5" customFormat="1">
      <c r="H207" s="304"/>
    </row>
    <row r="208" spans="8:8" s="5" customFormat="1">
      <c r="H208" s="304"/>
    </row>
    <row r="209" spans="8:8" s="5" customFormat="1">
      <c r="H209" s="304"/>
    </row>
    <row r="210" spans="8:8" s="5" customFormat="1">
      <c r="H210" s="304"/>
    </row>
    <row r="211" spans="8:8" s="5" customFormat="1">
      <c r="H211" s="304"/>
    </row>
    <row r="212" spans="8:8" s="5" customFormat="1">
      <c r="H212" s="304"/>
    </row>
    <row r="213" spans="8:8" s="5" customFormat="1">
      <c r="H213" s="304"/>
    </row>
    <row r="214" spans="8:8" s="5" customFormat="1">
      <c r="H214" s="304"/>
    </row>
    <row r="215" spans="8:8" s="5" customFormat="1">
      <c r="H215" s="304"/>
    </row>
    <row r="216" spans="8:8" s="5" customFormat="1">
      <c r="H216" s="304"/>
    </row>
    <row r="217" spans="8:8" s="5" customFormat="1">
      <c r="H217" s="304"/>
    </row>
    <row r="218" spans="8:8" s="5" customFormat="1">
      <c r="H218" s="304"/>
    </row>
    <row r="219" spans="8:8" s="5" customFormat="1">
      <c r="H219" s="304"/>
    </row>
    <row r="220" spans="8:8" s="5" customFormat="1">
      <c r="H220" s="304"/>
    </row>
    <row r="221" spans="8:8" s="5" customFormat="1">
      <c r="H221" s="304"/>
    </row>
    <row r="222" spans="8:8" s="5" customFormat="1">
      <c r="H222" s="304"/>
    </row>
    <row r="223" spans="8:8" s="5" customFormat="1">
      <c r="H223" s="304"/>
    </row>
    <row r="224" spans="8:8" s="5" customFormat="1">
      <c r="H224" s="304"/>
    </row>
    <row r="225" spans="8:8" s="5" customFormat="1">
      <c r="H225" s="304"/>
    </row>
    <row r="226" spans="8:8" s="5" customFormat="1">
      <c r="H226" s="304"/>
    </row>
    <row r="227" spans="8:8" s="5" customFormat="1">
      <c r="H227" s="304"/>
    </row>
    <row r="228" spans="8:8" s="5" customFormat="1">
      <c r="H228" s="304"/>
    </row>
    <row r="229" spans="8:8" s="5" customFormat="1">
      <c r="H229" s="304"/>
    </row>
    <row r="230" spans="8:8" s="5" customFormat="1">
      <c r="H230" s="304"/>
    </row>
    <row r="231" spans="8:8" s="5" customFormat="1">
      <c r="H231" s="304"/>
    </row>
    <row r="232" spans="8:8" s="5" customFormat="1">
      <c r="H232" s="304"/>
    </row>
    <row r="233" spans="8:8" s="5" customFormat="1">
      <c r="H233" s="304"/>
    </row>
    <row r="234" spans="8:8" s="5" customFormat="1">
      <c r="H234" s="304"/>
    </row>
    <row r="235" spans="8:8" s="5" customFormat="1">
      <c r="H235" s="304"/>
    </row>
    <row r="236" spans="8:8" s="5" customFormat="1">
      <c r="H236" s="304"/>
    </row>
    <row r="237" spans="8:8" s="5" customFormat="1">
      <c r="H237" s="304"/>
    </row>
    <row r="238" spans="8:8" s="5" customFormat="1">
      <c r="H238" s="304"/>
    </row>
    <row r="239" spans="8:8" s="5" customFormat="1">
      <c r="H239" s="304"/>
    </row>
    <row r="240" spans="8:8" s="5" customFormat="1">
      <c r="H240" s="304"/>
    </row>
    <row r="241" spans="8:8" s="5" customFormat="1">
      <c r="H241" s="304"/>
    </row>
    <row r="242" spans="8:8" s="5" customFormat="1">
      <c r="H242" s="304"/>
    </row>
    <row r="243" spans="8:8" s="5" customFormat="1">
      <c r="H243" s="304"/>
    </row>
    <row r="244" spans="8:8" s="5" customFormat="1">
      <c r="H244" s="304"/>
    </row>
    <row r="245" spans="8:8" s="5" customFormat="1">
      <c r="H245" s="304"/>
    </row>
    <row r="246" spans="8:8" s="5" customFormat="1">
      <c r="H246" s="304"/>
    </row>
    <row r="247" spans="8:8" s="5" customFormat="1">
      <c r="H247" s="304"/>
    </row>
    <row r="248" spans="8:8" s="5" customFormat="1">
      <c r="H248" s="304"/>
    </row>
    <row r="249" spans="8:8" s="5" customFormat="1">
      <c r="H249" s="304"/>
    </row>
    <row r="250" spans="8:8" s="5" customFormat="1">
      <c r="H250" s="304"/>
    </row>
    <row r="251" spans="8:8" s="5" customFormat="1">
      <c r="H251" s="304"/>
    </row>
    <row r="252" spans="8:8" s="5" customFormat="1">
      <c r="H252" s="304"/>
    </row>
    <row r="253" spans="8:8" s="5" customFormat="1">
      <c r="H253" s="304"/>
    </row>
    <row r="254" spans="8:8" s="5" customFormat="1">
      <c r="H254" s="304"/>
    </row>
    <row r="255" spans="8:8" s="5" customFormat="1">
      <c r="H255" s="304"/>
    </row>
    <row r="256" spans="8:8" s="5" customFormat="1">
      <c r="H256" s="304"/>
    </row>
    <row r="257" spans="8:8" s="5" customFormat="1">
      <c r="H257" s="304"/>
    </row>
    <row r="258" spans="8:8" s="5" customFormat="1">
      <c r="H258" s="304"/>
    </row>
    <row r="259" spans="8:8" s="5" customFormat="1">
      <c r="H259" s="304"/>
    </row>
    <row r="260" spans="8:8" s="5" customFormat="1">
      <c r="H260" s="304"/>
    </row>
    <row r="261" spans="8:8" s="5" customFormat="1">
      <c r="H261" s="304"/>
    </row>
    <row r="262" spans="8:8" s="5" customFormat="1">
      <c r="H262" s="304"/>
    </row>
    <row r="263" spans="8:8" s="5" customFormat="1">
      <c r="H263" s="304"/>
    </row>
    <row r="264" spans="8:8" s="5" customFormat="1">
      <c r="H264" s="304"/>
    </row>
    <row r="265" spans="8:8" s="5" customFormat="1">
      <c r="H265" s="304"/>
    </row>
    <row r="266" spans="8:8" s="5" customFormat="1">
      <c r="H266" s="304"/>
    </row>
    <row r="267" spans="8:8" s="5" customFormat="1">
      <c r="H267" s="304"/>
    </row>
    <row r="268" spans="8:8" s="5" customFormat="1">
      <c r="H268" s="304"/>
    </row>
    <row r="269" spans="8:8" s="5" customFormat="1">
      <c r="H269" s="304"/>
    </row>
    <row r="270" spans="8:8" s="5" customFormat="1">
      <c r="H270" s="304"/>
    </row>
    <row r="271" spans="8:8" s="5" customFormat="1">
      <c r="H271" s="304"/>
    </row>
    <row r="272" spans="8:8" s="5" customFormat="1">
      <c r="H272" s="304"/>
    </row>
    <row r="273" spans="8:8" s="5" customFormat="1">
      <c r="H273" s="304"/>
    </row>
    <row r="274" spans="8:8" s="5" customFormat="1">
      <c r="H274" s="304"/>
    </row>
    <row r="275" spans="8:8" s="5" customFormat="1">
      <c r="H275" s="304"/>
    </row>
    <row r="276" spans="8:8" s="5" customFormat="1">
      <c r="H276" s="304"/>
    </row>
    <row r="277" spans="8:8" s="5" customFormat="1">
      <c r="H277" s="304"/>
    </row>
    <row r="278" spans="8:8" s="5" customFormat="1">
      <c r="H278" s="304"/>
    </row>
    <row r="279" spans="8:8" s="5" customFormat="1">
      <c r="H279" s="304"/>
    </row>
    <row r="280" spans="8:8" s="5" customFormat="1">
      <c r="H280" s="304"/>
    </row>
    <row r="281" spans="8:8" s="5" customFormat="1">
      <c r="H281" s="304"/>
    </row>
    <row r="282" spans="8:8" s="5" customFormat="1">
      <c r="H282" s="304"/>
    </row>
    <row r="283" spans="8:8" s="5" customFormat="1">
      <c r="H283" s="304"/>
    </row>
    <row r="284" spans="8:8" s="5" customFormat="1">
      <c r="H284" s="304"/>
    </row>
    <row r="285" spans="8:8" s="5" customFormat="1">
      <c r="H285" s="304"/>
    </row>
    <row r="286" spans="8:8" s="5" customFormat="1">
      <c r="H286" s="304"/>
    </row>
    <row r="287" spans="8:8" s="5" customFormat="1">
      <c r="H287" s="304"/>
    </row>
    <row r="288" spans="8:8" s="5" customFormat="1">
      <c r="H288" s="304"/>
    </row>
    <row r="289" spans="8:8" s="5" customFormat="1">
      <c r="H289" s="304"/>
    </row>
    <row r="290" spans="8:8" s="5" customFormat="1">
      <c r="H290" s="304"/>
    </row>
    <row r="291" spans="8:8" s="5" customFormat="1">
      <c r="H291" s="304"/>
    </row>
    <row r="292" spans="8:8" s="5" customFormat="1">
      <c r="H292" s="304"/>
    </row>
    <row r="293" spans="8:8" s="5" customFormat="1">
      <c r="H293" s="304"/>
    </row>
    <row r="294" spans="8:8" s="5" customFormat="1">
      <c r="H294" s="304"/>
    </row>
    <row r="295" spans="8:8" s="5" customFormat="1">
      <c r="H295" s="304"/>
    </row>
    <row r="296" spans="8:8" s="5" customFormat="1">
      <c r="H296" s="304"/>
    </row>
    <row r="297" spans="8:8" s="5" customFormat="1">
      <c r="H297" s="304"/>
    </row>
    <row r="298" spans="8:8" s="5" customFormat="1">
      <c r="H298" s="304"/>
    </row>
    <row r="299" spans="8:8" s="5" customFormat="1">
      <c r="H299" s="304"/>
    </row>
    <row r="300" spans="8:8" s="5" customFormat="1">
      <c r="H300" s="304"/>
    </row>
    <row r="301" spans="8:8" s="5" customFormat="1">
      <c r="H301" s="304"/>
    </row>
    <row r="302" spans="8:8" s="5" customFormat="1">
      <c r="H302" s="304"/>
    </row>
    <row r="303" spans="8:8" s="5" customFormat="1">
      <c r="H303" s="304"/>
    </row>
    <row r="304" spans="8:8" s="5" customFormat="1">
      <c r="H304" s="304"/>
    </row>
    <row r="305" spans="8:8" s="5" customFormat="1">
      <c r="H305" s="304"/>
    </row>
    <row r="306" spans="8:8" s="5" customFormat="1">
      <c r="H306" s="304"/>
    </row>
    <row r="307" spans="8:8" s="5" customFormat="1">
      <c r="H307" s="304"/>
    </row>
    <row r="308" spans="8:8" s="5" customFormat="1">
      <c r="H308" s="304"/>
    </row>
    <row r="309" spans="8:8" s="5" customFormat="1">
      <c r="H309" s="304"/>
    </row>
    <row r="310" spans="8:8" s="5" customFormat="1">
      <c r="H310" s="304"/>
    </row>
    <row r="311" spans="8:8" s="5" customFormat="1">
      <c r="H311" s="304"/>
    </row>
    <row r="312" spans="8:8" s="5" customFormat="1">
      <c r="H312" s="304"/>
    </row>
    <row r="313" spans="8:8" s="5" customFormat="1">
      <c r="H313" s="304"/>
    </row>
    <row r="314" spans="8:8" s="5" customFormat="1">
      <c r="H314" s="304"/>
    </row>
    <row r="315" spans="8:8" s="5" customFormat="1">
      <c r="H315" s="304"/>
    </row>
    <row r="316" spans="8:8" s="5" customFormat="1">
      <c r="H316" s="304"/>
    </row>
    <row r="317" spans="8:8" s="5" customFormat="1">
      <c r="H317" s="304"/>
    </row>
    <row r="318" spans="8:8" s="5" customFormat="1">
      <c r="H318" s="304"/>
    </row>
    <row r="319" spans="8:8" s="5" customFormat="1">
      <c r="H319" s="304"/>
    </row>
    <row r="320" spans="8:8" s="5" customFormat="1">
      <c r="H320" s="304"/>
    </row>
    <row r="321" spans="8:8" s="5" customFormat="1">
      <c r="H321" s="304"/>
    </row>
    <row r="322" spans="8:8" s="5" customFormat="1">
      <c r="H322" s="304"/>
    </row>
    <row r="323" spans="8:8" s="5" customFormat="1">
      <c r="H323" s="304"/>
    </row>
    <row r="324" spans="8:8" s="5" customFormat="1">
      <c r="H324" s="304"/>
    </row>
    <row r="325" spans="8:8" s="5" customFormat="1">
      <c r="H325" s="304"/>
    </row>
    <row r="326" spans="8:8" s="5" customFormat="1">
      <c r="H326" s="304"/>
    </row>
    <row r="327" spans="8:8" s="5" customFormat="1">
      <c r="H327" s="304"/>
    </row>
    <row r="328" spans="8:8" s="5" customFormat="1">
      <c r="H328" s="304"/>
    </row>
    <row r="329" spans="8:8" s="5" customFormat="1">
      <c r="H329" s="304"/>
    </row>
    <row r="330" spans="8:8" s="5" customFormat="1">
      <c r="H330" s="304"/>
    </row>
    <row r="331" spans="8:8" s="5" customFormat="1">
      <c r="H331" s="304"/>
    </row>
    <row r="332" spans="8:8" s="5" customFormat="1">
      <c r="H332" s="304"/>
    </row>
    <row r="333" spans="8:8" s="5" customFormat="1">
      <c r="H333" s="304"/>
    </row>
    <row r="334" spans="8:8" s="5" customFormat="1">
      <c r="H334" s="304"/>
    </row>
    <row r="335" spans="8:8" s="5" customFormat="1">
      <c r="H335" s="304"/>
    </row>
    <row r="336" spans="8:8" s="5" customFormat="1">
      <c r="H336" s="304"/>
    </row>
    <row r="337" spans="8:8" s="5" customFormat="1">
      <c r="H337" s="304"/>
    </row>
    <row r="338" spans="8:8" s="5" customFormat="1">
      <c r="H338" s="304"/>
    </row>
    <row r="339" spans="8:8" s="5" customFormat="1">
      <c r="H339" s="304"/>
    </row>
    <row r="340" spans="8:8" s="5" customFormat="1">
      <c r="H340" s="304"/>
    </row>
    <row r="341" spans="8:8" s="5" customFormat="1">
      <c r="H341" s="304"/>
    </row>
    <row r="342" spans="8:8" s="5" customFormat="1">
      <c r="H342" s="304"/>
    </row>
    <row r="343" spans="8:8" s="5" customFormat="1">
      <c r="H343" s="304"/>
    </row>
    <row r="344" spans="8:8" s="5" customFormat="1">
      <c r="H344" s="304"/>
    </row>
    <row r="345" spans="8:8" s="5" customFormat="1">
      <c r="H345" s="304"/>
    </row>
    <row r="346" spans="8:8" s="5" customFormat="1">
      <c r="H346" s="304"/>
    </row>
    <row r="347" spans="8:8" s="5" customFormat="1">
      <c r="H347" s="304"/>
    </row>
    <row r="348" spans="8:8" s="5" customFormat="1">
      <c r="H348" s="304"/>
    </row>
    <row r="349" spans="8:8" s="5" customFormat="1">
      <c r="H349" s="304"/>
    </row>
    <row r="350" spans="8:8" s="5" customFormat="1">
      <c r="H350" s="304"/>
    </row>
    <row r="351" spans="8:8" s="5" customFormat="1">
      <c r="H351" s="304"/>
    </row>
    <row r="352" spans="8:8" s="5" customFormat="1">
      <c r="H352" s="304"/>
    </row>
    <row r="353" spans="8:8" s="5" customFormat="1">
      <c r="H353" s="304"/>
    </row>
    <row r="354" spans="8:8" s="5" customFormat="1">
      <c r="H354" s="304"/>
    </row>
    <row r="355" spans="8:8" s="5" customFormat="1">
      <c r="H355" s="304"/>
    </row>
    <row r="356" spans="8:8" s="5" customFormat="1">
      <c r="H356" s="304"/>
    </row>
    <row r="357" spans="8:8" s="5" customFormat="1">
      <c r="H357" s="304"/>
    </row>
    <row r="358" spans="8:8" s="5" customFormat="1">
      <c r="H358" s="304"/>
    </row>
    <row r="359" spans="8:8" s="5" customFormat="1">
      <c r="H359" s="304"/>
    </row>
    <row r="360" spans="8:8" s="5" customFormat="1">
      <c r="H360" s="304"/>
    </row>
    <row r="361" spans="8:8" s="5" customFormat="1">
      <c r="H361" s="304"/>
    </row>
    <row r="362" spans="8:8" s="5" customFormat="1">
      <c r="H362" s="304"/>
    </row>
    <row r="363" spans="8:8" s="5" customFormat="1">
      <c r="H363" s="304"/>
    </row>
    <row r="364" spans="8:8" s="5" customFormat="1">
      <c r="H364" s="304"/>
    </row>
    <row r="365" spans="8:8" s="5" customFormat="1">
      <c r="H365" s="304"/>
    </row>
    <row r="366" spans="8:8" s="5" customFormat="1">
      <c r="H366" s="304"/>
    </row>
    <row r="367" spans="8:8" s="5" customFormat="1">
      <c r="H367" s="304"/>
    </row>
    <row r="368" spans="8:8" s="5" customFormat="1">
      <c r="H368" s="304"/>
    </row>
    <row r="369" spans="8:8" s="5" customFormat="1">
      <c r="H369" s="304"/>
    </row>
    <row r="370" spans="8:8" s="5" customFormat="1">
      <c r="H370" s="304"/>
    </row>
    <row r="371" spans="8:8" s="5" customFormat="1">
      <c r="H371" s="304"/>
    </row>
    <row r="372" spans="8:8" s="5" customFormat="1">
      <c r="H372" s="304"/>
    </row>
    <row r="373" spans="8:8" s="5" customFormat="1">
      <c r="H373" s="304"/>
    </row>
    <row r="374" spans="8:8" s="5" customFormat="1">
      <c r="H374" s="304"/>
    </row>
    <row r="375" spans="8:8" s="5" customFormat="1">
      <c r="H375" s="304"/>
    </row>
    <row r="376" spans="8:8" s="5" customFormat="1">
      <c r="H376" s="304"/>
    </row>
    <row r="377" spans="8:8" s="5" customFormat="1">
      <c r="H377" s="304"/>
    </row>
    <row r="378" spans="8:8" s="5" customFormat="1">
      <c r="H378" s="304"/>
    </row>
    <row r="379" spans="8:8" s="5" customFormat="1">
      <c r="H379" s="304"/>
    </row>
    <row r="380" spans="8:8" s="5" customFormat="1">
      <c r="H380" s="304"/>
    </row>
    <row r="381" spans="8:8" s="5" customFormat="1">
      <c r="H381" s="304"/>
    </row>
    <row r="382" spans="8:8" s="5" customFormat="1">
      <c r="H382" s="304"/>
    </row>
    <row r="383" spans="8:8" s="5" customFormat="1">
      <c r="H383" s="304"/>
    </row>
    <row r="384" spans="8:8" s="5" customFormat="1">
      <c r="H384" s="304"/>
    </row>
    <row r="385" spans="8:8" s="5" customFormat="1">
      <c r="H385" s="304"/>
    </row>
    <row r="386" spans="8:8" s="5" customFormat="1">
      <c r="H386" s="304"/>
    </row>
    <row r="387" spans="8:8" s="5" customFormat="1">
      <c r="H387" s="304"/>
    </row>
    <row r="388" spans="8:8" s="5" customFormat="1">
      <c r="H388" s="304"/>
    </row>
    <row r="389" spans="8:8" s="5" customFormat="1">
      <c r="H389" s="304"/>
    </row>
    <row r="390" spans="8:8" s="5" customFormat="1">
      <c r="H390" s="304"/>
    </row>
    <row r="391" spans="8:8" s="5" customFormat="1">
      <c r="H391" s="304"/>
    </row>
    <row r="392" spans="8:8" s="5" customFormat="1">
      <c r="H392" s="304"/>
    </row>
    <row r="393" spans="8:8" s="5" customFormat="1">
      <c r="H393" s="304"/>
    </row>
    <row r="394" spans="8:8" s="5" customFormat="1">
      <c r="H394" s="304"/>
    </row>
    <row r="395" spans="8:8" s="5" customFormat="1">
      <c r="H395" s="304"/>
    </row>
    <row r="396" spans="8:8" s="5" customFormat="1">
      <c r="H396" s="304"/>
    </row>
    <row r="397" spans="8:8" s="5" customFormat="1">
      <c r="H397" s="304"/>
    </row>
    <row r="398" spans="8:8" s="5" customFormat="1">
      <c r="H398" s="304"/>
    </row>
    <row r="399" spans="8:8" s="5" customFormat="1">
      <c r="H399" s="304"/>
    </row>
    <row r="400" spans="8:8" s="5" customFormat="1">
      <c r="H400" s="304"/>
    </row>
    <row r="401" spans="8:8" s="5" customFormat="1">
      <c r="H401" s="304"/>
    </row>
    <row r="402" spans="8:8" s="5" customFormat="1">
      <c r="H402" s="304"/>
    </row>
    <row r="403" spans="8:8" s="5" customFormat="1">
      <c r="H403" s="304"/>
    </row>
    <row r="404" spans="8:8" s="5" customFormat="1">
      <c r="H404" s="304"/>
    </row>
    <row r="405" spans="8:8" s="5" customFormat="1">
      <c r="H405" s="304"/>
    </row>
    <row r="406" spans="8:8" s="5" customFormat="1">
      <c r="H406" s="304"/>
    </row>
    <row r="407" spans="8:8" s="5" customFormat="1">
      <c r="H407" s="304"/>
    </row>
    <row r="408" spans="8:8" s="5" customFormat="1">
      <c r="H408" s="304"/>
    </row>
    <row r="409" spans="8:8" s="5" customFormat="1">
      <c r="H409" s="304"/>
    </row>
    <row r="410" spans="8:8" s="5" customFormat="1">
      <c r="H410" s="304"/>
    </row>
    <row r="411" spans="8:8" s="5" customFormat="1">
      <c r="H411" s="304"/>
    </row>
    <row r="412" spans="8:8" s="5" customFormat="1">
      <c r="H412" s="304"/>
    </row>
    <row r="413" spans="8:8" s="5" customFormat="1">
      <c r="H413" s="304"/>
    </row>
    <row r="414" spans="8:8" s="5" customFormat="1">
      <c r="H414" s="304"/>
    </row>
    <row r="415" spans="8:8" s="5" customFormat="1">
      <c r="H415" s="304"/>
    </row>
    <row r="416" spans="8:8" s="5" customFormat="1">
      <c r="H416" s="304"/>
    </row>
    <row r="417" spans="8:8" s="5" customFormat="1">
      <c r="H417" s="304"/>
    </row>
    <row r="418" spans="8:8" s="5" customFormat="1">
      <c r="H418" s="304"/>
    </row>
    <row r="419" spans="8:8" s="5" customFormat="1">
      <c r="H419" s="304"/>
    </row>
    <row r="420" spans="8:8" s="5" customFormat="1">
      <c r="H420" s="304"/>
    </row>
    <row r="421" spans="8:8" s="5" customFormat="1">
      <c r="H421" s="304"/>
    </row>
    <row r="422" spans="8:8" s="5" customFormat="1">
      <c r="H422" s="304"/>
    </row>
    <row r="423" spans="8:8" s="5" customFormat="1">
      <c r="H423" s="304"/>
    </row>
    <row r="424" spans="8:8" s="5" customFormat="1">
      <c r="H424" s="304"/>
    </row>
    <row r="425" spans="8:8" s="5" customFormat="1">
      <c r="H425" s="304"/>
    </row>
    <row r="426" spans="8:8" s="5" customFormat="1">
      <c r="H426" s="304"/>
    </row>
    <row r="427" spans="8:8" s="5" customFormat="1">
      <c r="H427" s="304"/>
    </row>
    <row r="428" spans="8:8" s="5" customFormat="1">
      <c r="H428" s="304"/>
    </row>
    <row r="429" spans="8:8" s="5" customFormat="1">
      <c r="H429" s="304"/>
    </row>
    <row r="430" spans="8:8" s="5" customFormat="1">
      <c r="H430" s="304"/>
    </row>
    <row r="431" spans="8:8" s="5" customFormat="1">
      <c r="H431" s="304"/>
    </row>
    <row r="432" spans="8:8" s="5" customFormat="1">
      <c r="H432" s="304"/>
    </row>
    <row r="433" spans="8:8" s="5" customFormat="1">
      <c r="H433" s="304"/>
    </row>
    <row r="434" spans="8:8" s="5" customFormat="1">
      <c r="H434" s="304"/>
    </row>
    <row r="435" spans="8:8" s="5" customFormat="1">
      <c r="H435" s="304"/>
    </row>
    <row r="436" spans="8:8" s="5" customFormat="1">
      <c r="H436" s="304"/>
    </row>
    <row r="437" spans="8:8" s="5" customFormat="1">
      <c r="H437" s="304"/>
    </row>
    <row r="438" spans="8:8" s="5" customFormat="1">
      <c r="H438" s="304"/>
    </row>
    <row r="439" spans="8:8" s="5" customFormat="1">
      <c r="H439" s="304"/>
    </row>
    <row r="440" spans="8:8" s="5" customFormat="1">
      <c r="H440" s="304"/>
    </row>
    <row r="441" spans="8:8" s="5" customFormat="1">
      <c r="H441" s="304"/>
    </row>
    <row r="442" spans="8:8" s="5" customFormat="1">
      <c r="H442" s="304"/>
    </row>
    <row r="443" spans="8:8" s="5" customFormat="1">
      <c r="H443" s="304"/>
    </row>
    <row r="444" spans="8:8" s="5" customFormat="1">
      <c r="H444" s="304"/>
    </row>
    <row r="445" spans="8:8" s="5" customFormat="1">
      <c r="H445" s="304"/>
    </row>
    <row r="446" spans="8:8" s="5" customFormat="1">
      <c r="H446" s="304"/>
    </row>
    <row r="447" spans="8:8" s="5" customFormat="1">
      <c r="H447" s="304"/>
    </row>
    <row r="448" spans="8:8" s="5" customFormat="1">
      <c r="H448" s="304"/>
    </row>
    <row r="449" spans="8:8" s="5" customFormat="1">
      <c r="H449" s="304"/>
    </row>
    <row r="450" spans="8:8" s="5" customFormat="1">
      <c r="H450" s="304"/>
    </row>
    <row r="451" spans="8:8" s="5" customFormat="1">
      <c r="H451" s="304"/>
    </row>
    <row r="452" spans="8:8" s="5" customFormat="1">
      <c r="H452" s="304"/>
    </row>
    <row r="453" spans="8:8" s="5" customFormat="1">
      <c r="H453" s="304"/>
    </row>
    <row r="454" spans="8:8" s="5" customFormat="1">
      <c r="H454" s="304"/>
    </row>
    <row r="455" spans="8:8" s="5" customFormat="1">
      <c r="H455" s="304"/>
    </row>
    <row r="456" spans="8:8" s="5" customFormat="1">
      <c r="H456" s="304"/>
    </row>
    <row r="457" spans="8:8" s="5" customFormat="1">
      <c r="H457" s="304"/>
    </row>
    <row r="458" spans="8:8" s="5" customFormat="1">
      <c r="H458" s="304"/>
    </row>
    <row r="459" spans="8:8" s="5" customFormat="1">
      <c r="H459" s="304"/>
    </row>
    <row r="460" spans="8:8" s="5" customFormat="1">
      <c r="H460" s="304"/>
    </row>
    <row r="461" spans="8:8" s="5" customFormat="1">
      <c r="H461" s="304"/>
    </row>
    <row r="462" spans="8:8" s="5" customFormat="1">
      <c r="H462" s="304"/>
    </row>
  </sheetData>
  <phoneticPr fontId="9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NavigateCombBox">
              <controlPr defaultSize="0" autoPict="0" macro="[0]!NavigateBox">
                <anchor moveWithCells="1">
                  <from>
                    <xdr:col>0</xdr:col>
                    <xdr:colOff>0</xdr:colOff>
                    <xdr:row>0</xdr:row>
                    <xdr:rowOff>8667</xdr:rowOff>
                  </from>
                  <to>
                    <xdr:col>2</xdr:col>
                    <xdr:colOff>260019</xdr:colOff>
                    <xdr:row>1</xdr:row>
                    <xdr:rowOff>39003</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0" tint="-0.14996795556505021"/>
  </sheetPr>
  <dimension ref="A1:N75"/>
  <sheetViews>
    <sheetView workbookViewId="0">
      <selection activeCell="O27" sqref="O27"/>
    </sheetView>
  </sheetViews>
  <sheetFormatPr defaultColWidth="9" defaultRowHeight="14.35" outlineLevelRow="1"/>
  <cols>
    <col min="1" max="1" width="14.75" style="197" customWidth="1"/>
    <col min="2" max="11" width="11.5625" style="197" customWidth="1"/>
    <col min="12" max="33" width="11.4375" style="197" customWidth="1"/>
    <col min="34" max="16384" width="9" style="197"/>
  </cols>
  <sheetData>
    <row r="1" spans="1:14" ht="20.25" customHeight="1">
      <c r="A1" s="198"/>
      <c r="B1" s="198"/>
      <c r="C1" s="198"/>
      <c r="D1" s="198"/>
      <c r="E1" s="198"/>
      <c r="F1" s="198"/>
      <c r="G1" s="198"/>
      <c r="H1" s="198"/>
      <c r="I1" s="198"/>
      <c r="J1" s="198"/>
      <c r="K1" s="198"/>
      <c r="L1" s="198"/>
      <c r="M1" s="198"/>
      <c r="N1" s="198"/>
    </row>
    <row r="2" spans="1:14" ht="17.75">
      <c r="A2" s="1043" t="s">
        <v>1669</v>
      </c>
      <c r="B2" s="1043"/>
      <c r="C2" s="198"/>
      <c r="D2" s="198"/>
      <c r="E2" s="198"/>
      <c r="F2" s="198"/>
      <c r="G2" s="198"/>
      <c r="H2" s="198"/>
      <c r="I2" s="198"/>
      <c r="J2" s="198"/>
      <c r="K2" s="198"/>
      <c r="L2" s="198"/>
      <c r="M2" s="198"/>
      <c r="N2" s="198"/>
    </row>
    <row r="3" spans="1:14" outlineLevel="1">
      <c r="A3" s="199" t="s">
        <v>1670</v>
      </c>
      <c r="B3" s="198"/>
      <c r="C3" s="198"/>
      <c r="D3" s="198"/>
      <c r="E3" s="198"/>
      <c r="F3" s="198"/>
      <c r="G3" s="198"/>
      <c r="H3" s="198"/>
      <c r="I3" s="198"/>
      <c r="J3" s="198"/>
      <c r="K3" s="198"/>
      <c r="L3" s="198"/>
      <c r="M3" s="198"/>
      <c r="N3" s="198"/>
    </row>
    <row r="4" spans="1:14" ht="34.15" outlineLevel="1">
      <c r="A4" s="131" t="s">
        <v>1671</v>
      </c>
      <c r="B4" s="200">
        <f>C4/1.1</f>
        <v>1.2418426461183098E-2</v>
      </c>
      <c r="C4" s="200">
        <f>D4/1.1</f>
        <v>1.366026910730141E-2</v>
      </c>
      <c r="D4" s="200">
        <f>E4/1.1</f>
        <v>1.5026296018031552E-2</v>
      </c>
      <c r="E4" s="200">
        <f>F4/1.1</f>
        <v>1.6528925619834708E-2</v>
      </c>
      <c r="F4" s="200">
        <f>G4/1.1</f>
        <v>1.8181818181818181E-2</v>
      </c>
      <c r="G4" s="200">
        <f>绝对估值!C5</f>
        <v>0.02</v>
      </c>
      <c r="H4" s="200">
        <f>G4*1.1</f>
        <v>2.2000000000000002E-2</v>
      </c>
      <c r="I4" s="200">
        <f>H4*1.1</f>
        <v>2.4200000000000003E-2</v>
      </c>
      <c r="J4" s="200">
        <f>I4*1.1</f>
        <v>2.6620000000000005E-2</v>
      </c>
      <c r="K4" s="200">
        <f>J4*1.1</f>
        <v>2.9282000000000006E-2</v>
      </c>
      <c r="L4" s="200">
        <f>K4*1.1</f>
        <v>3.2210200000000008E-2</v>
      </c>
    </row>
    <row r="5" spans="1:14" outlineLevel="1">
      <c r="A5" s="201">
        <f>A6/1.1</f>
        <v>6.9139487480711692E-2</v>
      </c>
      <c r="B5" s="141" t="e">
        <f ca="1">((绝对估值!$E$21+NPV($A5,绝对估值!$F$21:$G$21)+(绝对估值!$H$22+NPV($A5,绝对估值!$I$22:$K$22))/(1+$A5)^Estiyears+绝对估值!$K$22*(1+B$4)/($A5-B$4)/(1+$A5)^(Transeyear+Estiyears-1))/(1+$A5)^((DATE(EndYear,12,31)-EstiDate)/365)+绝对估值!$D$27-绝对估值!$D$28-绝对估值!$D$29)/绝对估值!$D$31*(unit/10000)</f>
        <v>#VALUE!</v>
      </c>
      <c r="C5" s="141" t="e">
        <f ca="1">((绝对估值!$E$21+NPV($A5,绝对估值!$F$21:$G$21)+(绝对估值!$H$22+NPV($A5,绝对估值!$I$22:$K$22))/(1+$A5)^Estiyears+绝对估值!$K$22*(1+C$4)/($A5-C$4)/(1+$A5)^(Transeyear+Estiyears-1))/(1+$A5)^((DATE(EndYear,12,31)-EstiDate)/365)+绝对估值!$D$27-绝对估值!$D$28-绝对估值!$D$29)/绝对估值!$D$31*(unit/10000)</f>
        <v>#VALUE!</v>
      </c>
      <c r="D5" s="141" t="e">
        <f ca="1">((绝对估值!$E$21+NPV($A5,绝对估值!$F$21:$G$21)+(绝对估值!$H$22+NPV($A5,绝对估值!$I$22:$K$22))/(1+$A5)^Estiyears+绝对估值!$K$22*(1+D$4)/($A5-D$4)/(1+$A5)^(Transeyear+Estiyears-1))/(1+$A5)^((DATE(EndYear,12,31)-EstiDate)/365)+绝对估值!$D$27-绝对估值!$D$28-绝对估值!$D$29)/绝对估值!$D$31*(unit/10000)</f>
        <v>#VALUE!</v>
      </c>
      <c r="E5" s="141" t="e">
        <f ca="1">((绝对估值!$E$21+NPV($A5,绝对估值!$F$21:$G$21)+(绝对估值!$H$22+NPV($A5,绝对估值!$I$22:$K$22))/(1+$A5)^Estiyears+绝对估值!$K$22*(1+E$4)/($A5-E$4)/(1+$A5)^(Transeyear+Estiyears-1))/(1+$A5)^((DATE(EndYear,12,31)-EstiDate)/365)+绝对估值!$D$27-绝对估值!$D$28-绝对估值!$D$29)/绝对估值!$D$31*(unit/10000)</f>
        <v>#VALUE!</v>
      </c>
      <c r="F5" s="141" t="e">
        <f ca="1">((绝对估值!$E$21+NPV($A5,绝对估值!$F$21:$G$21)+(绝对估值!$H$22+NPV($A5,绝对估值!$I$22:$K$22))/(1+$A5)^Estiyears+绝对估值!$K$22*(1+F$4)/($A5-F$4)/(1+$A5)^(Transeyear+Estiyears-1))/(1+$A5)^((DATE(EndYear,12,31)-EstiDate)/365)+绝对估值!$D$27-绝对估值!$D$28-绝对估值!$D$29)/绝对估值!$D$31*(unit/10000)</f>
        <v>#VALUE!</v>
      </c>
      <c r="G5" s="141" t="e">
        <f ca="1">((绝对估值!$E$21+NPV($A5,绝对估值!$F$21:$G$21)+(绝对估值!$H$22+NPV($A5,绝对估值!$I$22:$K$22))/(1+$A5)^Estiyears+绝对估值!$K$22*(1+G$4)/($A5-G$4)/(1+$A5)^(Transeyear+Estiyears-1))/(1+$A5)^((DATE(EndYear,12,31)-EstiDate)/365)+绝对估值!$D$27-绝对估值!$D$28-绝对估值!$D$29)/绝对估值!$D$31*(unit/10000)</f>
        <v>#VALUE!</v>
      </c>
      <c r="H5" s="141" t="e">
        <f ca="1">((绝对估值!$E$21+NPV($A5,绝对估值!$F$21:$G$21)+(绝对估值!$H$22+NPV($A5,绝对估值!$I$22:$K$22))/(1+$A5)^Estiyears+绝对估值!$K$22*(1+H$4)/($A5-H$4)/(1+$A5)^(Transeyear+Estiyears-1))/(1+$A5)^((DATE(EndYear,12,31)-EstiDate)/365)+绝对估值!$D$27-绝对估值!$D$28-绝对估值!$D$29)/绝对估值!$D$31*(unit/10000)</f>
        <v>#VALUE!</v>
      </c>
      <c r="I5" s="141" t="e">
        <f ca="1">((绝对估值!$E$21+NPV($A5,绝对估值!$F$21:$G$21)+(绝对估值!$H$22+NPV($A5,绝对估值!$I$22:$K$22))/(1+$A5)^Estiyears+绝对估值!$K$22*(1+I$4)/($A5-I$4)/(1+$A5)^(Transeyear+Estiyears-1))/(1+$A5)^((DATE(EndYear,12,31)-EstiDate)/365)+绝对估值!$D$27-绝对估值!$D$28-绝对估值!$D$29)/绝对估值!$D$31*(unit/10000)</f>
        <v>#VALUE!</v>
      </c>
      <c r="J5" s="141" t="e">
        <f ca="1">((绝对估值!$E$21+NPV($A5,绝对估值!$F$21:$G$21)+(绝对估值!$H$22+NPV($A5,绝对估值!$I$22:$K$22))/(1+$A5)^Estiyears+绝对估值!$K$22*(1+J$4)/($A5-J$4)/(1+$A5)^(Transeyear+Estiyears-1))/(1+$A5)^((DATE(EndYear,12,31)-EstiDate)/365)+绝对估值!$D$27-绝对估值!$D$28-绝对估值!$D$29)/绝对估值!$D$31*(unit/10000)</f>
        <v>#VALUE!</v>
      </c>
      <c r="K5" s="141" t="e">
        <f ca="1">((绝对估值!$E$21+NPV($A5,绝对估值!$F$21:$G$21)+(绝对估值!$H$22+NPV($A5,绝对估值!$I$22:$K$22))/(1+$A5)^Estiyears+绝对估值!$K$22*(1+K$4)/($A5-K$4)/(1+$A5)^(Transeyear+Estiyears-1))/(1+$A5)^((DATE(EndYear,12,31)-EstiDate)/365)+绝对估值!$D$27-绝对估值!$D$28-绝对估值!$D$29)/绝对估值!$D$31*(unit/10000)</f>
        <v>#VALUE!</v>
      </c>
      <c r="L5" s="141" t="e">
        <f ca="1">((绝对估值!$E$21+NPV($A5,绝对估值!$F$21:$G$21)+(绝对估值!$H$22+NPV($A5,绝对估值!$I$22:$K$22))/(1+$A5)^Estiyears+绝对估值!$K$22*(1+L$4)/($A5-L$4)/(1+$A5)^(Transeyear+Estiyears-1))/(1+$A5)^((DATE(EndYear,12,31)-EstiDate)/365)+绝对估值!$D$27-绝对估值!$D$28-绝对估值!$D$29)/绝对估值!$D$31*(unit/10000)</f>
        <v>#VALUE!</v>
      </c>
    </row>
    <row r="6" spans="1:14" outlineLevel="1">
      <c r="A6" s="201">
        <f>A7/1.1</f>
        <v>7.605343622878287E-2</v>
      </c>
      <c r="B6" s="141" t="e">
        <f ca="1">((绝对估值!$E$21+NPV($A6,绝对估值!$F$21:$G$21)+(绝对估值!$H$22+NPV($A6,绝对估值!$I$22:$K$22))/(1+$A6)^Estiyears+绝对估值!$K$22*(1+B$4)/($A6-B$4)/(1+$A6)^(Transeyear+Estiyears-1))/(1+$A6)^((DATE(EndYear,12,31)-EstiDate)/365)+绝对估值!$D$27-绝对估值!$D$28-绝对估值!$D$29)/绝对估值!$D$31*(unit/10000)</f>
        <v>#VALUE!</v>
      </c>
      <c r="C6" s="141" t="e">
        <f ca="1">((绝对估值!$E$21+NPV($A6,绝对估值!$F$21:$G$21)+(绝对估值!$H$22+NPV($A6,绝对估值!$I$22:$K$22))/(1+$A6)^Estiyears+绝对估值!$K$22*(1+C$4)/($A6-C$4)/(1+$A6)^(Transeyear+Estiyears-1))/(1+$A6)^((DATE(EndYear,12,31)-EstiDate)/365)+绝对估值!$D$27-绝对估值!$D$28-绝对估值!$D$29)/绝对估值!$D$31*(unit/10000)</f>
        <v>#VALUE!</v>
      </c>
      <c r="D6" s="141" t="e">
        <f ca="1">((绝对估值!$E$21+NPV($A6,绝对估值!$F$21:$G$21)+(绝对估值!$H$22+NPV($A6,绝对估值!$I$22:$K$22))/(1+$A6)^Estiyears+绝对估值!$K$22*(1+D$4)/($A6-D$4)/(1+$A6)^(Transeyear+Estiyears-1))/(1+$A6)^((DATE(EndYear,12,31)-EstiDate)/365)+绝对估值!$D$27-绝对估值!$D$28-绝对估值!$D$29)/绝对估值!$D$31*(unit/10000)</f>
        <v>#VALUE!</v>
      </c>
      <c r="E6" s="141" t="e">
        <f ca="1">((绝对估值!$E$21+NPV($A6,绝对估值!$F$21:$G$21)+(绝对估值!$H$22+NPV($A6,绝对估值!$I$22:$K$22))/(1+$A6)^Estiyears+绝对估值!$K$22*(1+E$4)/($A6-E$4)/(1+$A6)^(Transeyear+Estiyears-1))/(1+$A6)^((DATE(EndYear,12,31)-EstiDate)/365)+绝对估值!$D$27-绝对估值!$D$28-绝对估值!$D$29)/绝对估值!$D$31*(unit/10000)</f>
        <v>#VALUE!</v>
      </c>
      <c r="F6" s="141" t="e">
        <f ca="1">((绝对估值!$E$21+NPV($A6,绝对估值!$F$21:$G$21)+(绝对估值!$H$22+NPV($A6,绝对估值!$I$22:$K$22))/(1+$A6)^Estiyears+绝对估值!$K$22*(1+F$4)/($A6-F$4)/(1+$A6)^(Transeyear+Estiyears-1))/(1+$A6)^((DATE(EndYear,12,31)-EstiDate)/365)+绝对估值!$D$27-绝对估值!$D$28-绝对估值!$D$29)/绝对估值!$D$31*(unit/10000)</f>
        <v>#VALUE!</v>
      </c>
      <c r="G6" s="141" t="e">
        <f ca="1">((绝对估值!$E$21+NPV($A6,绝对估值!$F$21:$G$21)+(绝对估值!$H$22+NPV($A6,绝对估值!$I$22:$K$22))/(1+$A6)^Estiyears+绝对估值!$K$22*(1+G$4)/($A6-G$4)/(1+$A6)^(Transeyear+Estiyears-1))/(1+$A6)^((DATE(EndYear,12,31)-EstiDate)/365)+绝对估值!$D$27-绝对估值!$D$28-绝对估值!$D$29)/绝对估值!$D$31*(unit/10000)</f>
        <v>#VALUE!</v>
      </c>
      <c r="H6" s="141" t="e">
        <f ca="1">((绝对估值!$E$21+NPV($A6,绝对估值!$F$21:$G$21)+(绝对估值!$H$22+NPV($A6,绝对估值!$I$22:$K$22))/(1+$A6)^Estiyears+绝对估值!$K$22*(1+H$4)/($A6-H$4)/(1+$A6)^(Transeyear+Estiyears-1))/(1+$A6)^((DATE(EndYear,12,31)-EstiDate)/365)+绝对估值!$D$27-绝对估值!$D$28-绝对估值!$D$29)/绝对估值!$D$31*(unit/10000)</f>
        <v>#VALUE!</v>
      </c>
      <c r="I6" s="141" t="e">
        <f ca="1">((绝对估值!$E$21+NPV($A6,绝对估值!$F$21:$G$21)+(绝对估值!$H$22+NPV($A6,绝对估值!$I$22:$K$22))/(1+$A6)^Estiyears+绝对估值!$K$22*(1+I$4)/($A6-I$4)/(1+$A6)^(Transeyear+Estiyears-1))/(1+$A6)^((DATE(EndYear,12,31)-EstiDate)/365)+绝对估值!$D$27-绝对估值!$D$28-绝对估值!$D$29)/绝对估值!$D$31*(unit/10000)</f>
        <v>#VALUE!</v>
      </c>
      <c r="J6" s="141" t="e">
        <f ca="1">((绝对估值!$E$21+NPV($A6,绝对估值!$F$21:$G$21)+(绝对估值!$H$22+NPV($A6,绝对估值!$I$22:$K$22))/(1+$A6)^Estiyears+绝对估值!$K$22*(1+J$4)/($A6-J$4)/(1+$A6)^(Transeyear+Estiyears-1))/(1+$A6)^((DATE(EndYear,12,31)-EstiDate)/365)+绝对估值!$D$27-绝对估值!$D$28-绝对估值!$D$29)/绝对估值!$D$31*(unit/10000)</f>
        <v>#VALUE!</v>
      </c>
      <c r="K6" s="141" t="e">
        <f ca="1">((绝对估值!$E$21+NPV($A6,绝对估值!$F$21:$G$21)+(绝对估值!$H$22+NPV($A6,绝对估值!$I$22:$K$22))/(1+$A6)^Estiyears+绝对估值!$K$22*(1+K$4)/($A6-K$4)/(1+$A6)^(Transeyear+Estiyears-1))/(1+$A6)^((DATE(EndYear,12,31)-EstiDate)/365)+绝对估值!$D$27-绝对估值!$D$28-绝对估值!$D$29)/绝对估值!$D$31*(unit/10000)</f>
        <v>#VALUE!</v>
      </c>
      <c r="L6" s="141" t="e">
        <f ca="1">((绝对估值!$E$21+NPV($A6,绝对估值!$F$21:$G$21)+(绝对估值!$H$22+NPV($A6,绝对估值!$I$22:$K$22))/(1+$A6)^Estiyears+绝对估值!$K$22*(1+L$4)/($A6-L$4)/(1+$A6)^(Transeyear+Estiyears-1))/(1+$A6)^((DATE(EndYear,12,31)-EstiDate)/365)+绝对估值!$D$27-绝对估值!$D$28-绝对估值!$D$29)/绝对估值!$D$31*(unit/10000)</f>
        <v>#VALUE!</v>
      </c>
    </row>
    <row r="7" spans="1:14" outlineLevel="1">
      <c r="A7" s="201">
        <f>A8/1.1</f>
        <v>8.3658779851661161E-2</v>
      </c>
      <c r="B7" s="141" t="e">
        <f ca="1">((绝对估值!$E$21+NPV($A7,绝对估值!$F$21:$G$21)+(绝对估值!$H$22+NPV($A7,绝对估值!$I$22:$K$22))/(1+$A7)^Estiyears+绝对估值!$K$22*(1+B$4)/($A7-B$4)/(1+$A7)^(Transeyear+Estiyears-1))/(1+$A7)^((DATE(EndYear,12,31)-EstiDate)/365)+绝对估值!$D$27-绝对估值!$D$28-绝对估值!$D$29)/绝对估值!$D$31*(unit/10000)</f>
        <v>#VALUE!</v>
      </c>
      <c r="C7" s="141" t="e">
        <f ca="1">((绝对估值!$E$21+NPV($A7,绝对估值!$F$21:$G$21)+(绝对估值!$H$22+NPV($A7,绝对估值!$I$22:$K$22))/(1+$A7)^Estiyears+绝对估值!$K$22*(1+C$4)/($A7-C$4)/(1+$A7)^(Transeyear+Estiyears-1))/(1+$A7)^((DATE(EndYear,12,31)-EstiDate)/365)+绝对估值!$D$27-绝对估值!$D$28-绝对估值!$D$29)/绝对估值!$D$31*(unit/10000)</f>
        <v>#VALUE!</v>
      </c>
      <c r="D7" s="141" t="e">
        <f ca="1">((绝对估值!$E$21+NPV($A7,绝对估值!$F$21:$G$21)+(绝对估值!$H$22+NPV($A7,绝对估值!$I$22:$K$22))/(1+$A7)^Estiyears+绝对估值!$K$22*(1+D$4)/($A7-D$4)/(1+$A7)^(Transeyear+Estiyears-1))/(1+$A7)^((DATE(EndYear,12,31)-EstiDate)/365)+绝对估值!$D$27-绝对估值!$D$28-绝对估值!$D$29)/绝对估值!$D$31*(unit/10000)</f>
        <v>#VALUE!</v>
      </c>
      <c r="E7" s="141" t="e">
        <f ca="1">((绝对估值!$E$21+NPV($A7,绝对估值!$F$21:$G$21)+(绝对估值!$H$22+NPV($A7,绝对估值!$I$22:$K$22))/(1+$A7)^Estiyears+绝对估值!$K$22*(1+E$4)/($A7-E$4)/(1+$A7)^(Transeyear+Estiyears-1))/(1+$A7)^((DATE(EndYear,12,31)-EstiDate)/365)+绝对估值!$D$27-绝对估值!$D$28-绝对估值!$D$29)/绝对估值!$D$31*(unit/10000)</f>
        <v>#VALUE!</v>
      </c>
      <c r="F7" s="141" t="e">
        <f ca="1">((绝对估值!$E$21+NPV($A7,绝对估值!$F$21:$G$21)+(绝对估值!$H$22+NPV($A7,绝对估值!$I$22:$K$22))/(1+$A7)^Estiyears+绝对估值!$K$22*(1+F$4)/($A7-F$4)/(1+$A7)^(Transeyear+Estiyears-1))/(1+$A7)^((DATE(EndYear,12,31)-EstiDate)/365)+绝对估值!$D$27-绝对估值!$D$28-绝对估值!$D$29)/绝对估值!$D$31*(unit/10000)</f>
        <v>#VALUE!</v>
      </c>
      <c r="G7" s="141" t="e">
        <f ca="1">((绝对估值!$E$21+NPV($A7,绝对估值!$F$21:$G$21)+(绝对估值!$H$22+NPV($A7,绝对估值!$I$22:$K$22))/(1+$A7)^Estiyears+绝对估值!$K$22*(1+G$4)/($A7-G$4)/(1+$A7)^(Transeyear+Estiyears-1))/(1+$A7)^((DATE(EndYear,12,31)-EstiDate)/365)+绝对估值!$D$27-绝对估值!$D$28-绝对估值!$D$29)/绝对估值!$D$31*(unit/10000)</f>
        <v>#VALUE!</v>
      </c>
      <c r="H7" s="141" t="e">
        <f ca="1">((绝对估值!$E$21+NPV($A7,绝对估值!$F$21:$G$21)+(绝对估值!$H$22+NPV($A7,绝对估值!$I$22:$K$22))/(1+$A7)^Estiyears+绝对估值!$K$22*(1+H$4)/($A7-H$4)/(1+$A7)^(Transeyear+Estiyears-1))/(1+$A7)^((DATE(EndYear,12,31)-EstiDate)/365)+绝对估值!$D$27-绝对估值!$D$28-绝对估值!$D$29)/绝对估值!$D$31*(unit/10000)</f>
        <v>#VALUE!</v>
      </c>
      <c r="I7" s="141" t="e">
        <f ca="1">((绝对估值!$E$21+NPV($A7,绝对估值!$F$21:$G$21)+(绝对估值!$H$22+NPV($A7,绝对估值!$I$22:$K$22))/(1+$A7)^Estiyears+绝对估值!$K$22*(1+I$4)/($A7-I$4)/(1+$A7)^(Transeyear+Estiyears-1))/(1+$A7)^((DATE(EndYear,12,31)-EstiDate)/365)+绝对估值!$D$27-绝对估值!$D$28-绝对估值!$D$29)/绝对估值!$D$31*(unit/10000)</f>
        <v>#VALUE!</v>
      </c>
      <c r="J7" s="141" t="e">
        <f ca="1">((绝对估值!$E$21+NPV($A7,绝对估值!$F$21:$G$21)+(绝对估值!$H$22+NPV($A7,绝对估值!$I$22:$K$22))/(1+$A7)^Estiyears+绝对估值!$K$22*(1+J$4)/($A7-J$4)/(1+$A7)^(Transeyear+Estiyears-1))/(1+$A7)^((DATE(EndYear,12,31)-EstiDate)/365)+绝对估值!$D$27-绝对估值!$D$28-绝对估值!$D$29)/绝对估值!$D$31*(unit/10000)</f>
        <v>#VALUE!</v>
      </c>
      <c r="K7" s="141" t="e">
        <f ca="1">((绝对估值!$E$21+NPV($A7,绝对估值!$F$21:$G$21)+(绝对估值!$H$22+NPV($A7,绝对估值!$I$22:$K$22))/(1+$A7)^Estiyears+绝对估值!$K$22*(1+K$4)/($A7-K$4)/(1+$A7)^(Transeyear+Estiyears-1))/(1+$A7)^((DATE(EndYear,12,31)-EstiDate)/365)+绝对估值!$D$27-绝对估值!$D$28-绝对估值!$D$29)/绝对估值!$D$31*(unit/10000)</f>
        <v>#VALUE!</v>
      </c>
      <c r="L7" s="141" t="e">
        <f ca="1">((绝对估值!$E$21+NPV($A7,绝对估值!$F$21:$G$21)+(绝对估值!$H$22+NPV($A7,绝对估值!$I$22:$K$22))/(1+$A7)^Estiyears+绝对估值!$K$22*(1+L$4)/($A7-L$4)/(1+$A7)^(Transeyear+Estiyears-1))/(1+$A7)^((DATE(EndYear,12,31)-EstiDate)/365)+绝对估值!$D$27-绝对估值!$D$28-绝对估值!$D$29)/绝对估值!$D$31*(unit/10000)</f>
        <v>#VALUE!</v>
      </c>
    </row>
    <row r="8" spans="1:14" outlineLevel="1">
      <c r="A8" s="201">
        <f>A9/1.1</f>
        <v>9.2024657836827284E-2</v>
      </c>
      <c r="B8" s="141" t="e">
        <f ca="1">((绝对估值!$E$21+NPV($A8,绝对估值!$F$21:$G$21)+(绝对估值!$H$22+NPV($A8,绝对估值!$I$22:$K$22))/(1+$A8)^Estiyears+绝对估值!$K$22*(1+B$4)/($A8-B$4)/(1+$A8)^(Transeyear+Estiyears-1))/(1+$A8)^((DATE(EndYear,12,31)-EstiDate)/365)+绝对估值!$D$27-绝对估值!$D$28-绝对估值!$D$29)/绝对估值!$D$31*(unit/10000)</f>
        <v>#VALUE!</v>
      </c>
      <c r="C8" s="141" t="e">
        <f ca="1">((绝对估值!$E$21+NPV($A8,绝对估值!$F$21:$G$21)+(绝对估值!$H$22+NPV($A8,绝对估值!$I$22:$K$22))/(1+$A8)^Estiyears+绝对估值!$K$22*(1+C$4)/($A8-C$4)/(1+$A8)^(Transeyear+Estiyears-1))/(1+$A8)^((DATE(EndYear,12,31)-EstiDate)/365)+绝对估值!$D$27-绝对估值!$D$28-绝对估值!$D$29)/绝对估值!$D$31*(unit/10000)</f>
        <v>#VALUE!</v>
      </c>
      <c r="D8" s="141" t="e">
        <f ca="1">((绝对估值!$E$21+NPV($A8,绝对估值!$F$21:$G$21)+(绝对估值!$H$22+NPV($A8,绝对估值!$I$22:$K$22))/(1+$A8)^Estiyears+绝对估值!$K$22*(1+D$4)/($A8-D$4)/(1+$A8)^(Transeyear+Estiyears-1))/(1+$A8)^((DATE(EndYear,12,31)-EstiDate)/365)+绝对估值!$D$27-绝对估值!$D$28-绝对估值!$D$29)/绝对估值!$D$31*(unit/10000)</f>
        <v>#VALUE!</v>
      </c>
      <c r="E8" s="141" t="e">
        <f ca="1">((绝对估值!$E$21+NPV($A8,绝对估值!$F$21:$G$21)+(绝对估值!$H$22+NPV($A8,绝对估值!$I$22:$K$22))/(1+$A8)^Estiyears+绝对估值!$K$22*(1+E$4)/($A8-E$4)/(1+$A8)^(Transeyear+Estiyears-1))/(1+$A8)^((DATE(EndYear,12,31)-EstiDate)/365)+绝对估值!$D$27-绝对估值!$D$28-绝对估值!$D$29)/绝对估值!$D$31*(unit/10000)</f>
        <v>#VALUE!</v>
      </c>
      <c r="F8" s="141" t="e">
        <f ca="1">((绝对估值!$E$21+NPV($A8,绝对估值!$F$21:$G$21)+(绝对估值!$H$22+NPV($A8,绝对估值!$I$22:$K$22))/(1+$A8)^Estiyears+绝对估值!$K$22*(1+F$4)/($A8-F$4)/(1+$A8)^(Transeyear+Estiyears-1))/(1+$A8)^((DATE(EndYear,12,31)-EstiDate)/365)+绝对估值!$D$27-绝对估值!$D$28-绝对估值!$D$29)/绝对估值!$D$31*(unit/10000)</f>
        <v>#VALUE!</v>
      </c>
      <c r="G8" s="141" t="e">
        <f ca="1">((绝对估值!$E$21+NPV($A8,绝对估值!$F$21:$G$21)+(绝对估值!$H$22+NPV($A8,绝对估值!$I$22:$K$22))/(1+$A8)^Estiyears+绝对估值!$K$22*(1+G$4)/($A8-G$4)/(1+$A8)^(Transeyear+Estiyears-1))/(1+$A8)^((DATE(EndYear,12,31)-EstiDate)/365)+绝对估值!$D$27-绝对估值!$D$28-绝对估值!$D$29)/绝对估值!$D$31*(unit/10000)</f>
        <v>#VALUE!</v>
      </c>
      <c r="H8" s="141" t="e">
        <f ca="1">((绝对估值!$E$21+NPV($A8,绝对估值!$F$21:$G$21)+(绝对估值!$H$22+NPV($A8,绝对估值!$I$22:$K$22))/(1+$A8)^Estiyears+绝对估值!$K$22*(1+H$4)/($A8-H$4)/(1+$A8)^(Transeyear+Estiyears-1))/(1+$A8)^((DATE(EndYear,12,31)-EstiDate)/365)+绝对估值!$D$27-绝对估值!$D$28-绝对估值!$D$29)/绝对估值!$D$31*(unit/10000)</f>
        <v>#VALUE!</v>
      </c>
      <c r="I8" s="141" t="e">
        <f ca="1">((绝对估值!$E$21+NPV($A8,绝对估值!$F$21:$G$21)+(绝对估值!$H$22+NPV($A8,绝对估值!$I$22:$K$22))/(1+$A8)^Estiyears+绝对估值!$K$22*(1+I$4)/($A8-I$4)/(1+$A8)^(Transeyear+Estiyears-1))/(1+$A8)^((DATE(EndYear,12,31)-EstiDate)/365)+绝对估值!$D$27-绝对估值!$D$28-绝对估值!$D$29)/绝对估值!$D$31*(unit/10000)</f>
        <v>#VALUE!</v>
      </c>
      <c r="J8" s="141" t="e">
        <f ca="1">((绝对估值!$E$21+NPV($A8,绝对估值!$F$21:$G$21)+(绝对估值!$H$22+NPV($A8,绝对估值!$I$22:$K$22))/(1+$A8)^Estiyears+绝对估值!$K$22*(1+J$4)/($A8-J$4)/(1+$A8)^(Transeyear+Estiyears-1))/(1+$A8)^((DATE(EndYear,12,31)-EstiDate)/365)+绝对估值!$D$27-绝对估值!$D$28-绝对估值!$D$29)/绝对估值!$D$31*(unit/10000)</f>
        <v>#VALUE!</v>
      </c>
      <c r="K8" s="141" t="e">
        <f ca="1">((绝对估值!$E$21+NPV($A8,绝对估值!$F$21:$G$21)+(绝对估值!$H$22+NPV($A8,绝对估值!$I$22:$K$22))/(1+$A8)^Estiyears+绝对估值!$K$22*(1+K$4)/($A8-K$4)/(1+$A8)^(Transeyear+Estiyears-1))/(1+$A8)^((DATE(EndYear,12,31)-EstiDate)/365)+绝对估值!$D$27-绝对估值!$D$28-绝对估值!$D$29)/绝对估值!$D$31*(unit/10000)</f>
        <v>#VALUE!</v>
      </c>
      <c r="L8" s="141" t="e">
        <f ca="1">((绝对估值!$E$21+NPV($A8,绝对估值!$F$21:$G$21)+(绝对估值!$H$22+NPV($A8,绝对估值!$I$22:$K$22))/(1+$A8)^Estiyears+绝对估值!$K$22*(1+L$4)/($A8-L$4)/(1+$A8)^(Transeyear+Estiyears-1))/(1+$A8)^((DATE(EndYear,12,31)-EstiDate)/365)+绝对估值!$D$27-绝对估值!$D$28-绝对估值!$D$29)/绝对估值!$D$31*(unit/10000)</f>
        <v>#VALUE!</v>
      </c>
    </row>
    <row r="9" spans="1:14" outlineLevel="1">
      <c r="A9" s="201">
        <f>A10/1.1</f>
        <v>0.10122712362051002</v>
      </c>
      <c r="B9" s="141" t="e">
        <f ca="1">((绝对估值!$E$21+NPV($A9,绝对估值!$F$21:$G$21)+(绝对估值!$H$22+NPV($A9,绝对估值!$I$22:$K$22))/(1+$A9)^Estiyears+绝对估值!$K$22*(1+B$4)/($A9-B$4)/(1+$A9)^(Transeyear+Estiyears-1))/(1+$A9)^((DATE(EndYear,12,31)-EstiDate)/365)+绝对估值!$D$27-绝对估值!$D$28-绝对估值!$D$29)/绝对估值!$D$31*(unit/10000)</f>
        <v>#VALUE!</v>
      </c>
      <c r="C9" s="141" t="e">
        <f ca="1">((绝对估值!$E$21+NPV($A9,绝对估值!$F$21:$G$21)+(绝对估值!$H$22+NPV($A9,绝对估值!$I$22:$K$22))/(1+$A9)^Estiyears+绝对估值!$K$22*(1+C$4)/($A9-C$4)/(1+$A9)^(Transeyear+Estiyears-1))/(1+$A9)^((DATE(EndYear,12,31)-EstiDate)/365)+绝对估值!$D$27-绝对估值!$D$28-绝对估值!$D$29)/绝对估值!$D$31*(unit/10000)</f>
        <v>#VALUE!</v>
      </c>
      <c r="D9" s="141" t="e">
        <f ca="1">((绝对估值!$E$21+NPV($A9,绝对估值!$F$21:$G$21)+(绝对估值!$H$22+NPV($A9,绝对估值!$I$22:$K$22))/(1+$A9)^Estiyears+绝对估值!$K$22*(1+D$4)/($A9-D$4)/(1+$A9)^(Transeyear+Estiyears-1))/(1+$A9)^((DATE(EndYear,12,31)-EstiDate)/365)+绝对估值!$D$27-绝对估值!$D$28-绝对估值!$D$29)/绝对估值!$D$31*(unit/10000)</f>
        <v>#VALUE!</v>
      </c>
      <c r="E9" s="141" t="e">
        <f ca="1">((绝对估值!$E$21+NPV($A9,绝对估值!$F$21:$G$21)+(绝对估值!$H$22+NPV($A9,绝对估值!$I$22:$K$22))/(1+$A9)^Estiyears+绝对估值!$K$22*(1+E$4)/($A9-E$4)/(1+$A9)^(Transeyear+Estiyears-1))/(1+$A9)^((DATE(EndYear,12,31)-EstiDate)/365)+绝对估值!$D$27-绝对估值!$D$28-绝对估值!$D$29)/绝对估值!$D$31*(unit/10000)</f>
        <v>#VALUE!</v>
      </c>
      <c r="F9" s="141" t="e">
        <f ca="1">((绝对估值!$E$21+NPV($A9,绝对估值!$F$21:$G$21)+(绝对估值!$H$22+NPV($A9,绝对估值!$I$22:$K$22))/(1+$A9)^Estiyears+绝对估值!$K$22*(1+F$4)/($A9-F$4)/(1+$A9)^(Transeyear+Estiyears-1))/(1+$A9)^((DATE(EndYear,12,31)-EstiDate)/365)+绝对估值!$D$27-绝对估值!$D$28-绝对估值!$D$29)/绝对估值!$D$31*(unit/10000)</f>
        <v>#VALUE!</v>
      </c>
      <c r="G9" s="141" t="e">
        <f ca="1">((绝对估值!$E$21+NPV($A9,绝对估值!$F$21:$G$21)+(绝对估值!$H$22+NPV($A9,绝对估值!$I$22:$K$22))/(1+$A9)^Estiyears+绝对估值!$K$22*(1+G$4)/($A9-G$4)/(1+$A9)^(Transeyear+Estiyears-1))/(1+$A9)^((DATE(EndYear,12,31)-EstiDate)/365)+绝对估值!$D$27-绝对估值!$D$28-绝对估值!$D$29)/绝对估值!$D$31*(unit/10000)</f>
        <v>#VALUE!</v>
      </c>
      <c r="H9" s="141" t="e">
        <f ca="1">((绝对估值!$E$21+NPV($A9,绝对估值!$F$21:$G$21)+(绝对估值!$H$22+NPV($A9,绝对估值!$I$22:$K$22))/(1+$A9)^Estiyears+绝对估值!$K$22*(1+H$4)/($A9-H$4)/(1+$A9)^(Transeyear+Estiyears-1))/(1+$A9)^((DATE(EndYear,12,31)-EstiDate)/365)+绝对估值!$D$27-绝对估值!$D$28-绝对估值!$D$29)/绝对估值!$D$31*(unit/10000)</f>
        <v>#VALUE!</v>
      </c>
      <c r="I9" s="141" t="e">
        <f ca="1">((绝对估值!$E$21+NPV($A9,绝对估值!$F$21:$G$21)+(绝对估值!$H$22+NPV($A9,绝对估值!$I$22:$K$22))/(1+$A9)^Estiyears+绝对估值!$K$22*(1+I$4)/($A9-I$4)/(1+$A9)^(Transeyear+Estiyears-1))/(1+$A9)^((DATE(EndYear,12,31)-EstiDate)/365)+绝对估值!$D$27-绝对估值!$D$28-绝对估值!$D$29)/绝对估值!$D$31*(unit/10000)</f>
        <v>#VALUE!</v>
      </c>
      <c r="J9" s="141" t="e">
        <f ca="1">((绝对估值!$E$21+NPV($A9,绝对估值!$F$21:$G$21)+(绝对估值!$H$22+NPV($A9,绝对估值!$I$22:$K$22))/(1+$A9)^Estiyears+绝对估值!$K$22*(1+J$4)/($A9-J$4)/(1+$A9)^(Transeyear+Estiyears-1))/(1+$A9)^((DATE(EndYear,12,31)-EstiDate)/365)+绝对估值!$D$27-绝对估值!$D$28-绝对估值!$D$29)/绝对估值!$D$31*(unit/10000)</f>
        <v>#VALUE!</v>
      </c>
      <c r="K9" s="141" t="e">
        <f ca="1">((绝对估值!$E$21+NPV($A9,绝对估值!$F$21:$G$21)+(绝对估值!$H$22+NPV($A9,绝对估值!$I$22:$K$22))/(1+$A9)^Estiyears+绝对估值!$K$22*(1+K$4)/($A9-K$4)/(1+$A9)^(Transeyear+Estiyears-1))/(1+$A9)^((DATE(EndYear,12,31)-EstiDate)/365)+绝对估值!$D$27-绝对估值!$D$28-绝对估值!$D$29)/绝对估值!$D$31*(unit/10000)</f>
        <v>#VALUE!</v>
      </c>
      <c r="L9" s="141" t="e">
        <f ca="1">((绝对估值!$E$21+NPV($A9,绝对估值!$F$21:$G$21)+(绝对估值!$H$22+NPV($A9,绝对估值!$I$22:$K$22))/(1+$A9)^Estiyears+绝对估值!$K$22*(1+L$4)/($A9-L$4)/(1+$A9)^(Transeyear+Estiyears-1))/(1+$A9)^((DATE(EndYear,12,31)-EstiDate)/365)+绝对估值!$D$27-绝对估值!$D$28-绝对估值!$D$29)/绝对估值!$D$31*(unit/10000)</f>
        <v>#VALUE!</v>
      </c>
    </row>
    <row r="10" spans="1:14" outlineLevel="1">
      <c r="A10" s="201">
        <f>绝对估值!C17</f>
        <v>0.11134983598256103</v>
      </c>
      <c r="B10" s="141" t="e">
        <f ca="1">((绝对估值!$E$21+NPV($A10,绝对估值!$F$21:$G$21)+(绝对估值!$H$22+NPV($A10,绝对估值!$I$22:$K$22))/(1+$A10)^Estiyears+绝对估值!$K$22*(1+B$4)/($A10-B$4)/(1+$A10)^(Transeyear+Estiyears-1))/(1+$A10)^((DATE(EndYear,12,31)-EstiDate)/365)+绝对估值!$D$27-绝对估值!$D$28-绝对估值!$D$29)/绝对估值!$D$31*(unit/10000)</f>
        <v>#VALUE!</v>
      </c>
      <c r="C10" s="141" t="e">
        <f ca="1">((绝对估值!$E$21+NPV($A10,绝对估值!$F$21:$G$21)+(绝对估值!$H$22+NPV($A10,绝对估值!$I$22:$K$22))/(1+$A10)^Estiyears+绝对估值!$K$22*(1+C$4)/($A10-C$4)/(1+$A10)^(Transeyear+Estiyears-1))/(1+$A10)^((DATE(EndYear,12,31)-EstiDate)/365)+绝对估值!$D$27-绝对估值!$D$28-绝对估值!$D$29)/绝对估值!$D$31*(unit/10000)</f>
        <v>#VALUE!</v>
      </c>
      <c r="D10" s="141" t="e">
        <f ca="1">((绝对估值!$E$21+NPV($A10,绝对估值!$F$21:$G$21)+(绝对估值!$H$22+NPV($A10,绝对估值!$I$22:$K$22))/(1+$A10)^Estiyears+绝对估值!$K$22*(1+D$4)/($A10-D$4)/(1+$A10)^(Transeyear+Estiyears-1))/(1+$A10)^((DATE(EndYear,12,31)-EstiDate)/365)+绝对估值!$D$27-绝对估值!$D$28-绝对估值!$D$29)/绝对估值!$D$31*(unit/10000)</f>
        <v>#VALUE!</v>
      </c>
      <c r="E10" s="141" t="e">
        <f ca="1">((绝对估值!$E$21+NPV($A10,绝对估值!$F$21:$G$21)+(绝对估值!$H$22+NPV($A10,绝对估值!$I$22:$K$22))/(1+$A10)^Estiyears+绝对估值!$K$22*(1+E$4)/($A10-E$4)/(1+$A10)^(Transeyear+Estiyears-1))/(1+$A10)^((DATE(EndYear,12,31)-EstiDate)/365)+绝对估值!$D$27-绝对估值!$D$28-绝对估值!$D$29)/绝对估值!$D$31*(unit/10000)</f>
        <v>#VALUE!</v>
      </c>
      <c r="F10" s="141" t="e">
        <f ca="1">((绝对估值!$E$21+NPV($A10,绝对估值!$F$21:$G$21)+(绝对估值!$H$22+NPV($A10,绝对估值!$I$22:$K$22))/(1+$A10)^Estiyears+绝对估值!$K$22*(1+F$4)/($A10-F$4)/(1+$A10)^(Transeyear+Estiyears-1))/(1+$A10)^((DATE(EndYear,12,31)-EstiDate)/365)+绝对估值!$D$27-绝对估值!$D$28-绝对估值!$D$29)/绝对估值!$D$31*(unit/10000)</f>
        <v>#VALUE!</v>
      </c>
      <c r="G10" s="141" t="e">
        <f ca="1">((绝对估值!$E$21+NPV($A10,绝对估值!$F$21:$G$21)+(绝对估值!$H$22+NPV($A10,绝对估值!$I$22:$K$22))/(1+$A10)^Estiyears+绝对估值!$K$22*(1+G$4)/($A10-G$4)/(1+$A10)^(Transeyear+Estiyears-1))/(1+$A10)^((DATE(EndYear,12,31)-EstiDate)/365)+绝对估值!$D$27-绝对估值!$D$28-绝对估值!$D$29)/绝对估值!$D$31*(unit/10000)</f>
        <v>#VALUE!</v>
      </c>
      <c r="H10" s="141" t="e">
        <f ca="1">((绝对估值!$E$21+NPV($A10,绝对估值!$F$21:$G$21)+(绝对估值!$H$22+NPV($A10,绝对估值!$I$22:$K$22))/(1+$A10)^Estiyears+绝对估值!$K$22*(1+H$4)/($A10-H$4)/(1+$A10)^(Transeyear+Estiyears-1))/(1+$A10)^((DATE(EndYear,12,31)-EstiDate)/365)+绝对估值!$D$27-绝对估值!$D$28-绝对估值!$D$29)/绝对估值!$D$31*(unit/10000)</f>
        <v>#VALUE!</v>
      </c>
      <c r="I10" s="141" t="e">
        <f ca="1">((绝对估值!$E$21+NPV($A10,绝对估值!$F$21:$G$21)+(绝对估值!$H$22+NPV($A10,绝对估值!$I$22:$K$22))/(1+$A10)^Estiyears+绝对估值!$K$22*(1+I$4)/($A10-I$4)/(1+$A10)^(Transeyear+Estiyears-1))/(1+$A10)^((DATE(EndYear,12,31)-EstiDate)/365)+绝对估值!$D$27-绝对估值!$D$28-绝对估值!$D$29)/绝对估值!$D$31*(unit/10000)</f>
        <v>#VALUE!</v>
      </c>
      <c r="J10" s="141" t="e">
        <f ca="1">((绝对估值!$E$21+NPV($A10,绝对估值!$F$21:$G$21)+(绝对估值!$H$22+NPV($A10,绝对估值!$I$22:$K$22))/(1+$A10)^Estiyears+绝对估值!$K$22*(1+J$4)/($A10-J$4)/(1+$A10)^(Transeyear+Estiyears-1))/(1+$A10)^((DATE(EndYear,12,31)-EstiDate)/365)+绝对估值!$D$27-绝对估值!$D$28-绝对估值!$D$29)/绝对估值!$D$31*(unit/10000)</f>
        <v>#VALUE!</v>
      </c>
      <c r="K10" s="141" t="e">
        <f ca="1">((绝对估值!$E$21+NPV($A10,绝对估值!$F$21:$G$21)+(绝对估值!$H$22+NPV($A10,绝对估值!$I$22:$K$22))/(1+$A10)^Estiyears+绝对估值!$K$22*(1+K$4)/($A10-K$4)/(1+$A10)^(Transeyear+Estiyears-1))/(1+$A10)^((DATE(EndYear,12,31)-EstiDate)/365)+绝对估值!$D$27-绝对估值!$D$28-绝对估值!$D$29)/绝对估值!$D$31*(unit/10000)</f>
        <v>#VALUE!</v>
      </c>
      <c r="L10" s="141" t="e">
        <f ca="1">((绝对估值!$E$21+NPV($A10,绝对估值!$F$21:$G$21)+(绝对估值!$H$22+NPV($A10,绝对估值!$I$22:$K$22))/(1+$A10)^Estiyears+绝对估值!$K$22*(1+L$4)/($A10-L$4)/(1+$A10)^(Transeyear+Estiyears-1))/(1+$A10)^((DATE(EndYear,12,31)-EstiDate)/365)+绝对估值!$D$27-绝对估值!$D$28-绝对估值!$D$29)/绝对估值!$D$31*(unit/10000)</f>
        <v>#VALUE!</v>
      </c>
    </row>
    <row r="11" spans="1:14" outlineLevel="1">
      <c r="A11" s="201">
        <f>A10*1.1</f>
        <v>0.12248481958081714</v>
      </c>
      <c r="B11" s="141" t="e">
        <f ca="1">((绝对估值!$E$21+NPV($A11,绝对估值!$F$21:$G$21)+(绝对估值!$H$22+NPV($A11,绝对估值!$I$22:$K$22))/(1+$A11)^Estiyears+绝对估值!$K$22*(1+B$4)/($A11-B$4)/(1+$A11)^(Transeyear+Estiyears-1))/(1+$A11)^((DATE(EndYear,12,31)-EstiDate)/365)+绝对估值!$D$27-绝对估值!$D$28-绝对估值!$D$29)/绝对估值!$D$31*(unit/10000)</f>
        <v>#VALUE!</v>
      </c>
      <c r="C11" s="141" t="e">
        <f ca="1">((绝对估值!$E$21+NPV($A11,绝对估值!$F$21:$G$21)+(绝对估值!$H$22+NPV($A11,绝对估值!$I$22:$K$22))/(1+$A11)^Estiyears+绝对估值!$K$22*(1+C$4)/($A11-C$4)/(1+$A11)^(Transeyear+Estiyears-1))/(1+$A11)^((DATE(EndYear,12,31)-EstiDate)/365)+绝对估值!$D$27-绝对估值!$D$28-绝对估值!$D$29)/绝对估值!$D$31*(unit/10000)</f>
        <v>#VALUE!</v>
      </c>
      <c r="D11" s="141" t="e">
        <f ca="1">((绝对估值!$E$21+NPV($A11,绝对估值!$F$21:$G$21)+(绝对估值!$H$22+NPV($A11,绝对估值!$I$22:$K$22))/(1+$A11)^Estiyears+绝对估值!$K$22*(1+D$4)/($A11-D$4)/(1+$A11)^(Transeyear+Estiyears-1))/(1+$A11)^((DATE(EndYear,12,31)-EstiDate)/365)+绝对估值!$D$27-绝对估值!$D$28-绝对估值!$D$29)/绝对估值!$D$31*(unit/10000)</f>
        <v>#VALUE!</v>
      </c>
      <c r="E11" s="141" t="e">
        <f ca="1">((绝对估值!$E$21+NPV($A11,绝对估值!$F$21:$G$21)+(绝对估值!$H$22+NPV($A11,绝对估值!$I$22:$K$22))/(1+$A11)^Estiyears+绝对估值!$K$22*(1+E$4)/($A11-E$4)/(1+$A11)^(Transeyear+Estiyears-1))/(1+$A11)^((DATE(EndYear,12,31)-EstiDate)/365)+绝对估值!$D$27-绝对估值!$D$28-绝对估值!$D$29)/绝对估值!$D$31*(unit/10000)</f>
        <v>#VALUE!</v>
      </c>
      <c r="F11" s="141" t="e">
        <f ca="1">((绝对估值!$E$21+NPV($A11,绝对估值!$F$21:$G$21)+(绝对估值!$H$22+NPV($A11,绝对估值!$I$22:$K$22))/(1+$A11)^Estiyears+绝对估值!$K$22*(1+F$4)/($A11-F$4)/(1+$A11)^(Transeyear+Estiyears-1))/(1+$A11)^((DATE(EndYear,12,31)-EstiDate)/365)+绝对估值!$D$27-绝对估值!$D$28-绝对估值!$D$29)/绝对估值!$D$31*(unit/10000)</f>
        <v>#VALUE!</v>
      </c>
      <c r="G11" s="141" t="e">
        <f ca="1">((绝对估值!$E$21+NPV($A11,绝对估值!$F$21:$G$21)+(绝对估值!$H$22+NPV($A11,绝对估值!$I$22:$K$22))/(1+$A11)^Estiyears+绝对估值!$K$22*(1+G$4)/($A11-G$4)/(1+$A11)^(Transeyear+Estiyears-1))/(1+$A11)^((DATE(EndYear,12,31)-EstiDate)/365)+绝对估值!$D$27-绝对估值!$D$28-绝对估值!$D$29)/绝对估值!$D$31*(unit/10000)</f>
        <v>#VALUE!</v>
      </c>
      <c r="H11" s="141" t="e">
        <f ca="1">((绝对估值!$E$21+NPV($A11,绝对估值!$F$21:$G$21)+(绝对估值!$H$22+NPV($A11,绝对估值!$I$22:$K$22))/(1+$A11)^Estiyears+绝对估值!$K$22*(1+H$4)/($A11-H$4)/(1+$A11)^(Transeyear+Estiyears-1))/(1+$A11)^((DATE(EndYear,12,31)-EstiDate)/365)+绝对估值!$D$27-绝对估值!$D$28-绝对估值!$D$29)/绝对估值!$D$31*(unit/10000)</f>
        <v>#VALUE!</v>
      </c>
      <c r="I11" s="141" t="e">
        <f ca="1">((绝对估值!$E$21+NPV($A11,绝对估值!$F$21:$G$21)+(绝对估值!$H$22+NPV($A11,绝对估值!$I$22:$K$22))/(1+$A11)^Estiyears+绝对估值!$K$22*(1+I$4)/($A11-I$4)/(1+$A11)^(Transeyear+Estiyears-1))/(1+$A11)^((DATE(EndYear,12,31)-EstiDate)/365)+绝对估值!$D$27-绝对估值!$D$28-绝对估值!$D$29)/绝对估值!$D$31*(unit/10000)</f>
        <v>#VALUE!</v>
      </c>
      <c r="J11" s="141" t="e">
        <f ca="1">((绝对估值!$E$21+NPV($A11,绝对估值!$F$21:$G$21)+(绝对估值!$H$22+NPV($A11,绝对估值!$I$22:$K$22))/(1+$A11)^Estiyears+绝对估值!$K$22*(1+J$4)/($A11-J$4)/(1+$A11)^(Transeyear+Estiyears-1))/(1+$A11)^((DATE(EndYear,12,31)-EstiDate)/365)+绝对估值!$D$27-绝对估值!$D$28-绝对估值!$D$29)/绝对估值!$D$31*(unit/10000)</f>
        <v>#VALUE!</v>
      </c>
      <c r="K11" s="141" t="e">
        <f ca="1">((绝对估值!$E$21+NPV($A11,绝对估值!$F$21:$G$21)+(绝对估值!$H$22+NPV($A11,绝对估值!$I$22:$K$22))/(1+$A11)^Estiyears+绝对估值!$K$22*(1+K$4)/($A11-K$4)/(1+$A11)^(Transeyear+Estiyears-1))/(1+$A11)^((DATE(EndYear,12,31)-EstiDate)/365)+绝对估值!$D$27-绝对估值!$D$28-绝对估值!$D$29)/绝对估值!$D$31*(unit/10000)</f>
        <v>#VALUE!</v>
      </c>
      <c r="L11" s="141" t="e">
        <f ca="1">((绝对估值!$E$21+NPV($A11,绝对估值!$F$21:$G$21)+(绝对估值!$H$22+NPV($A11,绝对估值!$I$22:$K$22))/(1+$A11)^Estiyears+绝对估值!$K$22*(1+L$4)/($A11-L$4)/(1+$A11)^(Transeyear+Estiyears-1))/(1+$A11)^((DATE(EndYear,12,31)-EstiDate)/365)+绝对估值!$D$27-绝对估值!$D$28-绝对估值!$D$29)/绝对估值!$D$31*(unit/10000)</f>
        <v>#VALUE!</v>
      </c>
    </row>
    <row r="12" spans="1:14" outlineLevel="1">
      <c r="A12" s="201">
        <f>A11*1.1</f>
        <v>0.13473330153889887</v>
      </c>
      <c r="B12" s="141" t="e">
        <f ca="1">((绝对估值!$E$21+NPV($A12,绝对估值!$F$21:$G$21)+(绝对估值!$H$22+NPV($A12,绝对估值!$I$22:$K$22))/(1+$A12)^Estiyears+绝对估值!$K$22*(1+B$4)/($A12-B$4)/(1+$A12)^(Transeyear+Estiyears-1))/(1+$A12)^((DATE(EndYear,12,31)-EstiDate)/365)+绝对估值!$D$27-绝对估值!$D$28-绝对估值!$D$29)/绝对估值!$D$31*(unit/10000)</f>
        <v>#VALUE!</v>
      </c>
      <c r="C12" s="141" t="e">
        <f ca="1">((绝对估值!$E$21+NPV($A12,绝对估值!$F$21:$G$21)+(绝对估值!$H$22+NPV($A12,绝对估值!$I$22:$K$22))/(1+$A12)^Estiyears+绝对估值!$K$22*(1+C$4)/($A12-C$4)/(1+$A12)^(Transeyear+Estiyears-1))/(1+$A12)^((DATE(EndYear,12,31)-EstiDate)/365)+绝对估值!$D$27-绝对估值!$D$28-绝对估值!$D$29)/绝对估值!$D$31*(unit/10000)</f>
        <v>#VALUE!</v>
      </c>
      <c r="D12" s="141" t="e">
        <f ca="1">((绝对估值!$E$21+NPV($A12,绝对估值!$F$21:$G$21)+(绝对估值!$H$22+NPV($A12,绝对估值!$I$22:$K$22))/(1+$A12)^Estiyears+绝对估值!$K$22*(1+D$4)/($A12-D$4)/(1+$A12)^(Transeyear+Estiyears-1))/(1+$A12)^((DATE(EndYear,12,31)-EstiDate)/365)+绝对估值!$D$27-绝对估值!$D$28-绝对估值!$D$29)/绝对估值!$D$31*(unit/10000)</f>
        <v>#VALUE!</v>
      </c>
      <c r="E12" s="141" t="e">
        <f ca="1">((绝对估值!$E$21+NPV($A12,绝对估值!$F$21:$G$21)+(绝对估值!$H$22+NPV($A12,绝对估值!$I$22:$K$22))/(1+$A12)^Estiyears+绝对估值!$K$22*(1+E$4)/($A12-E$4)/(1+$A12)^(Transeyear+Estiyears-1))/(1+$A12)^((DATE(EndYear,12,31)-EstiDate)/365)+绝对估值!$D$27-绝对估值!$D$28-绝对估值!$D$29)/绝对估值!$D$31*(unit/10000)</f>
        <v>#VALUE!</v>
      </c>
      <c r="F12" s="141" t="e">
        <f ca="1">((绝对估值!$E$21+NPV($A12,绝对估值!$F$21:$G$21)+(绝对估值!$H$22+NPV($A12,绝对估值!$I$22:$K$22))/(1+$A12)^Estiyears+绝对估值!$K$22*(1+F$4)/($A12-F$4)/(1+$A12)^(Transeyear+Estiyears-1))/(1+$A12)^((DATE(EndYear,12,31)-EstiDate)/365)+绝对估值!$D$27-绝对估值!$D$28-绝对估值!$D$29)/绝对估值!$D$31*(unit/10000)</f>
        <v>#VALUE!</v>
      </c>
      <c r="G12" s="141" t="e">
        <f ca="1">((绝对估值!$E$21+NPV($A12,绝对估值!$F$21:$G$21)+(绝对估值!$H$22+NPV($A12,绝对估值!$I$22:$K$22))/(1+$A12)^Estiyears+绝对估值!$K$22*(1+G$4)/($A12-G$4)/(1+$A12)^(Transeyear+Estiyears-1))/(1+$A12)^((DATE(EndYear,12,31)-EstiDate)/365)+绝对估值!$D$27-绝对估值!$D$28-绝对估值!$D$29)/绝对估值!$D$31*(unit/10000)</f>
        <v>#VALUE!</v>
      </c>
      <c r="H12" s="141" t="e">
        <f ca="1">((绝对估值!$E$21+NPV($A12,绝对估值!$F$21:$G$21)+(绝对估值!$H$22+NPV($A12,绝对估值!$I$22:$K$22))/(1+$A12)^Estiyears+绝对估值!$K$22*(1+H$4)/($A12-H$4)/(1+$A12)^(Transeyear+Estiyears-1))/(1+$A12)^((DATE(EndYear,12,31)-EstiDate)/365)+绝对估值!$D$27-绝对估值!$D$28-绝对估值!$D$29)/绝对估值!$D$31*(unit/10000)</f>
        <v>#VALUE!</v>
      </c>
      <c r="I12" s="141" t="e">
        <f ca="1">((绝对估值!$E$21+NPV($A12,绝对估值!$F$21:$G$21)+(绝对估值!$H$22+NPV($A12,绝对估值!$I$22:$K$22))/(1+$A12)^Estiyears+绝对估值!$K$22*(1+I$4)/($A12-I$4)/(1+$A12)^(Transeyear+Estiyears-1))/(1+$A12)^((DATE(EndYear,12,31)-EstiDate)/365)+绝对估值!$D$27-绝对估值!$D$28-绝对估值!$D$29)/绝对估值!$D$31*(unit/10000)</f>
        <v>#VALUE!</v>
      </c>
      <c r="J12" s="141" t="e">
        <f ca="1">((绝对估值!$E$21+NPV($A12,绝对估值!$F$21:$G$21)+(绝对估值!$H$22+NPV($A12,绝对估值!$I$22:$K$22))/(1+$A12)^Estiyears+绝对估值!$K$22*(1+J$4)/($A12-J$4)/(1+$A12)^(Transeyear+Estiyears-1))/(1+$A12)^((DATE(EndYear,12,31)-EstiDate)/365)+绝对估值!$D$27-绝对估值!$D$28-绝对估值!$D$29)/绝对估值!$D$31*(unit/10000)</f>
        <v>#VALUE!</v>
      </c>
      <c r="K12" s="141" t="e">
        <f ca="1">((绝对估值!$E$21+NPV($A12,绝对估值!$F$21:$G$21)+(绝对估值!$H$22+NPV($A12,绝对估值!$I$22:$K$22))/(1+$A12)^Estiyears+绝对估值!$K$22*(1+K$4)/($A12-K$4)/(1+$A12)^(Transeyear+Estiyears-1))/(1+$A12)^((DATE(EndYear,12,31)-EstiDate)/365)+绝对估值!$D$27-绝对估值!$D$28-绝对估值!$D$29)/绝对估值!$D$31*(unit/10000)</f>
        <v>#VALUE!</v>
      </c>
      <c r="L12" s="141" t="e">
        <f ca="1">((绝对估值!$E$21+NPV($A12,绝对估值!$F$21:$G$21)+(绝对估值!$H$22+NPV($A12,绝对估值!$I$22:$K$22))/(1+$A12)^Estiyears+绝对估值!$K$22*(1+L$4)/($A12-L$4)/(1+$A12)^(Transeyear+Estiyears-1))/(1+$A12)^((DATE(EndYear,12,31)-EstiDate)/365)+绝对估值!$D$27-绝对估值!$D$28-绝对估值!$D$29)/绝对估值!$D$31*(unit/10000)</f>
        <v>#VALUE!</v>
      </c>
    </row>
    <row r="13" spans="1:14" outlineLevel="1">
      <c r="A13" s="201">
        <f>A12*1.1</f>
        <v>0.14820663169278878</v>
      </c>
      <c r="B13" s="141" t="e">
        <f ca="1">((绝对估值!$E$21+NPV($A13,绝对估值!$F$21:$G$21)+(绝对估值!$H$22+NPV($A13,绝对估值!$I$22:$K$22))/(1+$A13)^Estiyears+绝对估值!$K$22*(1+B$4)/($A13-B$4)/(1+$A13)^(Transeyear+Estiyears-1))/(1+$A13)^((DATE(EndYear,12,31)-EstiDate)/365)+绝对估值!$D$27-绝对估值!$D$28-绝对估值!$D$29)/绝对估值!$D$31*(unit/10000)</f>
        <v>#VALUE!</v>
      </c>
      <c r="C13" s="141" t="e">
        <f ca="1">((绝对估值!$E$21+NPV($A13,绝对估值!$F$21:$G$21)+(绝对估值!$H$22+NPV($A13,绝对估值!$I$22:$K$22))/(1+$A13)^Estiyears+绝对估值!$K$22*(1+C$4)/($A13-C$4)/(1+$A13)^(Transeyear+Estiyears-1))/(1+$A13)^((DATE(EndYear,12,31)-EstiDate)/365)+绝对估值!$D$27-绝对估值!$D$28-绝对估值!$D$29)/绝对估值!$D$31*(unit/10000)</f>
        <v>#VALUE!</v>
      </c>
      <c r="D13" s="141" t="e">
        <f ca="1">((绝对估值!$E$21+NPV($A13,绝对估值!$F$21:$G$21)+(绝对估值!$H$22+NPV($A13,绝对估值!$I$22:$K$22))/(1+$A13)^Estiyears+绝对估值!$K$22*(1+D$4)/($A13-D$4)/(1+$A13)^(Transeyear+Estiyears-1))/(1+$A13)^((DATE(EndYear,12,31)-EstiDate)/365)+绝对估值!$D$27-绝对估值!$D$28-绝对估值!$D$29)/绝对估值!$D$31*(unit/10000)</f>
        <v>#VALUE!</v>
      </c>
      <c r="E13" s="141" t="e">
        <f ca="1">((绝对估值!$E$21+NPV($A13,绝对估值!$F$21:$G$21)+(绝对估值!$H$22+NPV($A13,绝对估值!$I$22:$K$22))/(1+$A13)^Estiyears+绝对估值!$K$22*(1+E$4)/($A13-E$4)/(1+$A13)^(Transeyear+Estiyears-1))/(1+$A13)^((DATE(EndYear,12,31)-EstiDate)/365)+绝对估值!$D$27-绝对估值!$D$28-绝对估值!$D$29)/绝对估值!$D$31*(unit/10000)</f>
        <v>#VALUE!</v>
      </c>
      <c r="F13" s="141" t="e">
        <f ca="1">((绝对估值!$E$21+NPV($A13,绝对估值!$F$21:$G$21)+(绝对估值!$H$22+NPV($A13,绝对估值!$I$22:$K$22))/(1+$A13)^Estiyears+绝对估值!$K$22*(1+F$4)/($A13-F$4)/(1+$A13)^(Transeyear+Estiyears-1))/(1+$A13)^((DATE(EndYear,12,31)-EstiDate)/365)+绝对估值!$D$27-绝对估值!$D$28-绝对估值!$D$29)/绝对估值!$D$31*(unit/10000)</f>
        <v>#VALUE!</v>
      </c>
      <c r="G13" s="141" t="e">
        <f ca="1">((绝对估值!$E$21+NPV($A13,绝对估值!$F$21:$G$21)+(绝对估值!$H$22+NPV($A13,绝对估值!$I$22:$K$22))/(1+$A13)^Estiyears+绝对估值!$K$22*(1+G$4)/($A13-G$4)/(1+$A13)^(Transeyear+Estiyears-1))/(1+$A13)^((DATE(EndYear,12,31)-EstiDate)/365)+绝对估值!$D$27-绝对估值!$D$28-绝对估值!$D$29)/绝对估值!$D$31*(unit/10000)</f>
        <v>#VALUE!</v>
      </c>
      <c r="H13" s="141" t="e">
        <f ca="1">((绝对估值!$E$21+NPV($A13,绝对估值!$F$21:$G$21)+(绝对估值!$H$22+NPV($A13,绝对估值!$I$22:$K$22))/(1+$A13)^Estiyears+绝对估值!$K$22*(1+H$4)/($A13-H$4)/(1+$A13)^(Transeyear+Estiyears-1))/(1+$A13)^((DATE(EndYear,12,31)-EstiDate)/365)+绝对估值!$D$27-绝对估值!$D$28-绝对估值!$D$29)/绝对估值!$D$31*(unit/10000)</f>
        <v>#VALUE!</v>
      </c>
      <c r="I13" s="141" t="e">
        <f ca="1">((绝对估值!$E$21+NPV($A13,绝对估值!$F$21:$G$21)+(绝对估值!$H$22+NPV($A13,绝对估值!$I$22:$K$22))/(1+$A13)^Estiyears+绝对估值!$K$22*(1+I$4)/($A13-I$4)/(1+$A13)^(Transeyear+Estiyears-1))/(1+$A13)^((DATE(EndYear,12,31)-EstiDate)/365)+绝对估值!$D$27-绝对估值!$D$28-绝对估值!$D$29)/绝对估值!$D$31*(unit/10000)</f>
        <v>#VALUE!</v>
      </c>
      <c r="J13" s="141" t="e">
        <f ca="1">((绝对估值!$E$21+NPV($A13,绝对估值!$F$21:$G$21)+(绝对估值!$H$22+NPV($A13,绝对估值!$I$22:$K$22))/(1+$A13)^Estiyears+绝对估值!$K$22*(1+J$4)/($A13-J$4)/(1+$A13)^(Transeyear+Estiyears-1))/(1+$A13)^((DATE(EndYear,12,31)-EstiDate)/365)+绝对估值!$D$27-绝对估值!$D$28-绝对估值!$D$29)/绝对估值!$D$31*(unit/10000)</f>
        <v>#VALUE!</v>
      </c>
      <c r="K13" s="141" t="e">
        <f ca="1">((绝对估值!$E$21+NPV($A13,绝对估值!$F$21:$G$21)+(绝对估值!$H$22+NPV($A13,绝对估值!$I$22:$K$22))/(1+$A13)^Estiyears+绝对估值!$K$22*(1+K$4)/($A13-K$4)/(1+$A13)^(Transeyear+Estiyears-1))/(1+$A13)^((DATE(EndYear,12,31)-EstiDate)/365)+绝对估值!$D$27-绝对估值!$D$28-绝对估值!$D$29)/绝对估值!$D$31*(unit/10000)</f>
        <v>#VALUE!</v>
      </c>
      <c r="L13" s="141" t="e">
        <f ca="1">((绝对估值!$E$21+NPV($A13,绝对估值!$F$21:$G$21)+(绝对估值!$H$22+NPV($A13,绝对估值!$I$22:$K$22))/(1+$A13)^Estiyears+绝对估值!$K$22*(1+L$4)/($A13-L$4)/(1+$A13)^(Transeyear+Estiyears-1))/(1+$A13)^((DATE(EndYear,12,31)-EstiDate)/365)+绝对估值!$D$27-绝对估值!$D$28-绝对估值!$D$29)/绝对估值!$D$31*(unit/10000)</f>
        <v>#VALUE!</v>
      </c>
    </row>
    <row r="14" spans="1:14" outlineLevel="1">
      <c r="A14" s="201">
        <f>A13*1.1</f>
        <v>0.16302729486206766</v>
      </c>
      <c r="B14" s="141" t="e">
        <f ca="1">((绝对估值!$E$21+NPV($A14,绝对估值!$F$21:$G$21)+(绝对估值!$H$22+NPV($A14,绝对估值!$I$22:$K$22))/(1+$A14)^Estiyears+绝对估值!$K$22*(1+B$4)/($A14-B$4)/(1+$A14)^(Transeyear+Estiyears-1))/(1+$A14)^((DATE(EndYear,12,31)-EstiDate)/365)+绝对估值!$D$27-绝对估值!$D$28-绝对估值!$D$29)/绝对估值!$D$31*(unit/10000)</f>
        <v>#VALUE!</v>
      </c>
      <c r="C14" s="141" t="e">
        <f ca="1">((绝对估值!$E$21+NPV($A14,绝对估值!$F$21:$G$21)+(绝对估值!$H$22+NPV($A14,绝对估值!$I$22:$K$22))/(1+$A14)^Estiyears+绝对估值!$K$22*(1+C$4)/($A14-C$4)/(1+$A14)^(Transeyear+Estiyears-1))/(1+$A14)^((DATE(EndYear,12,31)-EstiDate)/365)+绝对估值!$D$27-绝对估值!$D$28-绝对估值!$D$29)/绝对估值!$D$31*(unit/10000)</f>
        <v>#VALUE!</v>
      </c>
      <c r="D14" s="141" t="e">
        <f ca="1">((绝对估值!$E$21+NPV($A14,绝对估值!$F$21:$G$21)+(绝对估值!$H$22+NPV($A14,绝对估值!$I$22:$K$22))/(1+$A14)^Estiyears+绝对估值!$K$22*(1+D$4)/($A14-D$4)/(1+$A14)^(Transeyear+Estiyears-1))/(1+$A14)^((DATE(EndYear,12,31)-EstiDate)/365)+绝对估值!$D$27-绝对估值!$D$28-绝对估值!$D$29)/绝对估值!$D$31*(unit/10000)</f>
        <v>#VALUE!</v>
      </c>
      <c r="E14" s="141" t="e">
        <f ca="1">((绝对估值!$E$21+NPV($A14,绝对估值!$F$21:$G$21)+(绝对估值!$H$22+NPV($A14,绝对估值!$I$22:$K$22))/(1+$A14)^Estiyears+绝对估值!$K$22*(1+E$4)/($A14-E$4)/(1+$A14)^(Transeyear+Estiyears-1))/(1+$A14)^((DATE(EndYear,12,31)-EstiDate)/365)+绝对估值!$D$27-绝对估值!$D$28-绝对估值!$D$29)/绝对估值!$D$31*(unit/10000)</f>
        <v>#VALUE!</v>
      </c>
      <c r="F14" s="141" t="e">
        <f ca="1">((绝对估值!$E$21+NPV($A14,绝对估值!$F$21:$G$21)+(绝对估值!$H$22+NPV($A14,绝对估值!$I$22:$K$22))/(1+$A14)^Estiyears+绝对估值!$K$22*(1+F$4)/($A14-F$4)/(1+$A14)^(Transeyear+Estiyears-1))/(1+$A14)^((DATE(EndYear,12,31)-EstiDate)/365)+绝对估值!$D$27-绝对估值!$D$28-绝对估值!$D$29)/绝对估值!$D$31*(unit/10000)</f>
        <v>#VALUE!</v>
      </c>
      <c r="G14" s="141" t="e">
        <f ca="1">((绝对估值!$E$21+NPV($A14,绝对估值!$F$21:$G$21)+(绝对估值!$H$22+NPV($A14,绝对估值!$I$22:$K$22))/(1+$A14)^Estiyears+绝对估值!$K$22*(1+G$4)/($A14-G$4)/(1+$A14)^(Transeyear+Estiyears-1))/(1+$A14)^((DATE(EndYear,12,31)-EstiDate)/365)+绝对估值!$D$27-绝对估值!$D$28-绝对估值!$D$29)/绝对估值!$D$31*(unit/10000)</f>
        <v>#VALUE!</v>
      </c>
      <c r="H14" s="141" t="e">
        <f ca="1">((绝对估值!$E$21+NPV($A14,绝对估值!$F$21:$G$21)+(绝对估值!$H$22+NPV($A14,绝对估值!$I$22:$K$22))/(1+$A14)^Estiyears+绝对估值!$K$22*(1+H$4)/($A14-H$4)/(1+$A14)^(Transeyear+Estiyears-1))/(1+$A14)^((DATE(EndYear,12,31)-EstiDate)/365)+绝对估值!$D$27-绝对估值!$D$28-绝对估值!$D$29)/绝对估值!$D$31*(unit/10000)</f>
        <v>#VALUE!</v>
      </c>
      <c r="I14" s="141" t="e">
        <f ca="1">((绝对估值!$E$21+NPV($A14,绝对估值!$F$21:$G$21)+(绝对估值!$H$22+NPV($A14,绝对估值!$I$22:$K$22))/(1+$A14)^Estiyears+绝对估值!$K$22*(1+I$4)/($A14-I$4)/(1+$A14)^(Transeyear+Estiyears-1))/(1+$A14)^((DATE(EndYear,12,31)-EstiDate)/365)+绝对估值!$D$27-绝对估值!$D$28-绝对估值!$D$29)/绝对估值!$D$31*(unit/10000)</f>
        <v>#VALUE!</v>
      </c>
      <c r="J14" s="141" t="e">
        <f ca="1">((绝对估值!$E$21+NPV($A14,绝对估值!$F$21:$G$21)+(绝对估值!$H$22+NPV($A14,绝对估值!$I$22:$K$22))/(1+$A14)^Estiyears+绝对估值!$K$22*(1+J$4)/($A14-J$4)/(1+$A14)^(Transeyear+Estiyears-1))/(1+$A14)^((DATE(EndYear,12,31)-EstiDate)/365)+绝对估值!$D$27-绝对估值!$D$28-绝对估值!$D$29)/绝对估值!$D$31*(unit/10000)</f>
        <v>#VALUE!</v>
      </c>
      <c r="K14" s="141" t="e">
        <f ca="1">((绝对估值!$E$21+NPV($A14,绝对估值!$F$21:$G$21)+(绝对估值!$H$22+NPV($A14,绝对估值!$I$22:$K$22))/(1+$A14)^Estiyears+绝对估值!$K$22*(1+K$4)/($A14-K$4)/(1+$A14)^(Transeyear+Estiyears-1))/(1+$A14)^((DATE(EndYear,12,31)-EstiDate)/365)+绝对估值!$D$27-绝对估值!$D$28-绝对估值!$D$29)/绝对估值!$D$31*(unit/10000)</f>
        <v>#VALUE!</v>
      </c>
      <c r="L14" s="141" t="e">
        <f ca="1">((绝对估值!$E$21+NPV($A14,绝对估值!$F$21:$G$21)+(绝对估值!$H$22+NPV($A14,绝对估值!$I$22:$K$22))/(1+$A14)^Estiyears+绝对估值!$K$22*(1+L$4)/($A14-L$4)/(1+$A14)^(Transeyear+Estiyears-1))/(1+$A14)^((DATE(EndYear,12,31)-EstiDate)/365)+绝对估值!$D$27-绝对估值!$D$28-绝对估值!$D$29)/绝对估值!$D$31*(unit/10000)</f>
        <v>#VALUE!</v>
      </c>
    </row>
    <row r="15" spans="1:14" outlineLevel="1">
      <c r="A15" s="201">
        <f>A14*1.1</f>
        <v>0.17933002434827444</v>
      </c>
      <c r="B15" s="141" t="e">
        <f ca="1">((绝对估值!$E$21+NPV($A15,绝对估值!$F$21:$G$21)+(绝对估值!$H$22+NPV($A15,绝对估值!$I$22:$K$22))/(1+$A15)^Estiyears+绝对估值!$K$22*(1+B$4)/($A15-B$4)/(1+$A15)^(Transeyear+Estiyears-1))/(1+$A15)^((DATE(EndYear,12,31)-EstiDate)/365)+绝对估值!$D$27-绝对估值!$D$28-绝对估值!$D$29)/绝对估值!$D$31*(unit/10000)</f>
        <v>#VALUE!</v>
      </c>
      <c r="C15" s="141" t="e">
        <f ca="1">((绝对估值!$E$21+NPV($A15,绝对估值!$F$21:$G$21)+(绝对估值!$H$22+NPV($A15,绝对估值!$I$22:$K$22))/(1+$A15)^Estiyears+绝对估值!$K$22*(1+C$4)/($A15-C$4)/(1+$A15)^(Transeyear+Estiyears-1))/(1+$A15)^((DATE(EndYear,12,31)-EstiDate)/365)+绝对估值!$D$27-绝对估值!$D$28-绝对估值!$D$29)/绝对估值!$D$31*(unit/10000)</f>
        <v>#VALUE!</v>
      </c>
      <c r="D15" s="141" t="e">
        <f ca="1">((绝对估值!$E$21+NPV($A15,绝对估值!$F$21:$G$21)+(绝对估值!$H$22+NPV($A15,绝对估值!$I$22:$K$22))/(1+$A15)^Estiyears+绝对估值!$K$22*(1+D$4)/($A15-D$4)/(1+$A15)^(Transeyear+Estiyears-1))/(1+$A15)^((DATE(EndYear,12,31)-EstiDate)/365)+绝对估值!$D$27-绝对估值!$D$28-绝对估值!$D$29)/绝对估值!$D$31*(unit/10000)</f>
        <v>#VALUE!</v>
      </c>
      <c r="E15" s="141" t="e">
        <f ca="1">((绝对估值!$E$21+NPV($A15,绝对估值!$F$21:$G$21)+(绝对估值!$H$22+NPV($A15,绝对估值!$I$22:$K$22))/(1+$A15)^Estiyears+绝对估值!$K$22*(1+E$4)/($A15-E$4)/(1+$A15)^(Transeyear+Estiyears-1))/(1+$A15)^((DATE(EndYear,12,31)-EstiDate)/365)+绝对估值!$D$27-绝对估值!$D$28-绝对估值!$D$29)/绝对估值!$D$31*(unit/10000)</f>
        <v>#VALUE!</v>
      </c>
      <c r="F15" s="141" t="e">
        <f ca="1">((绝对估值!$E$21+NPV($A15,绝对估值!$F$21:$G$21)+(绝对估值!$H$22+NPV($A15,绝对估值!$I$22:$K$22))/(1+$A15)^Estiyears+绝对估值!$K$22*(1+F$4)/($A15-F$4)/(1+$A15)^(Transeyear+Estiyears-1))/(1+$A15)^((DATE(EndYear,12,31)-EstiDate)/365)+绝对估值!$D$27-绝对估值!$D$28-绝对估值!$D$29)/绝对估值!$D$31*(unit/10000)</f>
        <v>#VALUE!</v>
      </c>
      <c r="G15" s="141" t="e">
        <f ca="1">((绝对估值!$E$21+NPV($A15,绝对估值!$F$21:$G$21)+(绝对估值!$H$22+NPV($A15,绝对估值!$I$22:$K$22))/(1+$A15)^Estiyears+绝对估值!$K$22*(1+G$4)/($A15-G$4)/(1+$A15)^(Transeyear+Estiyears-1))/(1+$A15)^((DATE(EndYear,12,31)-EstiDate)/365)+绝对估值!$D$27-绝对估值!$D$28-绝对估值!$D$29)/绝对估值!$D$31*(unit/10000)</f>
        <v>#VALUE!</v>
      </c>
      <c r="H15" s="141" t="e">
        <f ca="1">((绝对估值!$E$21+NPV($A15,绝对估值!$F$21:$G$21)+(绝对估值!$H$22+NPV($A15,绝对估值!$I$22:$K$22))/(1+$A15)^Estiyears+绝对估值!$K$22*(1+H$4)/($A15-H$4)/(1+$A15)^(Transeyear+Estiyears-1))/(1+$A15)^((DATE(EndYear,12,31)-EstiDate)/365)+绝对估值!$D$27-绝对估值!$D$28-绝对估值!$D$29)/绝对估值!$D$31*(unit/10000)</f>
        <v>#VALUE!</v>
      </c>
      <c r="I15" s="141" t="e">
        <f ca="1">((绝对估值!$E$21+NPV($A15,绝对估值!$F$21:$G$21)+(绝对估值!$H$22+NPV($A15,绝对估值!$I$22:$K$22))/(1+$A15)^Estiyears+绝对估值!$K$22*(1+I$4)/($A15-I$4)/(1+$A15)^(Transeyear+Estiyears-1))/(1+$A15)^((DATE(EndYear,12,31)-EstiDate)/365)+绝对估值!$D$27-绝对估值!$D$28-绝对估值!$D$29)/绝对估值!$D$31*(unit/10000)</f>
        <v>#VALUE!</v>
      </c>
      <c r="J15" s="141" t="e">
        <f ca="1">((绝对估值!$E$21+NPV($A15,绝对估值!$F$21:$G$21)+(绝对估值!$H$22+NPV($A15,绝对估值!$I$22:$K$22))/(1+$A15)^Estiyears+绝对估值!$K$22*(1+J$4)/($A15-J$4)/(1+$A15)^(Transeyear+Estiyears-1))/(1+$A15)^((DATE(EndYear,12,31)-EstiDate)/365)+绝对估值!$D$27-绝对估值!$D$28-绝对估值!$D$29)/绝对估值!$D$31*(unit/10000)</f>
        <v>#VALUE!</v>
      </c>
      <c r="K15" s="141" t="e">
        <f ca="1">((绝对估值!$E$21+NPV($A15,绝对估值!$F$21:$G$21)+(绝对估值!$H$22+NPV($A15,绝对估值!$I$22:$K$22))/(1+$A15)^Estiyears+绝对估值!$K$22*(1+K$4)/($A15-K$4)/(1+$A15)^(Transeyear+Estiyears-1))/(1+$A15)^((DATE(EndYear,12,31)-EstiDate)/365)+绝对估值!$D$27-绝对估值!$D$28-绝对估值!$D$29)/绝对估值!$D$31*(unit/10000)</f>
        <v>#VALUE!</v>
      </c>
      <c r="L15" s="141" t="e">
        <f ca="1">((绝对估值!$E$21+NPV($A15,绝对估值!$F$21:$G$21)+(绝对估值!$H$22+NPV($A15,绝对估值!$I$22:$K$22))/(1+$A15)^Estiyears+绝对估值!$K$22*(1+L$4)/($A15-L$4)/(1+$A15)^(Transeyear+Estiyears-1))/(1+$A15)^((DATE(EndYear,12,31)-EstiDate)/365)+绝对估值!$D$27-绝对估值!$D$28-绝对估值!$D$29)/绝对估值!$D$31*(unit/10000)</f>
        <v>#VALUE!</v>
      </c>
    </row>
    <row r="17" spans="1:12" ht="17.75">
      <c r="A17" s="1043" t="s">
        <v>1672</v>
      </c>
      <c r="B17" s="1043"/>
    </row>
    <row r="18" spans="1:12" outlineLevel="1">
      <c r="A18" s="1044" t="s">
        <v>1670</v>
      </c>
      <c r="B18" s="1044"/>
    </row>
    <row r="19" spans="1:12" ht="22.9" outlineLevel="1">
      <c r="A19" s="131" t="s">
        <v>1673</v>
      </c>
      <c r="B19" s="202">
        <f>C19/1.1</f>
        <v>1.2418426461183098E-2</v>
      </c>
      <c r="C19" s="200">
        <f>D19/1.1</f>
        <v>1.366026910730141E-2</v>
      </c>
      <c r="D19" s="200">
        <f>E19/1.1</f>
        <v>1.5026296018031552E-2</v>
      </c>
      <c r="E19" s="200">
        <f>F19/1.1</f>
        <v>1.6528925619834708E-2</v>
      </c>
      <c r="F19" s="200">
        <f>G19/1.1</f>
        <v>1.8181818181818181E-2</v>
      </c>
      <c r="G19" s="200">
        <f>G4</f>
        <v>0.02</v>
      </c>
      <c r="H19" s="200">
        <f>G19*1.1</f>
        <v>2.2000000000000002E-2</v>
      </c>
      <c r="I19" s="200">
        <f>H19*1.1</f>
        <v>2.4200000000000003E-2</v>
      </c>
      <c r="J19" s="200">
        <f>I19*1.1</f>
        <v>2.6620000000000005E-2</v>
      </c>
      <c r="K19" s="200">
        <f>J19*1.1</f>
        <v>2.9282000000000006E-2</v>
      </c>
      <c r="L19" s="200">
        <f>K19*1.1</f>
        <v>3.2210200000000008E-2</v>
      </c>
    </row>
    <row r="20" spans="1:12" outlineLevel="1">
      <c r="A20" s="201">
        <f>A21/1.1</f>
        <v>7.1106979811735735E-2</v>
      </c>
      <c r="B20" s="141" t="e">
        <f ca="1">((绝对估值!$E$35+NPV($A20,绝对估值!$F$35:$G$35)+(绝对估值!$H$36+NPV($A20,绝对估值!$I$36:$K$36))/(1+$A20)^Estiyears+绝对估值!$K$36*(1+B$19)/($A20-B$19)/(1+$A20)^(Estiyears+Transeyear-1))/(1+$A20)^((DATE(EndYear,12,31)-EstiDate)/365)-绝对估值!$D$41)/绝对估值!$D$43*(unit/10000)</f>
        <v>#VALUE!</v>
      </c>
      <c r="C20" s="141" t="e">
        <f ca="1">((绝对估值!$E$35+NPV($A20,绝对估值!$F$35:$G$35)+(绝对估值!$H$36+NPV($A20,绝对估值!$I$36:$K$36))/(1+$A20)^Estiyears+绝对估值!$K$36*(1+C$19)/($A20-C$19)/(1+$A20)^(Estiyears+Transeyear-1))/(1+$A20)^((DATE(EndYear,12,31)-EstiDate)/365)-绝对估值!$D$41)/绝对估值!$D$43*(unit/10000)</f>
        <v>#VALUE!</v>
      </c>
      <c r="D20" s="141" t="e">
        <f ca="1">((绝对估值!$E$35+NPV($A20,绝对估值!$F$35:$G$35)+(绝对估值!$H$36+NPV($A20,绝对估值!$I$36:$K$36))/(1+$A20)^Estiyears+绝对估值!$K$36*(1+D$19)/($A20-D$19)/(1+$A20)^(Estiyears+Transeyear-1))/(1+$A20)^((DATE(EndYear,12,31)-EstiDate)/365)-绝对估值!$D$41)/绝对估值!$D$43*(unit/10000)</f>
        <v>#VALUE!</v>
      </c>
      <c r="E20" s="141" t="e">
        <f ca="1">((绝对估值!$E$35+NPV($A20,绝对估值!$F$35:$G$35)+(绝对估值!$H$36+NPV($A20,绝对估值!$I$36:$K$36))/(1+$A20)^Estiyears+绝对估值!$K$36*(1+E$19)/($A20-E$19)/(1+$A20)^(Estiyears+Transeyear-1))/(1+$A20)^((DATE(EndYear,12,31)-EstiDate)/365)-绝对估值!$D$41)/绝对估值!$D$43*(unit/10000)</f>
        <v>#VALUE!</v>
      </c>
      <c r="F20" s="141" t="e">
        <f ca="1">((绝对估值!$E$35+NPV($A20,绝对估值!$F$35:$G$35)+(绝对估值!$H$36+NPV($A20,绝对估值!$I$36:$K$36))/(1+$A20)^Estiyears+绝对估值!$K$36*(1+F$19)/($A20-F$19)/(1+$A20)^(Estiyears+Transeyear-1))/(1+$A20)^((DATE(EndYear,12,31)-EstiDate)/365)-绝对估值!$D$41)/绝对估值!$D$43*(unit/10000)</f>
        <v>#VALUE!</v>
      </c>
      <c r="G20" s="141" t="e">
        <f ca="1">((绝对估值!$E$35+NPV($A20,绝对估值!$F$35:$G$35)+(绝对估值!$H$36+NPV($A20,绝对估值!$I$36:$K$36))/(1+$A20)^Estiyears+绝对估值!$K$36*(1+G$19)/($A20-G$19)/(1+$A20)^(Estiyears+Transeyear-1))/(1+$A20)^((DATE(EndYear,12,31)-EstiDate)/365)-绝对估值!$D$41)/绝对估值!$D$43*(unit/10000)</f>
        <v>#VALUE!</v>
      </c>
      <c r="H20" s="141" t="e">
        <f ca="1">((绝对估值!$E$35+NPV($A20,绝对估值!$F$35:$G$35)+(绝对估值!$H$36+NPV($A20,绝对估值!$I$36:$K$36))/(1+$A20)^Estiyears+绝对估值!$K$36*(1+H$19)/($A20-H$19)/(1+$A20)^(Estiyears+Transeyear-1))/(1+$A20)^((DATE(EndYear,12,31)-EstiDate)/365)-绝对估值!$D$41)/绝对估值!$D$43*(unit/10000)</f>
        <v>#VALUE!</v>
      </c>
      <c r="I20" s="141" t="e">
        <f ca="1">((绝对估值!$E$35+NPV($A20,绝对估值!$F$35:$G$35)+(绝对估值!$H$36+NPV($A20,绝对估值!$I$36:$K$36))/(1+$A20)^Estiyears+绝对估值!$K$36*(1+I$19)/($A20-I$19)/(1+$A20)^(Estiyears+Transeyear-1))/(1+$A20)^((DATE(EndYear,12,31)-EstiDate)/365)-绝对估值!$D$41)/绝对估值!$D$43*(unit/10000)</f>
        <v>#VALUE!</v>
      </c>
      <c r="J20" s="141" t="e">
        <f ca="1">((绝对估值!$E$35+NPV($A20,绝对估值!$F$35:$G$35)+(绝对估值!$H$36+NPV($A20,绝对估值!$I$36:$K$36))/(1+$A20)^Estiyears+绝对估值!$K$36*(1+J$19)/($A20-J$19)/(1+$A20)^(Estiyears+Transeyear-1))/(1+$A20)^((DATE(EndYear,12,31)-EstiDate)/365)-绝对估值!$D$41)/绝对估值!$D$43*(unit/10000)</f>
        <v>#VALUE!</v>
      </c>
      <c r="K20" s="141" t="e">
        <f ca="1">((绝对估值!$E$35+NPV($A20,绝对估值!$F$35:$G$35)+(绝对估值!$H$36+NPV($A20,绝对估值!$I$36:$K$36))/(1+$A20)^Estiyears+绝对估值!$K$36*(1+K$19)/($A20-K$19)/(1+$A20)^(Estiyears+Transeyear-1))/(1+$A20)^((DATE(EndYear,12,31)-EstiDate)/365)-绝对估值!$D$41)/绝对估值!$D$43*(unit/10000)</f>
        <v>#VALUE!</v>
      </c>
      <c r="L20" s="141" t="e">
        <f ca="1">((绝对估值!$E$35+NPV($A20,绝对估值!$F$35:$G$35)+(绝对估值!$H$36+NPV($A20,绝对估值!$I$36:$K$36))/(1+$A20)^Estiyears+绝对估值!$K$36*(1+L$19)/($A20-L$19)/(1+$A20)^(Estiyears+Transeyear-1))/(1+$A20)^((DATE(EndYear,12,31)-EstiDate)/365)-绝对估值!$D$41)/绝对估值!$D$43*(unit/10000)</f>
        <v>#VALUE!</v>
      </c>
    </row>
    <row r="21" spans="1:12" outlineLevel="1">
      <c r="A21" s="201">
        <f>A22/1.1</f>
        <v>7.8217677792909321E-2</v>
      </c>
      <c r="B21" s="141" t="e">
        <f ca="1">((绝对估值!$E$35+NPV($A21,绝对估值!$F$35:$G$35)+(绝对估值!$H$36+NPV($A21,绝对估值!$I$36:$K$36))/(1+$A21)^Estiyears+绝对估值!$K$36*(1+B$19)/($A21-B$19)/(1+$A21)^(Estiyears+Transeyear-1))/(1+$A21)^((DATE(EndYear,12,31)-EstiDate)/365)-绝对估值!$D$41)/绝对估值!$D$43*(unit/10000)</f>
        <v>#VALUE!</v>
      </c>
      <c r="C21" s="141" t="e">
        <f ca="1">((绝对估值!$E$35+NPV($A21,绝对估值!$F$35:$G$35)+(绝对估值!$H$36+NPV($A21,绝对估值!$I$36:$K$36))/(1+$A21)^Estiyears+绝对估值!$K$36*(1+C$19)/($A21-C$19)/(1+$A21)^(Estiyears+Transeyear-1))/(1+$A21)^((DATE(EndYear,12,31)-EstiDate)/365)-绝对估值!$D$41)/绝对估值!$D$43*(unit/10000)</f>
        <v>#VALUE!</v>
      </c>
      <c r="D21" s="141" t="e">
        <f ca="1">((绝对估值!$E$35+NPV($A21,绝对估值!$F$35:$G$35)+(绝对估值!$H$36+NPV($A21,绝对估值!$I$36:$K$36))/(1+$A21)^Estiyears+绝对估值!$K$36*(1+D$19)/($A21-D$19)/(1+$A21)^(Estiyears+Transeyear-1))/(1+$A21)^((DATE(EndYear,12,31)-EstiDate)/365)-绝对估值!$D$41)/绝对估值!$D$43*(unit/10000)</f>
        <v>#VALUE!</v>
      </c>
      <c r="E21" s="141" t="e">
        <f ca="1">((绝对估值!$E$35+NPV($A21,绝对估值!$F$35:$G$35)+(绝对估值!$H$36+NPV($A21,绝对估值!$I$36:$K$36))/(1+$A21)^Estiyears+绝对估值!$K$36*(1+E$19)/($A21-E$19)/(1+$A21)^(Estiyears+Transeyear-1))/(1+$A21)^((DATE(EndYear,12,31)-EstiDate)/365)-绝对估值!$D$41)/绝对估值!$D$43*(unit/10000)</f>
        <v>#VALUE!</v>
      </c>
      <c r="F21" s="141" t="e">
        <f ca="1">((绝对估值!$E$35+NPV($A21,绝对估值!$F$35:$G$35)+(绝对估值!$H$36+NPV($A21,绝对估值!$I$36:$K$36))/(1+$A21)^Estiyears+绝对估值!$K$36*(1+F$19)/($A21-F$19)/(1+$A21)^(Estiyears+Transeyear-1))/(1+$A21)^((DATE(EndYear,12,31)-EstiDate)/365)-绝对估值!$D$41)/绝对估值!$D$43*(unit/10000)</f>
        <v>#VALUE!</v>
      </c>
      <c r="G21" s="141" t="e">
        <f ca="1">((绝对估值!$E$35+NPV($A21,绝对估值!$F$35:$G$35)+(绝对估值!$H$36+NPV($A21,绝对估值!$I$36:$K$36))/(1+$A21)^Estiyears+绝对估值!$K$36*(1+G$19)/($A21-G$19)/(1+$A21)^(Estiyears+Transeyear-1))/(1+$A21)^((DATE(EndYear,12,31)-EstiDate)/365)-绝对估值!$D$41)/绝对估值!$D$43*(unit/10000)</f>
        <v>#VALUE!</v>
      </c>
      <c r="H21" s="141" t="e">
        <f ca="1">((绝对估值!$E$35+NPV($A21,绝对估值!$F$35:$G$35)+(绝对估值!$H$36+NPV($A21,绝对估值!$I$36:$K$36))/(1+$A21)^Estiyears+绝对估值!$K$36*(1+H$19)/($A21-H$19)/(1+$A21)^(Estiyears+Transeyear-1))/(1+$A21)^((DATE(EndYear,12,31)-EstiDate)/365)-绝对估值!$D$41)/绝对估值!$D$43*(unit/10000)</f>
        <v>#VALUE!</v>
      </c>
      <c r="I21" s="141" t="e">
        <f ca="1">((绝对估值!$E$35+NPV($A21,绝对估值!$F$35:$G$35)+(绝对估值!$H$36+NPV($A21,绝对估值!$I$36:$K$36))/(1+$A21)^Estiyears+绝对估值!$K$36*(1+I$19)/($A21-I$19)/(1+$A21)^(Estiyears+Transeyear-1))/(1+$A21)^((DATE(EndYear,12,31)-EstiDate)/365)-绝对估值!$D$41)/绝对估值!$D$43*(unit/10000)</f>
        <v>#VALUE!</v>
      </c>
      <c r="J21" s="141" t="e">
        <f ca="1">((绝对估值!$E$35+NPV($A21,绝对估值!$F$35:$G$35)+(绝对估值!$H$36+NPV($A21,绝对估值!$I$36:$K$36))/(1+$A21)^Estiyears+绝对估值!$K$36*(1+J$19)/($A21-J$19)/(1+$A21)^(Estiyears+Transeyear-1))/(1+$A21)^((DATE(EndYear,12,31)-EstiDate)/365)-绝对估值!$D$41)/绝对估值!$D$43*(unit/10000)</f>
        <v>#VALUE!</v>
      </c>
      <c r="K21" s="141" t="e">
        <f ca="1">((绝对估值!$E$35+NPV($A21,绝对估值!$F$35:$G$35)+(绝对估值!$H$36+NPV($A21,绝对估值!$I$36:$K$36))/(1+$A21)^Estiyears+绝对估值!$K$36*(1+K$19)/($A21-K$19)/(1+$A21)^(Estiyears+Transeyear-1))/(1+$A21)^((DATE(EndYear,12,31)-EstiDate)/365)-绝对估值!$D$41)/绝对估值!$D$43*(unit/10000)</f>
        <v>#VALUE!</v>
      </c>
      <c r="L21" s="141" t="e">
        <f ca="1">((绝对估值!$E$35+NPV($A21,绝对估值!$F$35:$G$35)+(绝对估值!$H$36+NPV($A21,绝对估值!$I$36:$K$36))/(1+$A21)^Estiyears+绝对估值!$K$36*(1+L$19)/($A21-L$19)/(1+$A21)^(Estiyears+Transeyear-1))/(1+$A21)^((DATE(EndYear,12,31)-EstiDate)/365)-绝对估值!$D$41)/绝对估值!$D$43*(unit/10000)</f>
        <v>#VALUE!</v>
      </c>
    </row>
    <row r="22" spans="1:12" outlineLevel="1">
      <c r="A22" s="201">
        <f>A23/1.1</f>
        <v>8.6039445572200265E-2</v>
      </c>
      <c r="B22" s="141" t="e">
        <f ca="1">((绝对估值!$E$35+NPV($A22,绝对估值!$F$35:$G$35)+(绝对估值!$H$36+NPV($A22,绝对估值!$I$36:$K$36))/(1+$A22)^Estiyears+绝对估值!$K$36*(1+B$19)/($A22-B$19)/(1+$A22)^(Estiyears+Transeyear-1))/(1+$A22)^((DATE(EndYear,12,31)-EstiDate)/365)-绝对估值!$D$41)/绝对估值!$D$43*(unit/10000)</f>
        <v>#VALUE!</v>
      </c>
      <c r="C22" s="141" t="e">
        <f ca="1">((绝对估值!$E$35+NPV($A22,绝对估值!$F$35:$G$35)+(绝对估值!$H$36+NPV($A22,绝对估值!$I$36:$K$36))/(1+$A22)^Estiyears+绝对估值!$K$36*(1+C$19)/($A22-C$19)/(1+$A22)^(Estiyears+Transeyear-1))/(1+$A22)^((DATE(EndYear,12,31)-EstiDate)/365)-绝对估值!$D$41)/绝对估值!$D$43*(unit/10000)</f>
        <v>#VALUE!</v>
      </c>
      <c r="D22" s="141" t="e">
        <f ca="1">((绝对估值!$E$35+NPV($A22,绝对估值!$F$35:$G$35)+(绝对估值!$H$36+NPV($A22,绝对估值!$I$36:$K$36))/(1+$A22)^Estiyears+绝对估值!$K$36*(1+D$19)/($A22-D$19)/(1+$A22)^(Estiyears+Transeyear-1))/(1+$A22)^((DATE(EndYear,12,31)-EstiDate)/365)-绝对估值!$D$41)/绝对估值!$D$43*(unit/10000)</f>
        <v>#VALUE!</v>
      </c>
      <c r="E22" s="141" t="e">
        <f ca="1">((绝对估值!$E$35+NPV($A22,绝对估值!$F$35:$G$35)+(绝对估值!$H$36+NPV($A22,绝对估值!$I$36:$K$36))/(1+$A22)^Estiyears+绝对估值!$K$36*(1+E$19)/($A22-E$19)/(1+$A22)^(Estiyears+Transeyear-1))/(1+$A22)^((DATE(EndYear,12,31)-EstiDate)/365)-绝对估值!$D$41)/绝对估值!$D$43*(unit/10000)</f>
        <v>#VALUE!</v>
      </c>
      <c r="F22" s="141" t="e">
        <f ca="1">((绝对估值!$E$35+NPV($A22,绝对估值!$F$35:$G$35)+(绝对估值!$H$36+NPV($A22,绝对估值!$I$36:$K$36))/(1+$A22)^Estiyears+绝对估值!$K$36*(1+F$19)/($A22-F$19)/(1+$A22)^(Estiyears+Transeyear-1))/(1+$A22)^((DATE(EndYear,12,31)-EstiDate)/365)-绝对估值!$D$41)/绝对估值!$D$43*(unit/10000)</f>
        <v>#VALUE!</v>
      </c>
      <c r="G22" s="141" t="e">
        <f ca="1">((绝对估值!$E$35+NPV($A22,绝对估值!$F$35:$G$35)+(绝对估值!$H$36+NPV($A22,绝对估值!$I$36:$K$36))/(1+$A22)^Estiyears+绝对估值!$K$36*(1+G$19)/($A22-G$19)/(1+$A22)^(Estiyears+Transeyear-1))/(1+$A22)^((DATE(EndYear,12,31)-EstiDate)/365)-绝对估值!$D$41)/绝对估值!$D$43*(unit/10000)</f>
        <v>#VALUE!</v>
      </c>
      <c r="H22" s="141" t="e">
        <f ca="1">((绝对估值!$E$35+NPV($A22,绝对估值!$F$35:$G$35)+(绝对估值!$H$36+NPV($A22,绝对估值!$I$36:$K$36))/(1+$A22)^Estiyears+绝对估值!$K$36*(1+H$19)/($A22-H$19)/(1+$A22)^(Estiyears+Transeyear-1))/(1+$A22)^((DATE(EndYear,12,31)-EstiDate)/365)-绝对估值!$D$41)/绝对估值!$D$43*(unit/10000)</f>
        <v>#VALUE!</v>
      </c>
      <c r="I22" s="141" t="e">
        <f ca="1">((绝对估值!$E$35+NPV($A22,绝对估值!$F$35:$G$35)+(绝对估值!$H$36+NPV($A22,绝对估值!$I$36:$K$36))/(1+$A22)^Estiyears+绝对估值!$K$36*(1+I$19)/($A22-I$19)/(1+$A22)^(Estiyears+Transeyear-1))/(1+$A22)^((DATE(EndYear,12,31)-EstiDate)/365)-绝对估值!$D$41)/绝对估值!$D$43*(unit/10000)</f>
        <v>#VALUE!</v>
      </c>
      <c r="J22" s="141" t="e">
        <f ca="1">((绝对估值!$E$35+NPV($A22,绝对估值!$F$35:$G$35)+(绝对估值!$H$36+NPV($A22,绝对估值!$I$36:$K$36))/(1+$A22)^Estiyears+绝对估值!$K$36*(1+J$19)/($A22-J$19)/(1+$A22)^(Estiyears+Transeyear-1))/(1+$A22)^((DATE(EndYear,12,31)-EstiDate)/365)-绝对估值!$D$41)/绝对估值!$D$43*(unit/10000)</f>
        <v>#VALUE!</v>
      </c>
      <c r="K22" s="141" t="e">
        <f ca="1">((绝对估值!$E$35+NPV($A22,绝对估值!$F$35:$G$35)+(绝对估值!$H$36+NPV($A22,绝对估值!$I$36:$K$36))/(1+$A22)^Estiyears+绝对估值!$K$36*(1+K$19)/($A22-K$19)/(1+$A22)^(Estiyears+Transeyear-1))/(1+$A22)^((DATE(EndYear,12,31)-EstiDate)/365)-绝对估值!$D$41)/绝对估值!$D$43*(unit/10000)</f>
        <v>#VALUE!</v>
      </c>
      <c r="L22" s="141" t="e">
        <f ca="1">((绝对估值!$E$35+NPV($A22,绝对估值!$F$35:$G$35)+(绝对估值!$H$36+NPV($A22,绝对估值!$I$36:$K$36))/(1+$A22)^Estiyears+绝对估值!$K$36*(1+L$19)/($A22-L$19)/(1+$A22)^(Estiyears+Transeyear-1))/(1+$A22)^((DATE(EndYear,12,31)-EstiDate)/365)-绝对估值!$D$41)/绝对估值!$D$43*(unit/10000)</f>
        <v>#VALUE!</v>
      </c>
    </row>
    <row r="23" spans="1:12" outlineLevel="1">
      <c r="A23" s="201">
        <f>A24/1.1</f>
        <v>9.4643390129420302E-2</v>
      </c>
      <c r="B23" s="141" t="e">
        <f ca="1">((绝对估值!$E$35+NPV($A23,绝对估值!$F$35:$G$35)+(绝对估值!$H$36+NPV($A23,绝对估值!$I$36:$K$36))/(1+$A23)^Estiyears+绝对估值!$K$36*(1+B$19)/($A23-B$19)/(1+$A23)^(Estiyears+Transeyear-1))/(1+$A23)^((DATE(EndYear,12,31)-EstiDate)/365)-绝对估值!$D$41)/绝对估值!$D$43*(unit/10000)</f>
        <v>#VALUE!</v>
      </c>
      <c r="C23" s="141" t="e">
        <f ca="1">((绝对估值!$E$35+NPV($A23,绝对估值!$F$35:$G$35)+(绝对估值!$H$36+NPV($A23,绝对估值!$I$36:$K$36))/(1+$A23)^Estiyears+绝对估值!$K$36*(1+C$19)/($A23-C$19)/(1+$A23)^(Estiyears+Transeyear-1))/(1+$A23)^((DATE(EndYear,12,31)-EstiDate)/365)-绝对估值!$D$41)/绝对估值!$D$43*(unit/10000)</f>
        <v>#VALUE!</v>
      </c>
      <c r="D23" s="141" t="e">
        <f ca="1">((绝对估值!$E$35+NPV($A23,绝对估值!$F$35:$G$35)+(绝对估值!$H$36+NPV($A23,绝对估值!$I$36:$K$36))/(1+$A23)^Estiyears+绝对估值!$K$36*(1+D$19)/($A23-D$19)/(1+$A23)^(Estiyears+Transeyear-1))/(1+$A23)^((DATE(EndYear,12,31)-EstiDate)/365)-绝对估值!$D$41)/绝对估值!$D$43*(unit/10000)</f>
        <v>#VALUE!</v>
      </c>
      <c r="E23" s="141" t="e">
        <f ca="1">((绝对估值!$E$35+NPV($A23,绝对估值!$F$35:$G$35)+(绝对估值!$H$36+NPV($A23,绝对估值!$I$36:$K$36))/(1+$A23)^Estiyears+绝对估值!$K$36*(1+E$19)/($A23-E$19)/(1+$A23)^(Estiyears+Transeyear-1))/(1+$A23)^((DATE(EndYear,12,31)-EstiDate)/365)-绝对估值!$D$41)/绝对估值!$D$43*(unit/10000)</f>
        <v>#VALUE!</v>
      </c>
      <c r="F23" s="141" t="e">
        <f ca="1">((绝对估值!$E$35+NPV($A23,绝对估值!$F$35:$G$35)+(绝对估值!$H$36+NPV($A23,绝对估值!$I$36:$K$36))/(1+$A23)^Estiyears+绝对估值!$K$36*(1+F$19)/($A23-F$19)/(1+$A23)^(Estiyears+Transeyear-1))/(1+$A23)^((DATE(EndYear,12,31)-EstiDate)/365)-绝对估值!$D$41)/绝对估值!$D$43*(unit/10000)</f>
        <v>#VALUE!</v>
      </c>
      <c r="G23" s="141" t="e">
        <f ca="1">((绝对估值!$E$35+NPV($A23,绝对估值!$F$35:$G$35)+(绝对估值!$H$36+NPV($A23,绝对估值!$I$36:$K$36))/(1+$A23)^Estiyears+绝对估值!$K$36*(1+G$19)/($A23-G$19)/(1+$A23)^(Estiyears+Transeyear-1))/(1+$A23)^((DATE(EndYear,12,31)-EstiDate)/365)-绝对估值!$D$41)/绝对估值!$D$43*(unit/10000)</f>
        <v>#VALUE!</v>
      </c>
      <c r="H23" s="141" t="e">
        <f ca="1">((绝对估值!$E$35+NPV($A23,绝对估值!$F$35:$G$35)+(绝对估值!$H$36+NPV($A23,绝对估值!$I$36:$K$36))/(1+$A23)^Estiyears+绝对估值!$K$36*(1+H$19)/($A23-H$19)/(1+$A23)^(Estiyears+Transeyear-1))/(1+$A23)^((DATE(EndYear,12,31)-EstiDate)/365)-绝对估值!$D$41)/绝对估值!$D$43*(unit/10000)</f>
        <v>#VALUE!</v>
      </c>
      <c r="I23" s="141" t="e">
        <f ca="1">((绝对估值!$E$35+NPV($A23,绝对估值!$F$35:$G$35)+(绝对估值!$H$36+NPV($A23,绝对估值!$I$36:$K$36))/(1+$A23)^Estiyears+绝对估值!$K$36*(1+I$19)/($A23-I$19)/(1+$A23)^(Estiyears+Transeyear-1))/(1+$A23)^((DATE(EndYear,12,31)-EstiDate)/365)-绝对估值!$D$41)/绝对估值!$D$43*(unit/10000)</f>
        <v>#VALUE!</v>
      </c>
      <c r="J23" s="141" t="e">
        <f ca="1">((绝对估值!$E$35+NPV($A23,绝对估值!$F$35:$G$35)+(绝对估值!$H$36+NPV($A23,绝对估值!$I$36:$K$36))/(1+$A23)^Estiyears+绝对估值!$K$36*(1+J$19)/($A23-J$19)/(1+$A23)^(Estiyears+Transeyear-1))/(1+$A23)^((DATE(EndYear,12,31)-EstiDate)/365)-绝对估值!$D$41)/绝对估值!$D$43*(unit/10000)</f>
        <v>#VALUE!</v>
      </c>
      <c r="K23" s="141" t="e">
        <f ca="1">((绝对估值!$E$35+NPV($A23,绝对估值!$F$35:$G$35)+(绝对估值!$H$36+NPV($A23,绝对估值!$I$36:$K$36))/(1+$A23)^Estiyears+绝对估值!$K$36*(1+K$19)/($A23-K$19)/(1+$A23)^(Estiyears+Transeyear-1))/(1+$A23)^((DATE(EndYear,12,31)-EstiDate)/365)-绝对估值!$D$41)/绝对估值!$D$43*(unit/10000)</f>
        <v>#VALUE!</v>
      </c>
      <c r="L23" s="141" t="e">
        <f ca="1">((绝对估值!$E$35+NPV($A23,绝对估值!$F$35:$G$35)+(绝对估值!$H$36+NPV($A23,绝对估值!$I$36:$K$36))/(1+$A23)^Estiyears+绝对估值!$K$36*(1+L$19)/($A23-L$19)/(1+$A23)^(Estiyears+Transeyear-1))/(1+$A23)^((DATE(EndYear,12,31)-EstiDate)/365)-绝对估值!$D$41)/绝对估值!$D$43*(unit/10000)</f>
        <v>#VALUE!</v>
      </c>
    </row>
    <row r="24" spans="1:12" outlineLevel="1">
      <c r="A24" s="201">
        <f>A25/1.1</f>
        <v>0.10410772914236234</v>
      </c>
      <c r="B24" s="141" t="e">
        <f ca="1">((绝对估值!$E$35+NPV($A24,绝对估值!$F$35:$G$35)+(绝对估值!$H$36+NPV($A24,绝对估值!$I$36:$K$36))/(1+$A24)^Estiyears+绝对估值!$K$36*(1+B$19)/($A24-B$19)/(1+$A24)^(Estiyears+Transeyear-1))/(1+$A24)^((DATE(EndYear,12,31)-EstiDate)/365)-绝对估值!$D$41)/绝对估值!$D$43*(unit/10000)</f>
        <v>#VALUE!</v>
      </c>
      <c r="C24" s="141" t="e">
        <f ca="1">((绝对估值!$E$35+NPV($A24,绝对估值!$F$35:$G$35)+(绝对估值!$H$36+NPV($A24,绝对估值!$I$36:$K$36))/(1+$A24)^Estiyears+绝对估值!$K$36*(1+C$19)/($A24-C$19)/(1+$A24)^(Estiyears+Transeyear-1))/(1+$A24)^((DATE(EndYear,12,31)-EstiDate)/365)-绝对估值!$D$41)/绝对估值!$D$43*(unit/10000)</f>
        <v>#VALUE!</v>
      </c>
      <c r="D24" s="141" t="e">
        <f ca="1">((绝对估值!$E$35+NPV($A24,绝对估值!$F$35:$G$35)+(绝对估值!$H$36+NPV($A24,绝对估值!$I$36:$K$36))/(1+$A24)^Estiyears+绝对估值!$K$36*(1+D$19)/($A24-D$19)/(1+$A24)^(Estiyears+Transeyear-1))/(1+$A24)^((DATE(EndYear,12,31)-EstiDate)/365)-绝对估值!$D$41)/绝对估值!$D$43*(unit/10000)</f>
        <v>#VALUE!</v>
      </c>
      <c r="E24" s="141" t="e">
        <f ca="1">((绝对估值!$E$35+NPV($A24,绝对估值!$F$35:$G$35)+(绝对估值!$H$36+NPV($A24,绝对估值!$I$36:$K$36))/(1+$A24)^Estiyears+绝对估值!$K$36*(1+E$19)/($A24-E$19)/(1+$A24)^(Estiyears+Transeyear-1))/(1+$A24)^((DATE(EndYear,12,31)-EstiDate)/365)-绝对估值!$D$41)/绝对估值!$D$43*(unit/10000)</f>
        <v>#VALUE!</v>
      </c>
      <c r="F24" s="141" t="e">
        <f ca="1">((绝对估值!$E$35+NPV($A24,绝对估值!$F$35:$G$35)+(绝对估值!$H$36+NPV($A24,绝对估值!$I$36:$K$36))/(1+$A24)^Estiyears+绝对估值!$K$36*(1+F$19)/($A24-F$19)/(1+$A24)^(Estiyears+Transeyear-1))/(1+$A24)^((DATE(EndYear,12,31)-EstiDate)/365)-绝对估值!$D$41)/绝对估值!$D$43*(unit/10000)</f>
        <v>#VALUE!</v>
      </c>
      <c r="G24" s="141" t="e">
        <f ca="1">((绝对估值!$E$35+NPV($A24,绝对估值!$F$35:$G$35)+(绝对估值!$H$36+NPV($A24,绝对估值!$I$36:$K$36))/(1+$A24)^Estiyears+绝对估值!$K$36*(1+G$19)/($A24-G$19)/(1+$A24)^(Estiyears+Transeyear-1))/(1+$A24)^((DATE(EndYear,12,31)-EstiDate)/365)-绝对估值!$D$41)/绝对估值!$D$43*(unit/10000)</f>
        <v>#VALUE!</v>
      </c>
      <c r="H24" s="141" t="e">
        <f ca="1">((绝对估值!$E$35+NPV($A24,绝对估值!$F$35:$G$35)+(绝对估值!$H$36+NPV($A24,绝对估值!$I$36:$K$36))/(1+$A24)^Estiyears+绝对估值!$K$36*(1+H$19)/($A24-H$19)/(1+$A24)^(Estiyears+Transeyear-1))/(1+$A24)^((DATE(EndYear,12,31)-EstiDate)/365)-绝对估值!$D$41)/绝对估值!$D$43*(unit/10000)</f>
        <v>#VALUE!</v>
      </c>
      <c r="I24" s="141" t="e">
        <f ca="1">((绝对估值!$E$35+NPV($A24,绝对估值!$F$35:$G$35)+(绝对估值!$H$36+NPV($A24,绝对估值!$I$36:$K$36))/(1+$A24)^Estiyears+绝对估值!$K$36*(1+I$19)/($A24-I$19)/(1+$A24)^(Estiyears+Transeyear-1))/(1+$A24)^((DATE(EndYear,12,31)-EstiDate)/365)-绝对估值!$D$41)/绝对估值!$D$43*(unit/10000)</f>
        <v>#VALUE!</v>
      </c>
      <c r="J24" s="141" t="e">
        <f ca="1">((绝对估值!$E$35+NPV($A24,绝对估值!$F$35:$G$35)+(绝对估值!$H$36+NPV($A24,绝对估值!$I$36:$K$36))/(1+$A24)^Estiyears+绝对估值!$K$36*(1+J$19)/($A24-J$19)/(1+$A24)^(Estiyears+Transeyear-1))/(1+$A24)^((DATE(EndYear,12,31)-EstiDate)/365)-绝对估值!$D$41)/绝对估值!$D$43*(unit/10000)</f>
        <v>#VALUE!</v>
      </c>
      <c r="K24" s="141" t="e">
        <f ca="1">((绝对估值!$E$35+NPV($A24,绝对估值!$F$35:$G$35)+(绝对估值!$H$36+NPV($A24,绝对估值!$I$36:$K$36))/(1+$A24)^Estiyears+绝对估值!$K$36*(1+K$19)/($A24-K$19)/(1+$A24)^(Estiyears+Transeyear-1))/(1+$A24)^((DATE(EndYear,12,31)-EstiDate)/365)-绝对估值!$D$41)/绝对估值!$D$43*(unit/10000)</f>
        <v>#VALUE!</v>
      </c>
      <c r="L24" s="141" t="e">
        <f ca="1">((绝对估值!$E$35+NPV($A24,绝对估值!$F$35:$G$35)+(绝对估值!$H$36+NPV($A24,绝对估值!$I$36:$K$36))/(1+$A24)^Estiyears+绝对估值!$K$36*(1+L$19)/($A24-L$19)/(1+$A24)^(Estiyears+Transeyear-1))/(1+$A24)^((DATE(EndYear,12,31)-EstiDate)/365)-绝对估值!$D$41)/绝对估值!$D$43*(unit/10000)</f>
        <v>#VALUE!</v>
      </c>
    </row>
    <row r="25" spans="1:12" outlineLevel="1">
      <c r="A25" s="201">
        <f>绝对估值!C16</f>
        <v>0.11451850205659858</v>
      </c>
      <c r="B25" s="141" t="e">
        <f ca="1">((绝对估值!$E$35+NPV($A25,绝对估值!$F$35:$G$35)+(绝对估值!$H$36+NPV($A25,绝对估值!$I$36:$K$36))/(1+$A25)^Estiyears+绝对估值!$K$36*(1+B$19)/($A25-B$19)/(1+$A25)^(Estiyears+Transeyear-1))/(1+$A25)^((DATE(EndYear,12,31)-EstiDate)/365)-绝对估值!$D$41)/绝对估值!$D$43*(unit/10000)</f>
        <v>#VALUE!</v>
      </c>
      <c r="C25" s="141" t="e">
        <f ca="1">((绝对估值!$E$35+NPV($A25,绝对估值!$F$35:$G$35)+(绝对估值!$H$36+NPV($A25,绝对估值!$I$36:$K$36))/(1+$A25)^Estiyears+绝对估值!$K$36*(1+C$19)/($A25-C$19)/(1+$A25)^(Estiyears+Transeyear-1))/(1+$A25)^((DATE(EndYear,12,31)-EstiDate)/365)-绝对估值!$D$41)/绝对估值!$D$43*(unit/10000)</f>
        <v>#VALUE!</v>
      </c>
      <c r="D25" s="141" t="e">
        <f ca="1">((绝对估值!$E$35+NPV($A25,绝对估值!$F$35:$G$35)+(绝对估值!$H$36+NPV($A25,绝对估值!$I$36:$K$36))/(1+$A25)^Estiyears+绝对估值!$K$36*(1+D$19)/($A25-D$19)/(1+$A25)^(Estiyears+Transeyear-1))/(1+$A25)^((DATE(EndYear,12,31)-EstiDate)/365)-绝对估值!$D$41)/绝对估值!$D$43*(unit/10000)</f>
        <v>#VALUE!</v>
      </c>
      <c r="E25" s="141" t="e">
        <f ca="1">((绝对估值!$E$35+NPV($A25,绝对估值!$F$35:$G$35)+(绝对估值!$H$36+NPV($A25,绝对估值!$I$36:$K$36))/(1+$A25)^Estiyears+绝对估值!$K$36*(1+E$19)/($A25-E$19)/(1+$A25)^(Estiyears+Transeyear-1))/(1+$A25)^((DATE(EndYear,12,31)-EstiDate)/365)-绝对估值!$D$41)/绝对估值!$D$43*(unit/10000)</f>
        <v>#VALUE!</v>
      </c>
      <c r="F25" s="141" t="e">
        <f ca="1">((绝对估值!$E$35+NPV($A25,绝对估值!$F$35:$G$35)+(绝对估值!$H$36+NPV($A25,绝对估值!$I$36:$K$36))/(1+$A25)^Estiyears+绝对估值!$K$36*(1+F$19)/($A25-F$19)/(1+$A25)^(Estiyears+Transeyear-1))/(1+$A25)^((DATE(EndYear,12,31)-EstiDate)/365)-绝对估值!$D$41)/绝对估值!$D$43*(unit/10000)</f>
        <v>#VALUE!</v>
      </c>
      <c r="G25" s="141" t="e">
        <f ca="1">((绝对估值!$E$35+NPV($A25,绝对估值!$F$35:$G$35)+(绝对估值!$H$36+NPV($A25,绝对估值!$I$36:$K$36))/(1+$A25)^Estiyears+绝对估值!$K$36*(1+G$19)/($A25-G$19)/(1+$A25)^(Estiyears+Transeyear-1))/(1+$A25)^((DATE(EndYear,12,31)-EstiDate)/365)-绝对估值!$D$41)/绝对估值!$D$43*(unit/10000)</f>
        <v>#VALUE!</v>
      </c>
      <c r="H25" s="141" t="e">
        <f ca="1">((绝对估值!$E$35+NPV($A25,绝对估值!$F$35:$G$35)+(绝对估值!$H$36+NPV($A25,绝对估值!$I$36:$K$36))/(1+$A25)^Estiyears+绝对估值!$K$36*(1+H$19)/($A25-H$19)/(1+$A25)^(Estiyears+Transeyear-1))/(1+$A25)^((DATE(EndYear,12,31)-EstiDate)/365)-绝对估值!$D$41)/绝对估值!$D$43*(unit/10000)</f>
        <v>#VALUE!</v>
      </c>
      <c r="I25" s="141" t="e">
        <f ca="1">((绝对估值!$E$35+NPV($A25,绝对估值!$F$35:$G$35)+(绝对估值!$H$36+NPV($A25,绝对估值!$I$36:$K$36))/(1+$A25)^Estiyears+绝对估值!$K$36*(1+I$19)/($A25-I$19)/(1+$A25)^(Estiyears+Transeyear-1))/(1+$A25)^((DATE(EndYear,12,31)-EstiDate)/365)-绝对估值!$D$41)/绝对估值!$D$43*(unit/10000)</f>
        <v>#VALUE!</v>
      </c>
      <c r="J25" s="141" t="e">
        <f ca="1">((绝对估值!$E$35+NPV($A25,绝对估值!$F$35:$G$35)+(绝对估值!$H$36+NPV($A25,绝对估值!$I$36:$K$36))/(1+$A25)^Estiyears+绝对估值!$K$36*(1+J$19)/($A25-J$19)/(1+$A25)^(Estiyears+Transeyear-1))/(1+$A25)^((DATE(EndYear,12,31)-EstiDate)/365)-绝对估值!$D$41)/绝对估值!$D$43*(unit/10000)</f>
        <v>#VALUE!</v>
      </c>
      <c r="K25" s="141" t="e">
        <f ca="1">((绝对估值!$E$35+NPV($A25,绝对估值!$F$35:$G$35)+(绝对估值!$H$36+NPV($A25,绝对估值!$I$36:$K$36))/(1+$A25)^Estiyears+绝对估值!$K$36*(1+K$19)/($A25-K$19)/(1+$A25)^(Estiyears+Transeyear-1))/(1+$A25)^((DATE(EndYear,12,31)-EstiDate)/365)-绝对估值!$D$41)/绝对估值!$D$43*(unit/10000)</f>
        <v>#VALUE!</v>
      </c>
      <c r="L25" s="141" t="e">
        <f ca="1">((绝对估值!$E$35+NPV($A25,绝对估值!$F$35:$G$35)+(绝对估值!$H$36+NPV($A25,绝对估值!$I$36:$K$36))/(1+$A25)^Estiyears+绝对估值!$K$36*(1+L$19)/($A25-L$19)/(1+$A25)^(Estiyears+Transeyear-1))/(1+$A25)^((DATE(EndYear,12,31)-EstiDate)/365)-绝对估值!$D$41)/绝对估值!$D$43*(unit/10000)</f>
        <v>#VALUE!</v>
      </c>
    </row>
    <row r="26" spans="1:12" outlineLevel="1">
      <c r="A26" s="201">
        <f>A25*1.1</f>
        <v>0.12597035226225844</v>
      </c>
      <c r="B26" s="141" t="e">
        <f ca="1">((绝对估值!$E$35+NPV($A26,绝对估值!$F$35:$G$35)+(绝对估值!$H$36+NPV($A26,绝对估值!$I$36:$K$36))/(1+$A26)^Estiyears+绝对估值!$K$36*(1+B$19)/($A26-B$19)/(1+$A26)^(Estiyears+Transeyear-1))/(1+$A26)^((DATE(EndYear,12,31)-EstiDate)/365)-绝对估值!$D$41)/绝对估值!$D$43*(unit/10000)</f>
        <v>#VALUE!</v>
      </c>
      <c r="C26" s="141" t="e">
        <f ca="1">((绝对估值!$E$35+NPV($A26,绝对估值!$F$35:$G$35)+(绝对估值!$H$36+NPV($A26,绝对估值!$I$36:$K$36))/(1+$A26)^Estiyears+绝对估值!$K$36*(1+C$19)/($A26-C$19)/(1+$A26)^(Estiyears+Transeyear-1))/(1+$A26)^((DATE(EndYear,12,31)-EstiDate)/365)-绝对估值!$D$41)/绝对估值!$D$43*(unit/10000)</f>
        <v>#VALUE!</v>
      </c>
      <c r="D26" s="141" t="e">
        <f ca="1">((绝对估值!$E$35+NPV($A26,绝对估值!$F$35:$G$35)+(绝对估值!$H$36+NPV($A26,绝对估值!$I$36:$K$36))/(1+$A26)^Estiyears+绝对估值!$K$36*(1+D$19)/($A26-D$19)/(1+$A26)^(Estiyears+Transeyear-1))/(1+$A26)^((DATE(EndYear,12,31)-EstiDate)/365)-绝对估值!$D$41)/绝对估值!$D$43*(unit/10000)</f>
        <v>#VALUE!</v>
      </c>
      <c r="E26" s="141" t="e">
        <f ca="1">((绝对估值!$E$35+NPV($A26,绝对估值!$F$35:$G$35)+(绝对估值!$H$36+NPV($A26,绝对估值!$I$36:$K$36))/(1+$A26)^Estiyears+绝对估值!$K$36*(1+E$19)/($A26-E$19)/(1+$A26)^(Estiyears+Transeyear-1))/(1+$A26)^((DATE(EndYear,12,31)-EstiDate)/365)-绝对估值!$D$41)/绝对估值!$D$43*(unit/10000)</f>
        <v>#VALUE!</v>
      </c>
      <c r="F26" s="141" t="e">
        <f ca="1">((绝对估值!$E$35+NPV($A26,绝对估值!$F$35:$G$35)+(绝对估值!$H$36+NPV($A26,绝对估值!$I$36:$K$36))/(1+$A26)^Estiyears+绝对估值!$K$36*(1+F$19)/($A26-F$19)/(1+$A26)^(Estiyears+Transeyear-1))/(1+$A26)^((DATE(EndYear,12,31)-EstiDate)/365)-绝对估值!$D$41)/绝对估值!$D$43*(unit/10000)</f>
        <v>#VALUE!</v>
      </c>
      <c r="G26" s="141" t="e">
        <f ca="1">((绝对估值!$E$35+NPV($A26,绝对估值!$F$35:$G$35)+(绝对估值!$H$36+NPV($A26,绝对估值!$I$36:$K$36))/(1+$A26)^Estiyears+绝对估值!$K$36*(1+G$19)/($A26-G$19)/(1+$A26)^(Estiyears+Transeyear-1))/(1+$A26)^((DATE(EndYear,12,31)-EstiDate)/365)-绝对估值!$D$41)/绝对估值!$D$43*(unit/10000)</f>
        <v>#VALUE!</v>
      </c>
      <c r="H26" s="141" t="e">
        <f ca="1">((绝对估值!$E$35+NPV($A26,绝对估值!$F$35:$G$35)+(绝对估值!$H$36+NPV($A26,绝对估值!$I$36:$K$36))/(1+$A26)^Estiyears+绝对估值!$K$36*(1+H$19)/($A26-H$19)/(1+$A26)^(Estiyears+Transeyear-1))/(1+$A26)^((DATE(EndYear,12,31)-EstiDate)/365)-绝对估值!$D$41)/绝对估值!$D$43*(unit/10000)</f>
        <v>#VALUE!</v>
      </c>
      <c r="I26" s="141" t="e">
        <f ca="1">((绝对估值!$E$35+NPV($A26,绝对估值!$F$35:$G$35)+(绝对估值!$H$36+NPV($A26,绝对估值!$I$36:$K$36))/(1+$A26)^Estiyears+绝对估值!$K$36*(1+I$19)/($A26-I$19)/(1+$A26)^(Estiyears+Transeyear-1))/(1+$A26)^((DATE(EndYear,12,31)-EstiDate)/365)-绝对估值!$D$41)/绝对估值!$D$43*(unit/10000)</f>
        <v>#VALUE!</v>
      </c>
      <c r="J26" s="141" t="e">
        <f ca="1">((绝对估值!$E$35+NPV($A26,绝对估值!$F$35:$G$35)+(绝对估值!$H$36+NPV($A26,绝对估值!$I$36:$K$36))/(1+$A26)^Estiyears+绝对估值!$K$36*(1+J$19)/($A26-J$19)/(1+$A26)^(Estiyears+Transeyear-1))/(1+$A26)^((DATE(EndYear,12,31)-EstiDate)/365)-绝对估值!$D$41)/绝对估值!$D$43*(unit/10000)</f>
        <v>#VALUE!</v>
      </c>
      <c r="K26" s="141" t="e">
        <f ca="1">((绝对估值!$E$35+NPV($A26,绝对估值!$F$35:$G$35)+(绝对估值!$H$36+NPV($A26,绝对估值!$I$36:$K$36))/(1+$A26)^Estiyears+绝对估值!$K$36*(1+K$19)/($A26-K$19)/(1+$A26)^(Estiyears+Transeyear-1))/(1+$A26)^((DATE(EndYear,12,31)-EstiDate)/365)-绝对估值!$D$41)/绝对估值!$D$43*(unit/10000)</f>
        <v>#VALUE!</v>
      </c>
      <c r="L26" s="141" t="e">
        <f ca="1">((绝对估值!$E$35+NPV($A26,绝对估值!$F$35:$G$35)+(绝对估值!$H$36+NPV($A26,绝对估值!$I$36:$K$36))/(1+$A26)^Estiyears+绝对估值!$K$36*(1+L$19)/($A26-L$19)/(1+$A26)^(Estiyears+Transeyear-1))/(1+$A26)^((DATE(EndYear,12,31)-EstiDate)/365)-绝对估值!$D$41)/绝对估值!$D$43*(unit/10000)</f>
        <v>#VALUE!</v>
      </c>
    </row>
    <row r="27" spans="1:12" outlineLevel="1">
      <c r="A27" s="201">
        <f>A26*1.1</f>
        <v>0.13856738748848429</v>
      </c>
      <c r="B27" s="141" t="e">
        <f ca="1">((绝对估值!$E$35+NPV($A27,绝对估值!$F$35:$G$35)+(绝对估值!$H$36+NPV($A27,绝对估值!$I$36:$K$36))/(1+$A27)^Estiyears+绝对估值!$K$36*(1+B$19)/($A27-B$19)/(1+$A27)^(Estiyears+Transeyear-1))/(1+$A27)^((DATE(EndYear,12,31)-EstiDate)/365)-绝对估值!$D$41)/绝对估值!$D$43*(unit/10000)</f>
        <v>#VALUE!</v>
      </c>
      <c r="C27" s="141" t="e">
        <f ca="1">((绝对估值!$E$35+NPV($A27,绝对估值!$F$35:$G$35)+(绝对估值!$H$36+NPV($A27,绝对估值!$I$36:$K$36))/(1+$A27)^Estiyears+绝对估值!$K$36*(1+C$19)/($A27-C$19)/(1+$A27)^(Estiyears+Transeyear-1))/(1+$A27)^((DATE(EndYear,12,31)-EstiDate)/365)-绝对估值!$D$41)/绝对估值!$D$43*(unit/10000)</f>
        <v>#VALUE!</v>
      </c>
      <c r="D27" s="141" t="e">
        <f ca="1">((绝对估值!$E$35+NPV($A27,绝对估值!$F$35:$G$35)+(绝对估值!$H$36+NPV($A27,绝对估值!$I$36:$K$36))/(1+$A27)^Estiyears+绝对估值!$K$36*(1+D$19)/($A27-D$19)/(1+$A27)^(Estiyears+Transeyear-1))/(1+$A27)^((DATE(EndYear,12,31)-EstiDate)/365)-绝对估值!$D$41)/绝对估值!$D$43*(unit/10000)</f>
        <v>#VALUE!</v>
      </c>
      <c r="E27" s="141" t="e">
        <f ca="1">((绝对估值!$E$35+NPV($A27,绝对估值!$F$35:$G$35)+(绝对估值!$H$36+NPV($A27,绝对估值!$I$36:$K$36))/(1+$A27)^Estiyears+绝对估值!$K$36*(1+E$19)/($A27-E$19)/(1+$A27)^(Estiyears+Transeyear-1))/(1+$A27)^((DATE(EndYear,12,31)-EstiDate)/365)-绝对估值!$D$41)/绝对估值!$D$43*(unit/10000)</f>
        <v>#VALUE!</v>
      </c>
      <c r="F27" s="141" t="e">
        <f ca="1">((绝对估值!$E$35+NPV($A27,绝对估值!$F$35:$G$35)+(绝对估值!$H$36+NPV($A27,绝对估值!$I$36:$K$36))/(1+$A27)^Estiyears+绝对估值!$K$36*(1+F$19)/($A27-F$19)/(1+$A27)^(Estiyears+Transeyear-1))/(1+$A27)^((DATE(EndYear,12,31)-EstiDate)/365)-绝对估值!$D$41)/绝对估值!$D$43*(unit/10000)</f>
        <v>#VALUE!</v>
      </c>
      <c r="G27" s="141" t="e">
        <f ca="1">((绝对估值!$E$35+NPV($A27,绝对估值!$F$35:$G$35)+(绝对估值!$H$36+NPV($A27,绝对估值!$I$36:$K$36))/(1+$A27)^Estiyears+绝对估值!$K$36*(1+G$19)/($A27-G$19)/(1+$A27)^(Estiyears+Transeyear-1))/(1+$A27)^((DATE(EndYear,12,31)-EstiDate)/365)-绝对估值!$D$41)/绝对估值!$D$43*(unit/10000)</f>
        <v>#VALUE!</v>
      </c>
      <c r="H27" s="141" t="e">
        <f ca="1">((绝对估值!$E$35+NPV($A27,绝对估值!$F$35:$G$35)+(绝对估值!$H$36+NPV($A27,绝对估值!$I$36:$K$36))/(1+$A27)^Estiyears+绝对估值!$K$36*(1+H$19)/($A27-H$19)/(1+$A27)^(Estiyears+Transeyear-1))/(1+$A27)^((DATE(EndYear,12,31)-EstiDate)/365)-绝对估值!$D$41)/绝对估值!$D$43*(unit/10000)</f>
        <v>#VALUE!</v>
      </c>
      <c r="I27" s="141" t="e">
        <f ca="1">((绝对估值!$E$35+NPV($A27,绝对估值!$F$35:$G$35)+(绝对估值!$H$36+NPV($A27,绝对估值!$I$36:$K$36))/(1+$A27)^Estiyears+绝对估值!$K$36*(1+I$19)/($A27-I$19)/(1+$A27)^(Estiyears+Transeyear-1))/(1+$A27)^((DATE(EndYear,12,31)-EstiDate)/365)-绝对估值!$D$41)/绝对估值!$D$43*(unit/10000)</f>
        <v>#VALUE!</v>
      </c>
      <c r="J27" s="141" t="e">
        <f ca="1">((绝对估值!$E$35+NPV($A27,绝对估值!$F$35:$G$35)+(绝对估值!$H$36+NPV($A27,绝对估值!$I$36:$K$36))/(1+$A27)^Estiyears+绝对估值!$K$36*(1+J$19)/($A27-J$19)/(1+$A27)^(Estiyears+Transeyear-1))/(1+$A27)^((DATE(EndYear,12,31)-EstiDate)/365)-绝对估值!$D$41)/绝对估值!$D$43*(unit/10000)</f>
        <v>#VALUE!</v>
      </c>
      <c r="K27" s="141" t="e">
        <f ca="1">((绝对估值!$E$35+NPV($A27,绝对估值!$F$35:$G$35)+(绝对估值!$H$36+NPV($A27,绝对估值!$I$36:$K$36))/(1+$A27)^Estiyears+绝对估值!$K$36*(1+K$19)/($A27-K$19)/(1+$A27)^(Estiyears+Transeyear-1))/(1+$A27)^((DATE(EndYear,12,31)-EstiDate)/365)-绝对估值!$D$41)/绝对估值!$D$43*(unit/10000)</f>
        <v>#VALUE!</v>
      </c>
      <c r="L27" s="141" t="e">
        <f ca="1">((绝对估值!$E$35+NPV($A27,绝对估值!$F$35:$G$35)+(绝对估值!$H$36+NPV($A27,绝对估值!$I$36:$K$36))/(1+$A27)^Estiyears+绝对估值!$K$36*(1+L$19)/($A27-L$19)/(1+$A27)^(Estiyears+Transeyear-1))/(1+$A27)^((DATE(EndYear,12,31)-EstiDate)/365)-绝对估值!$D$41)/绝对估值!$D$43*(unit/10000)</f>
        <v>#VALUE!</v>
      </c>
    </row>
    <row r="28" spans="1:12" outlineLevel="1">
      <c r="A28" s="201">
        <f>A27*1.1</f>
        <v>0.15242412623733273</v>
      </c>
      <c r="B28" s="141" t="e">
        <f ca="1">((绝对估值!$E$35+NPV($A28,绝对估值!$F$35:$G$35)+(绝对估值!$H$36+NPV($A28,绝对估值!$I$36:$K$36))/(1+$A28)^Estiyears+绝对估值!$K$36*(1+B$19)/($A28-B$19)/(1+$A28)^(Estiyears+Transeyear-1))/(1+$A28)^((DATE(EndYear,12,31)-EstiDate)/365)-绝对估值!$D$41)/绝对估值!$D$43*(unit/10000)</f>
        <v>#VALUE!</v>
      </c>
      <c r="C28" s="141" t="e">
        <f ca="1">((绝对估值!$E$35+NPV($A28,绝对估值!$F$35:$G$35)+(绝对估值!$H$36+NPV($A28,绝对估值!$I$36:$K$36))/(1+$A28)^Estiyears+绝对估值!$K$36*(1+C$19)/($A28-C$19)/(1+$A28)^(Estiyears+Transeyear-1))/(1+$A28)^((DATE(EndYear,12,31)-EstiDate)/365)-绝对估值!$D$41)/绝对估值!$D$43*(unit/10000)</f>
        <v>#VALUE!</v>
      </c>
      <c r="D28" s="141" t="e">
        <f ca="1">((绝对估值!$E$35+NPV($A28,绝对估值!$F$35:$G$35)+(绝对估值!$H$36+NPV($A28,绝对估值!$I$36:$K$36))/(1+$A28)^Estiyears+绝对估值!$K$36*(1+D$19)/($A28-D$19)/(1+$A28)^(Estiyears+Transeyear-1))/(1+$A28)^((DATE(EndYear,12,31)-EstiDate)/365)-绝对估值!$D$41)/绝对估值!$D$43*(unit/10000)</f>
        <v>#VALUE!</v>
      </c>
      <c r="E28" s="141" t="e">
        <f ca="1">((绝对估值!$E$35+NPV($A28,绝对估值!$F$35:$G$35)+(绝对估值!$H$36+NPV($A28,绝对估值!$I$36:$K$36))/(1+$A28)^Estiyears+绝对估值!$K$36*(1+E$19)/($A28-E$19)/(1+$A28)^(Estiyears+Transeyear-1))/(1+$A28)^((DATE(EndYear,12,31)-EstiDate)/365)-绝对估值!$D$41)/绝对估值!$D$43*(unit/10000)</f>
        <v>#VALUE!</v>
      </c>
      <c r="F28" s="141" t="e">
        <f ca="1">((绝对估值!$E$35+NPV($A28,绝对估值!$F$35:$G$35)+(绝对估值!$H$36+NPV($A28,绝对估值!$I$36:$K$36))/(1+$A28)^Estiyears+绝对估值!$K$36*(1+F$19)/($A28-F$19)/(1+$A28)^(Estiyears+Transeyear-1))/(1+$A28)^((DATE(EndYear,12,31)-EstiDate)/365)-绝对估值!$D$41)/绝对估值!$D$43*(unit/10000)</f>
        <v>#VALUE!</v>
      </c>
      <c r="G28" s="141" t="e">
        <f ca="1">((绝对估值!$E$35+NPV($A28,绝对估值!$F$35:$G$35)+(绝对估值!$H$36+NPV($A28,绝对估值!$I$36:$K$36))/(1+$A28)^Estiyears+绝对估值!$K$36*(1+G$19)/($A28-G$19)/(1+$A28)^(Estiyears+Transeyear-1))/(1+$A28)^((DATE(EndYear,12,31)-EstiDate)/365)-绝对估值!$D$41)/绝对估值!$D$43*(unit/10000)</f>
        <v>#VALUE!</v>
      </c>
      <c r="H28" s="141" t="e">
        <f ca="1">((绝对估值!$E$35+NPV($A28,绝对估值!$F$35:$G$35)+(绝对估值!$H$36+NPV($A28,绝对估值!$I$36:$K$36))/(1+$A28)^Estiyears+绝对估值!$K$36*(1+H$19)/($A28-H$19)/(1+$A28)^(Estiyears+Transeyear-1))/(1+$A28)^((DATE(EndYear,12,31)-EstiDate)/365)-绝对估值!$D$41)/绝对估值!$D$43*(unit/10000)</f>
        <v>#VALUE!</v>
      </c>
      <c r="I28" s="141" t="e">
        <f ca="1">((绝对估值!$E$35+NPV($A28,绝对估值!$F$35:$G$35)+(绝对估值!$H$36+NPV($A28,绝对估值!$I$36:$K$36))/(1+$A28)^Estiyears+绝对估值!$K$36*(1+I$19)/($A28-I$19)/(1+$A28)^(Estiyears+Transeyear-1))/(1+$A28)^((DATE(EndYear,12,31)-EstiDate)/365)-绝对估值!$D$41)/绝对估值!$D$43*(unit/10000)</f>
        <v>#VALUE!</v>
      </c>
      <c r="J28" s="141" t="e">
        <f ca="1">((绝对估值!$E$35+NPV($A28,绝对估值!$F$35:$G$35)+(绝对估值!$H$36+NPV($A28,绝对估值!$I$36:$K$36))/(1+$A28)^Estiyears+绝对估值!$K$36*(1+J$19)/($A28-J$19)/(1+$A28)^(Estiyears+Transeyear-1))/(1+$A28)^((DATE(EndYear,12,31)-EstiDate)/365)-绝对估值!$D$41)/绝对估值!$D$43*(unit/10000)</f>
        <v>#VALUE!</v>
      </c>
      <c r="K28" s="141" t="e">
        <f ca="1">((绝对估值!$E$35+NPV($A28,绝对估值!$F$35:$G$35)+(绝对估值!$H$36+NPV($A28,绝对估值!$I$36:$K$36))/(1+$A28)^Estiyears+绝对估值!$K$36*(1+K$19)/($A28-K$19)/(1+$A28)^(Estiyears+Transeyear-1))/(1+$A28)^((DATE(EndYear,12,31)-EstiDate)/365)-绝对估值!$D$41)/绝对估值!$D$43*(unit/10000)</f>
        <v>#VALUE!</v>
      </c>
      <c r="L28" s="141" t="e">
        <f ca="1">((绝对估值!$E$35+NPV($A28,绝对估值!$F$35:$G$35)+(绝对估值!$H$36+NPV($A28,绝对估值!$I$36:$K$36))/(1+$A28)^Estiyears+绝对估值!$K$36*(1+L$19)/($A28-L$19)/(1+$A28)^(Estiyears+Transeyear-1))/(1+$A28)^((DATE(EndYear,12,31)-EstiDate)/365)-绝对估值!$D$41)/绝对估值!$D$43*(unit/10000)</f>
        <v>#VALUE!</v>
      </c>
    </row>
    <row r="29" spans="1:12" outlineLevel="1">
      <c r="A29" s="201">
        <f>A28*1.1</f>
        <v>0.16766653886106603</v>
      </c>
      <c r="B29" s="141" t="e">
        <f ca="1">((绝对估值!$E$35+NPV($A29,绝对估值!$F$35:$G$35)+(绝对估值!$H$36+NPV($A29,绝对估值!$I$36:$K$36))/(1+$A29)^Estiyears+绝对估值!$K$36*(1+B$19)/($A29-B$19)/(1+$A29)^(Estiyears+Transeyear-1))/(1+$A29)^((DATE(EndYear,12,31)-EstiDate)/365)-绝对估值!$D$41)/绝对估值!$D$43*(unit/10000)</f>
        <v>#VALUE!</v>
      </c>
      <c r="C29" s="141" t="e">
        <f ca="1">((绝对估值!$E$35+NPV($A29,绝对估值!$F$35:$G$35)+(绝对估值!$H$36+NPV($A29,绝对估值!$I$36:$K$36))/(1+$A29)^Estiyears+绝对估值!$K$36*(1+C$19)/($A29-C$19)/(1+$A29)^(Estiyears+Transeyear-1))/(1+$A29)^((DATE(EndYear,12,31)-EstiDate)/365)-绝对估值!$D$41)/绝对估值!$D$43*(unit/10000)</f>
        <v>#VALUE!</v>
      </c>
      <c r="D29" s="141" t="e">
        <f ca="1">((绝对估值!$E$35+NPV($A29,绝对估值!$F$35:$G$35)+(绝对估值!$H$36+NPV($A29,绝对估值!$I$36:$K$36))/(1+$A29)^Estiyears+绝对估值!$K$36*(1+D$19)/($A29-D$19)/(1+$A29)^(Estiyears+Transeyear-1))/(1+$A29)^((DATE(EndYear,12,31)-EstiDate)/365)-绝对估值!$D$41)/绝对估值!$D$43*(unit/10000)</f>
        <v>#VALUE!</v>
      </c>
      <c r="E29" s="141" t="e">
        <f ca="1">((绝对估值!$E$35+NPV($A29,绝对估值!$F$35:$G$35)+(绝对估值!$H$36+NPV($A29,绝对估值!$I$36:$K$36))/(1+$A29)^Estiyears+绝对估值!$K$36*(1+E$19)/($A29-E$19)/(1+$A29)^(Estiyears+Transeyear-1))/(1+$A29)^((DATE(EndYear,12,31)-EstiDate)/365)-绝对估值!$D$41)/绝对估值!$D$43*(unit/10000)</f>
        <v>#VALUE!</v>
      </c>
      <c r="F29" s="141" t="e">
        <f ca="1">((绝对估值!$E$35+NPV($A29,绝对估值!$F$35:$G$35)+(绝对估值!$H$36+NPV($A29,绝对估值!$I$36:$K$36))/(1+$A29)^Estiyears+绝对估值!$K$36*(1+F$19)/($A29-F$19)/(1+$A29)^(Estiyears+Transeyear-1))/(1+$A29)^((DATE(EndYear,12,31)-EstiDate)/365)-绝对估值!$D$41)/绝对估值!$D$43*(unit/10000)</f>
        <v>#VALUE!</v>
      </c>
      <c r="G29" s="141" t="e">
        <f ca="1">((绝对估值!$E$35+NPV($A29,绝对估值!$F$35:$G$35)+(绝对估值!$H$36+NPV($A29,绝对估值!$I$36:$K$36))/(1+$A29)^Estiyears+绝对估值!$K$36*(1+G$19)/($A29-G$19)/(1+$A29)^(Estiyears+Transeyear-1))/(1+$A29)^((DATE(EndYear,12,31)-EstiDate)/365)-绝对估值!$D$41)/绝对估值!$D$43*(unit/10000)</f>
        <v>#VALUE!</v>
      </c>
      <c r="H29" s="141" t="e">
        <f ca="1">((绝对估值!$E$35+NPV($A29,绝对估值!$F$35:$G$35)+(绝对估值!$H$36+NPV($A29,绝对估值!$I$36:$K$36))/(1+$A29)^Estiyears+绝对估值!$K$36*(1+H$19)/($A29-H$19)/(1+$A29)^(Estiyears+Transeyear-1))/(1+$A29)^((DATE(EndYear,12,31)-EstiDate)/365)-绝对估值!$D$41)/绝对估值!$D$43*(unit/10000)</f>
        <v>#VALUE!</v>
      </c>
      <c r="I29" s="141" t="e">
        <f ca="1">((绝对估值!$E$35+NPV($A29,绝对估值!$F$35:$G$35)+(绝对估值!$H$36+NPV($A29,绝对估值!$I$36:$K$36))/(1+$A29)^Estiyears+绝对估值!$K$36*(1+I$19)/($A29-I$19)/(1+$A29)^(Estiyears+Transeyear-1))/(1+$A29)^((DATE(EndYear,12,31)-EstiDate)/365)-绝对估值!$D$41)/绝对估值!$D$43*(unit/10000)</f>
        <v>#VALUE!</v>
      </c>
      <c r="J29" s="141" t="e">
        <f ca="1">((绝对估值!$E$35+NPV($A29,绝对估值!$F$35:$G$35)+(绝对估值!$H$36+NPV($A29,绝对估值!$I$36:$K$36))/(1+$A29)^Estiyears+绝对估值!$K$36*(1+J$19)/($A29-J$19)/(1+$A29)^(Estiyears+Transeyear-1))/(1+$A29)^((DATE(EndYear,12,31)-EstiDate)/365)-绝对估值!$D$41)/绝对估值!$D$43*(unit/10000)</f>
        <v>#VALUE!</v>
      </c>
      <c r="K29" s="141" t="e">
        <f ca="1">((绝对估值!$E$35+NPV($A29,绝对估值!$F$35:$G$35)+(绝对估值!$H$36+NPV($A29,绝对估值!$I$36:$K$36))/(1+$A29)^Estiyears+绝对估值!$K$36*(1+K$19)/($A29-K$19)/(1+$A29)^(Estiyears+Transeyear-1))/(1+$A29)^((DATE(EndYear,12,31)-EstiDate)/365)-绝对估值!$D$41)/绝对估值!$D$43*(unit/10000)</f>
        <v>#VALUE!</v>
      </c>
      <c r="L29" s="141" t="e">
        <f ca="1">((绝对估值!$E$35+NPV($A29,绝对估值!$F$35:$G$35)+(绝对估值!$H$36+NPV($A29,绝对估值!$I$36:$K$36))/(1+$A29)^Estiyears+绝对估值!$K$36*(1+L$19)/($A29-L$19)/(1+$A29)^(Estiyears+Transeyear-1))/(1+$A29)^((DATE(EndYear,12,31)-EstiDate)/365)-绝对估值!$D$41)/绝对估值!$D$43*(unit/10000)</f>
        <v>#VALUE!</v>
      </c>
    </row>
    <row r="30" spans="1:12" outlineLevel="1">
      <c r="A30" s="201">
        <f>A29*1.1</f>
        <v>0.18443319274717265</v>
      </c>
      <c r="B30" s="141" t="e">
        <f ca="1">((绝对估值!$E$35+NPV($A30,绝对估值!$F$35:$G$35)+(绝对估值!$H$36+NPV($A30,绝对估值!$I$36:$K$36))/(1+$A30)^Estiyears+绝对估值!$K$36*(1+B$19)/($A30-B$19)/(1+$A30)^(Estiyears+Transeyear-1))/(1+$A30)^((DATE(EndYear,12,31)-EstiDate)/365)-绝对估值!$D$41)/绝对估值!$D$43*(unit/10000)</f>
        <v>#VALUE!</v>
      </c>
      <c r="C30" s="141" t="e">
        <f ca="1">((绝对估值!$E$35+NPV($A30,绝对估值!$F$35:$G$35)+(绝对估值!$H$36+NPV($A30,绝对估值!$I$36:$K$36))/(1+$A30)^Estiyears+绝对估值!$K$36*(1+C$19)/($A30-C$19)/(1+$A30)^(Estiyears+Transeyear-1))/(1+$A30)^((DATE(EndYear,12,31)-EstiDate)/365)-绝对估值!$D$41)/绝对估值!$D$43*(unit/10000)</f>
        <v>#VALUE!</v>
      </c>
      <c r="D30" s="141" t="e">
        <f ca="1">((绝对估值!$E$35+NPV($A30,绝对估值!$F$35:$G$35)+(绝对估值!$H$36+NPV($A30,绝对估值!$I$36:$K$36))/(1+$A30)^Estiyears+绝对估值!$K$36*(1+D$19)/($A30-D$19)/(1+$A30)^(Estiyears+Transeyear-1))/(1+$A30)^((DATE(EndYear,12,31)-EstiDate)/365)-绝对估值!$D$41)/绝对估值!$D$43*(unit/10000)</f>
        <v>#VALUE!</v>
      </c>
      <c r="E30" s="141" t="e">
        <f ca="1">((绝对估值!$E$35+NPV($A30,绝对估值!$F$35:$G$35)+(绝对估值!$H$36+NPV($A30,绝对估值!$I$36:$K$36))/(1+$A30)^Estiyears+绝对估值!$K$36*(1+E$19)/($A30-E$19)/(1+$A30)^(Estiyears+Transeyear-1))/(1+$A30)^((DATE(EndYear,12,31)-EstiDate)/365)-绝对估值!$D$41)/绝对估值!$D$43*(unit/10000)</f>
        <v>#VALUE!</v>
      </c>
      <c r="F30" s="141" t="e">
        <f ca="1">((绝对估值!$E$35+NPV($A30,绝对估值!$F$35:$G$35)+(绝对估值!$H$36+NPV($A30,绝对估值!$I$36:$K$36))/(1+$A30)^Estiyears+绝对估值!$K$36*(1+F$19)/($A30-F$19)/(1+$A30)^(Estiyears+Transeyear-1))/(1+$A30)^((DATE(EndYear,12,31)-EstiDate)/365)-绝对估值!$D$41)/绝对估值!$D$43*(unit/10000)</f>
        <v>#VALUE!</v>
      </c>
      <c r="G30" s="141" t="e">
        <f ca="1">((绝对估值!$E$35+NPV($A30,绝对估值!$F$35:$G$35)+(绝对估值!$H$36+NPV($A30,绝对估值!$I$36:$K$36))/(1+$A30)^Estiyears+绝对估值!$K$36*(1+G$19)/($A30-G$19)/(1+$A30)^(Estiyears+Transeyear-1))/(1+$A30)^((DATE(EndYear,12,31)-EstiDate)/365)-绝对估值!$D$41)/绝对估值!$D$43*(unit/10000)</f>
        <v>#VALUE!</v>
      </c>
      <c r="H30" s="141" t="e">
        <f ca="1">((绝对估值!$E$35+NPV($A30,绝对估值!$F$35:$G$35)+(绝对估值!$H$36+NPV($A30,绝对估值!$I$36:$K$36))/(1+$A30)^Estiyears+绝对估值!$K$36*(1+H$19)/($A30-H$19)/(1+$A30)^(Estiyears+Transeyear-1))/(1+$A30)^((DATE(EndYear,12,31)-EstiDate)/365)-绝对估值!$D$41)/绝对估值!$D$43*(unit/10000)</f>
        <v>#VALUE!</v>
      </c>
      <c r="I30" s="141" t="e">
        <f ca="1">((绝对估值!$E$35+NPV($A30,绝对估值!$F$35:$G$35)+(绝对估值!$H$36+NPV($A30,绝对估值!$I$36:$K$36))/(1+$A30)^Estiyears+绝对估值!$K$36*(1+I$19)/($A30-I$19)/(1+$A30)^(Estiyears+Transeyear-1))/(1+$A30)^((DATE(EndYear,12,31)-EstiDate)/365)-绝对估值!$D$41)/绝对估值!$D$43*(unit/10000)</f>
        <v>#VALUE!</v>
      </c>
      <c r="J30" s="141" t="e">
        <f ca="1">((绝对估值!$E$35+NPV($A30,绝对估值!$F$35:$G$35)+(绝对估值!$H$36+NPV($A30,绝对估值!$I$36:$K$36))/(1+$A30)^Estiyears+绝对估值!$K$36*(1+J$19)/($A30-J$19)/(1+$A30)^(Estiyears+Transeyear-1))/(1+$A30)^((DATE(EndYear,12,31)-EstiDate)/365)-绝对估值!$D$41)/绝对估值!$D$43*(unit/10000)</f>
        <v>#VALUE!</v>
      </c>
      <c r="K30" s="141" t="e">
        <f ca="1">((绝对估值!$E$35+NPV($A30,绝对估值!$F$35:$G$35)+(绝对估值!$H$36+NPV($A30,绝对估值!$I$36:$K$36))/(1+$A30)^Estiyears+绝对估值!$K$36*(1+K$19)/($A30-K$19)/(1+$A30)^(Estiyears+Transeyear-1))/(1+$A30)^((DATE(EndYear,12,31)-EstiDate)/365)-绝对估值!$D$41)/绝对估值!$D$43*(unit/10000)</f>
        <v>#VALUE!</v>
      </c>
      <c r="L30" s="141" t="e">
        <f ca="1">((绝对估值!$E$35+NPV($A30,绝对估值!$F$35:$G$35)+(绝对估值!$H$36+NPV($A30,绝对估值!$I$36:$K$36))/(1+$A30)^Estiyears+绝对估值!$K$36*(1+L$19)/($A30-L$19)/(1+$A30)^(Estiyears+Transeyear-1))/(1+$A30)^((DATE(EndYear,12,31)-EstiDate)/365)-绝对估值!$D$41)/绝对估值!$D$43*(unit/10000)</f>
        <v>#VALUE!</v>
      </c>
    </row>
    <row r="32" spans="1:12" ht="17.75">
      <c r="A32" s="1043" t="s">
        <v>1674</v>
      </c>
      <c r="B32" s="1043"/>
    </row>
    <row r="33" spans="1:12" outlineLevel="1">
      <c r="A33" s="1044" t="s">
        <v>1670</v>
      </c>
      <c r="B33" s="1044"/>
    </row>
    <row r="34" spans="1:12" ht="22.9" outlineLevel="1">
      <c r="A34" s="131" t="s">
        <v>1673</v>
      </c>
      <c r="B34" s="202">
        <f t="shared" ref="B34:L34" si="0">B19</f>
        <v>1.2418426461183098E-2</v>
      </c>
      <c r="C34" s="202">
        <f t="shared" si="0"/>
        <v>1.366026910730141E-2</v>
      </c>
      <c r="D34" s="202">
        <f t="shared" si="0"/>
        <v>1.5026296018031552E-2</v>
      </c>
      <c r="E34" s="202">
        <f t="shared" si="0"/>
        <v>1.6528925619834708E-2</v>
      </c>
      <c r="F34" s="202">
        <f t="shared" si="0"/>
        <v>1.8181818181818181E-2</v>
      </c>
      <c r="G34" s="202">
        <f t="shared" si="0"/>
        <v>0.02</v>
      </c>
      <c r="H34" s="202">
        <f t="shared" si="0"/>
        <v>2.2000000000000002E-2</v>
      </c>
      <c r="I34" s="202">
        <f t="shared" si="0"/>
        <v>2.4200000000000003E-2</v>
      </c>
      <c r="J34" s="202">
        <f t="shared" si="0"/>
        <v>2.6620000000000005E-2</v>
      </c>
      <c r="K34" s="202">
        <f t="shared" si="0"/>
        <v>2.9282000000000006E-2</v>
      </c>
      <c r="L34" s="202">
        <f t="shared" si="0"/>
        <v>3.2210200000000008E-2</v>
      </c>
    </row>
    <row r="35" spans="1:12" outlineLevel="1">
      <c r="A35" s="201">
        <f t="shared" ref="A35:A45" si="1">A20</f>
        <v>7.1106979811735735E-2</v>
      </c>
      <c r="B35" s="203" t="e">
        <f ca="1">((绝对估值!$E$47+NPV($A35,绝对估值!$F$47:$G$47)+(绝对估值!$H$48+NPV($A35,绝对估值!$I$48:$K$48))/(1+$A35)^Estiyears+绝对估值!$K$48*(1+B$34)/($A35-B$34)/(1+$A35)^(Estiyears+Transeyear-1))/(1+$A35)^((DATE(EndYear,12,31)-EstiDate)/365))/绝对估值!$D$53*(unit/10000)</f>
        <v>#VALUE!</v>
      </c>
      <c r="C35" s="203" t="e">
        <f ca="1">((绝对估值!$E$47+NPV($A35,绝对估值!$F$47:$G$47)+(绝对估值!$H$48+NPV($A35,绝对估值!$I$48:$K$48))/(1+$A35)^Estiyears+绝对估值!$K$48*(1+C$34)/($A35-C$34)/(1+$A35)^(Estiyears+Transeyear-1))/(1+$A35)^((DATE(EndYear,12,31)-EstiDate)/365))/绝对估值!$D$53*(unit/10000)</f>
        <v>#VALUE!</v>
      </c>
      <c r="D35" s="203" t="e">
        <f ca="1">((绝对估值!$E$47+NPV($A35,绝对估值!$F$47:$G$47)+(绝对估值!$H$48+NPV($A35,绝对估值!$I$48:$K$48))/(1+$A35)^Estiyears+绝对估值!$K$48*(1+D$34)/($A35-D$34)/(1+$A35)^(Estiyears+Transeyear-1))/(1+$A35)^((DATE(EndYear,12,31)-EstiDate)/365))/绝对估值!$D$53*(unit/10000)</f>
        <v>#VALUE!</v>
      </c>
      <c r="E35" s="203" t="e">
        <f ca="1">((绝对估值!$E$47+NPV($A35,绝对估值!$F$47:$G$47)+(绝对估值!$H$48+NPV($A35,绝对估值!$I$48:$K$48))/(1+$A35)^Estiyears+绝对估值!$K$48*(1+E$34)/($A35-E$34)/(1+$A35)^(Estiyears+Transeyear-1))/(1+$A35)^((DATE(EndYear,12,31)-EstiDate)/365))/绝对估值!$D$53*(unit/10000)</f>
        <v>#VALUE!</v>
      </c>
      <c r="F35" s="203" t="e">
        <f ca="1">((绝对估值!$E$47+NPV($A35,绝对估值!$F$47:$G$47)+(绝对估值!$H$48+NPV($A35,绝对估值!$I$48:$K$48))/(1+$A35)^Estiyears+绝对估值!$K$48*(1+F$34)/($A35-F$34)/(1+$A35)^(Estiyears+Transeyear-1))/(1+$A35)^((DATE(EndYear,12,31)-EstiDate)/365))/绝对估值!$D$53*(unit/10000)</f>
        <v>#VALUE!</v>
      </c>
      <c r="G35" s="203" t="e">
        <f ca="1">((绝对估值!$E$47+NPV($A35,绝对估值!$F$47:$G$47)+(绝对估值!$H$48+NPV($A35,绝对估值!$I$48:$K$48))/(1+$A35)^Estiyears+绝对估值!$K$48*(1+G$34)/($A35-G$34)/(1+$A35)^(Estiyears+Transeyear-1))/(1+$A35)^((DATE(EndYear,12,31)-EstiDate)/365))/绝对估值!$D$53*(unit/10000)</f>
        <v>#VALUE!</v>
      </c>
      <c r="H35" s="203" t="e">
        <f ca="1">((绝对估值!$E$47+NPV($A35,绝对估值!$F$47:$G$47)+(绝对估值!$H$48+NPV($A35,绝对估值!$I$48:$K$48))/(1+$A35)^Estiyears+绝对估值!$K$48*(1+H$34)/($A35-H$34)/(1+$A35)^(Estiyears+Transeyear-1))/(1+$A35)^((DATE(EndYear,12,31)-EstiDate)/365))/绝对估值!$D$53*(unit/10000)</f>
        <v>#VALUE!</v>
      </c>
      <c r="I35" s="203" t="e">
        <f ca="1">((绝对估值!$E$47+NPV($A35,绝对估值!$F$47:$G$47)+(绝对估值!$H$48+NPV($A35,绝对估值!$I$48:$K$48))/(1+$A35)^Estiyears+绝对估值!$K$48*(1+I$34)/($A35-I$34)/(1+$A35)^(Estiyears+Transeyear-1))/(1+$A35)^((DATE(EndYear,12,31)-EstiDate)/365))/绝对估值!$D$53*(unit/10000)</f>
        <v>#VALUE!</v>
      </c>
      <c r="J35" s="203" t="e">
        <f ca="1">((绝对估值!$E$47+NPV($A35,绝对估值!$F$47:$G$47)+(绝对估值!$H$48+NPV($A35,绝对估值!$I$48:$K$48))/(1+$A35)^Estiyears+绝对估值!$K$48*(1+J$34)/($A35-J$34)/(1+$A35)^(Estiyears+Transeyear-1))/(1+$A35)^((DATE(EndYear,12,31)-EstiDate)/365))/绝对估值!$D$53*(unit/10000)</f>
        <v>#VALUE!</v>
      </c>
      <c r="K35" s="203" t="e">
        <f ca="1">((绝对估值!$E$47+NPV($A35,绝对估值!$F$47:$G$47)+(绝对估值!$H$48+NPV($A35,绝对估值!$I$48:$K$48))/(1+$A35)^Estiyears+绝对估值!$K$48*(1+K$34)/($A35-K$34)/(1+$A35)^(Estiyears+Transeyear-1))/(1+$A35)^((DATE(EndYear,12,31)-EstiDate)/365))/绝对估值!$D$53*(unit/10000)</f>
        <v>#VALUE!</v>
      </c>
      <c r="L35" s="203" t="e">
        <f ca="1">((绝对估值!$E$47+NPV($A35,绝对估值!$F$47:$G$47)+(绝对估值!$H$48+NPV($A35,绝对估值!$I$48:$K$48))/(1+$A35)^Estiyears+绝对估值!$K$48*(1+L$34)/($A35-L$34)/(1+$A35)^(Estiyears+Transeyear-1))/(1+$A35)^((DATE(EndYear,12,31)-EstiDate)/365))/绝对估值!$D$53*(unit/10000)</f>
        <v>#VALUE!</v>
      </c>
    </row>
    <row r="36" spans="1:12" outlineLevel="1">
      <c r="A36" s="201">
        <f t="shared" si="1"/>
        <v>7.8217677792909321E-2</v>
      </c>
      <c r="B36" s="203" t="e">
        <f ca="1">((绝对估值!$E$47+NPV($A36,绝对估值!$F$47:$G$47)+(绝对估值!$H$48+NPV($A36,绝对估值!$I$48:$K$48))/(1+$A36)^Estiyears+绝对估值!$K$48*(1+B$34)/($A36-B$34)/(1+$A36)^(Estiyears+Transeyear-1))/(1+$A36)^((DATE(EndYear,12,31)-EstiDate)/365))/绝对估值!$D$53*(unit/10000)</f>
        <v>#VALUE!</v>
      </c>
      <c r="C36" s="203" t="e">
        <f ca="1">((绝对估值!$E$47+NPV($A36,绝对估值!$F$47:$G$47)+(绝对估值!$H$48+NPV($A36,绝对估值!$I$48:$K$48))/(1+$A36)^Estiyears+绝对估值!$K$48*(1+C$34)/($A36-C$34)/(1+$A36)^(Estiyears+Transeyear-1))/(1+$A36)^((DATE(EndYear,12,31)-EstiDate)/365))/绝对估值!$D$53*(unit/10000)</f>
        <v>#VALUE!</v>
      </c>
      <c r="D36" s="203" t="e">
        <f ca="1">((绝对估值!$E$47+NPV($A36,绝对估值!$F$47:$G$47)+(绝对估值!$H$48+NPV($A36,绝对估值!$I$48:$K$48))/(1+$A36)^Estiyears+绝对估值!$K$48*(1+D$34)/($A36-D$34)/(1+$A36)^(Estiyears+Transeyear-1))/(1+$A36)^((DATE(EndYear,12,31)-EstiDate)/365))/绝对估值!$D$53*(unit/10000)</f>
        <v>#VALUE!</v>
      </c>
      <c r="E36" s="203" t="e">
        <f ca="1">((绝对估值!$E$47+NPV($A36,绝对估值!$F$47:$G$47)+(绝对估值!$H$48+NPV($A36,绝对估值!$I$48:$K$48))/(1+$A36)^Estiyears+绝对估值!$K$48*(1+E$34)/($A36-E$34)/(1+$A36)^(Estiyears+Transeyear-1))/(1+$A36)^((DATE(EndYear,12,31)-EstiDate)/365))/绝对估值!$D$53*(unit/10000)</f>
        <v>#VALUE!</v>
      </c>
      <c r="F36" s="203" t="e">
        <f ca="1">((绝对估值!$E$47+NPV($A36,绝对估值!$F$47:$G$47)+(绝对估值!$H$48+NPV($A36,绝对估值!$I$48:$K$48))/(1+$A36)^Estiyears+绝对估值!$K$48*(1+F$34)/($A36-F$34)/(1+$A36)^(Estiyears+Transeyear-1))/(1+$A36)^((DATE(EndYear,12,31)-EstiDate)/365))/绝对估值!$D$53*(unit/10000)</f>
        <v>#VALUE!</v>
      </c>
      <c r="G36" s="203" t="e">
        <f ca="1">((绝对估值!$E$47+NPV($A36,绝对估值!$F$47:$G$47)+(绝对估值!$H$48+NPV($A36,绝对估值!$I$48:$K$48))/(1+$A36)^Estiyears+绝对估值!$K$48*(1+G$34)/($A36-G$34)/(1+$A36)^(Estiyears+Transeyear-1))/(1+$A36)^((DATE(EndYear,12,31)-EstiDate)/365))/绝对估值!$D$53*(unit/10000)</f>
        <v>#VALUE!</v>
      </c>
      <c r="H36" s="203" t="e">
        <f ca="1">((绝对估值!$E$47+NPV($A36,绝对估值!$F$47:$G$47)+(绝对估值!$H$48+NPV($A36,绝对估值!$I$48:$K$48))/(1+$A36)^Estiyears+绝对估值!$K$48*(1+H$34)/($A36-H$34)/(1+$A36)^(Estiyears+Transeyear-1))/(1+$A36)^((DATE(EndYear,12,31)-EstiDate)/365))/绝对估值!$D$53*(unit/10000)</f>
        <v>#VALUE!</v>
      </c>
      <c r="I36" s="203" t="e">
        <f ca="1">((绝对估值!$E$47+NPV($A36,绝对估值!$F$47:$G$47)+(绝对估值!$H$48+NPV($A36,绝对估值!$I$48:$K$48))/(1+$A36)^Estiyears+绝对估值!$K$48*(1+I$34)/($A36-I$34)/(1+$A36)^(Estiyears+Transeyear-1))/(1+$A36)^((DATE(EndYear,12,31)-EstiDate)/365))/绝对估值!$D$53*(unit/10000)</f>
        <v>#VALUE!</v>
      </c>
      <c r="J36" s="203" t="e">
        <f ca="1">((绝对估值!$E$47+NPV($A36,绝对估值!$F$47:$G$47)+(绝对估值!$H$48+NPV($A36,绝对估值!$I$48:$K$48))/(1+$A36)^Estiyears+绝对估值!$K$48*(1+J$34)/($A36-J$34)/(1+$A36)^(Estiyears+Transeyear-1))/(1+$A36)^((DATE(EndYear,12,31)-EstiDate)/365))/绝对估值!$D$53*(unit/10000)</f>
        <v>#VALUE!</v>
      </c>
      <c r="K36" s="203" t="e">
        <f ca="1">((绝对估值!$E$47+NPV($A36,绝对估值!$F$47:$G$47)+(绝对估值!$H$48+NPV($A36,绝对估值!$I$48:$K$48))/(1+$A36)^Estiyears+绝对估值!$K$48*(1+K$34)/($A36-K$34)/(1+$A36)^(Estiyears+Transeyear-1))/(1+$A36)^((DATE(EndYear,12,31)-EstiDate)/365))/绝对估值!$D$53*(unit/10000)</f>
        <v>#VALUE!</v>
      </c>
      <c r="L36" s="203" t="e">
        <f ca="1">((绝对估值!$E$47+NPV($A36,绝对估值!$F$47:$G$47)+(绝对估值!$H$48+NPV($A36,绝对估值!$I$48:$K$48))/(1+$A36)^Estiyears+绝对估值!$K$48*(1+L$34)/($A36-L$34)/(1+$A36)^(Estiyears+Transeyear-1))/(1+$A36)^((DATE(EndYear,12,31)-EstiDate)/365))/绝对估值!$D$53*(unit/10000)</f>
        <v>#VALUE!</v>
      </c>
    </row>
    <row r="37" spans="1:12" outlineLevel="1">
      <c r="A37" s="201">
        <f t="shared" si="1"/>
        <v>8.6039445572200265E-2</v>
      </c>
      <c r="B37" s="203" t="e">
        <f ca="1">((绝对估值!$E$47+NPV($A37,绝对估值!$F$47:$G$47)+(绝对估值!$H$48+NPV($A37,绝对估值!$I$48:$K$48))/(1+$A37)^Estiyears+绝对估值!$K$48*(1+B$34)/($A37-B$34)/(1+$A37)^(Estiyears+Transeyear-1))/(1+$A37)^((DATE(EndYear,12,31)-EstiDate)/365))/绝对估值!$D$53*(unit/10000)</f>
        <v>#VALUE!</v>
      </c>
      <c r="C37" s="203" t="e">
        <f ca="1">((绝对估值!$E$47+NPV($A37,绝对估值!$F$47:$G$47)+(绝对估值!$H$48+NPV($A37,绝对估值!$I$48:$K$48))/(1+$A37)^Estiyears+绝对估值!$K$48*(1+C$34)/($A37-C$34)/(1+$A37)^(Estiyears+Transeyear-1))/(1+$A37)^((DATE(EndYear,12,31)-EstiDate)/365))/绝对估值!$D$53*(unit/10000)</f>
        <v>#VALUE!</v>
      </c>
      <c r="D37" s="203" t="e">
        <f ca="1">((绝对估值!$E$47+NPV($A37,绝对估值!$F$47:$G$47)+(绝对估值!$H$48+NPV($A37,绝对估值!$I$48:$K$48))/(1+$A37)^Estiyears+绝对估值!$K$48*(1+D$34)/($A37-D$34)/(1+$A37)^(Estiyears+Transeyear-1))/(1+$A37)^((DATE(EndYear,12,31)-EstiDate)/365))/绝对估值!$D$53*(unit/10000)</f>
        <v>#VALUE!</v>
      </c>
      <c r="E37" s="203" t="e">
        <f ca="1">((绝对估值!$E$47+NPV($A37,绝对估值!$F$47:$G$47)+(绝对估值!$H$48+NPV($A37,绝对估值!$I$48:$K$48))/(1+$A37)^Estiyears+绝对估值!$K$48*(1+E$34)/($A37-E$34)/(1+$A37)^(Estiyears+Transeyear-1))/(1+$A37)^((DATE(EndYear,12,31)-EstiDate)/365))/绝对估值!$D$53*(unit/10000)</f>
        <v>#VALUE!</v>
      </c>
      <c r="F37" s="203" t="e">
        <f ca="1">((绝对估值!$E$47+NPV($A37,绝对估值!$F$47:$G$47)+(绝对估值!$H$48+NPV($A37,绝对估值!$I$48:$K$48))/(1+$A37)^Estiyears+绝对估值!$K$48*(1+F$34)/($A37-F$34)/(1+$A37)^(Estiyears+Transeyear-1))/(1+$A37)^((DATE(EndYear,12,31)-EstiDate)/365))/绝对估值!$D$53*(unit/10000)</f>
        <v>#VALUE!</v>
      </c>
      <c r="G37" s="203" t="e">
        <f ca="1">((绝对估值!$E$47+NPV($A37,绝对估值!$F$47:$G$47)+(绝对估值!$H$48+NPV($A37,绝对估值!$I$48:$K$48))/(1+$A37)^Estiyears+绝对估值!$K$48*(1+G$34)/($A37-G$34)/(1+$A37)^(Estiyears+Transeyear-1))/(1+$A37)^((DATE(EndYear,12,31)-EstiDate)/365))/绝对估值!$D$53*(unit/10000)</f>
        <v>#VALUE!</v>
      </c>
      <c r="H37" s="203" t="e">
        <f ca="1">((绝对估值!$E$47+NPV($A37,绝对估值!$F$47:$G$47)+(绝对估值!$H$48+NPV($A37,绝对估值!$I$48:$K$48))/(1+$A37)^Estiyears+绝对估值!$K$48*(1+H$34)/($A37-H$34)/(1+$A37)^(Estiyears+Transeyear-1))/(1+$A37)^((DATE(EndYear,12,31)-EstiDate)/365))/绝对估值!$D$53*(unit/10000)</f>
        <v>#VALUE!</v>
      </c>
      <c r="I37" s="203" t="e">
        <f ca="1">((绝对估值!$E$47+NPV($A37,绝对估值!$F$47:$G$47)+(绝对估值!$H$48+NPV($A37,绝对估值!$I$48:$K$48))/(1+$A37)^Estiyears+绝对估值!$K$48*(1+I$34)/($A37-I$34)/(1+$A37)^(Estiyears+Transeyear-1))/(1+$A37)^((DATE(EndYear,12,31)-EstiDate)/365))/绝对估值!$D$53*(unit/10000)</f>
        <v>#VALUE!</v>
      </c>
      <c r="J37" s="203" t="e">
        <f ca="1">((绝对估值!$E$47+NPV($A37,绝对估值!$F$47:$G$47)+(绝对估值!$H$48+NPV($A37,绝对估值!$I$48:$K$48))/(1+$A37)^Estiyears+绝对估值!$K$48*(1+J$34)/($A37-J$34)/(1+$A37)^(Estiyears+Transeyear-1))/(1+$A37)^((DATE(EndYear,12,31)-EstiDate)/365))/绝对估值!$D$53*(unit/10000)</f>
        <v>#VALUE!</v>
      </c>
      <c r="K37" s="203" t="e">
        <f ca="1">((绝对估值!$E$47+NPV($A37,绝对估值!$F$47:$G$47)+(绝对估值!$H$48+NPV($A37,绝对估值!$I$48:$K$48))/(1+$A37)^Estiyears+绝对估值!$K$48*(1+K$34)/($A37-K$34)/(1+$A37)^(Estiyears+Transeyear-1))/(1+$A37)^((DATE(EndYear,12,31)-EstiDate)/365))/绝对估值!$D$53*(unit/10000)</f>
        <v>#VALUE!</v>
      </c>
      <c r="L37" s="203" t="e">
        <f ca="1">((绝对估值!$E$47+NPV($A37,绝对估值!$F$47:$G$47)+(绝对估值!$H$48+NPV($A37,绝对估值!$I$48:$K$48))/(1+$A37)^Estiyears+绝对估值!$K$48*(1+L$34)/($A37-L$34)/(1+$A37)^(Estiyears+Transeyear-1))/(1+$A37)^((DATE(EndYear,12,31)-EstiDate)/365))/绝对估值!$D$53*(unit/10000)</f>
        <v>#VALUE!</v>
      </c>
    </row>
    <row r="38" spans="1:12" outlineLevel="1">
      <c r="A38" s="201">
        <f t="shared" si="1"/>
        <v>9.4643390129420302E-2</v>
      </c>
      <c r="B38" s="203" t="e">
        <f ca="1">((绝对估值!$E$47+NPV($A38,绝对估值!$F$47:$G$47)+(绝对估值!$H$48+NPV($A38,绝对估值!$I$48:$K$48))/(1+$A38)^Estiyears+绝对估值!$K$48*(1+B$34)/($A38-B$34)/(1+$A38)^(Estiyears+Transeyear-1))/(1+$A38)^((DATE(EndYear,12,31)-EstiDate)/365))/绝对估值!$D$53*(unit/10000)</f>
        <v>#VALUE!</v>
      </c>
      <c r="C38" s="203" t="e">
        <f ca="1">((绝对估值!$E$47+NPV($A38,绝对估值!$F$47:$G$47)+(绝对估值!$H$48+NPV($A38,绝对估值!$I$48:$K$48))/(1+$A38)^Estiyears+绝对估值!$K$48*(1+C$34)/($A38-C$34)/(1+$A38)^(Estiyears+Transeyear-1))/(1+$A38)^((DATE(EndYear,12,31)-EstiDate)/365))/绝对估值!$D$53*(unit/10000)</f>
        <v>#VALUE!</v>
      </c>
      <c r="D38" s="203" t="e">
        <f ca="1">((绝对估值!$E$47+NPV($A38,绝对估值!$F$47:$G$47)+(绝对估值!$H$48+NPV($A38,绝对估值!$I$48:$K$48))/(1+$A38)^Estiyears+绝对估值!$K$48*(1+D$34)/($A38-D$34)/(1+$A38)^(Estiyears+Transeyear-1))/(1+$A38)^((DATE(EndYear,12,31)-EstiDate)/365))/绝对估值!$D$53*(unit/10000)</f>
        <v>#VALUE!</v>
      </c>
      <c r="E38" s="203" t="e">
        <f ca="1">((绝对估值!$E$47+NPV($A38,绝对估值!$F$47:$G$47)+(绝对估值!$H$48+NPV($A38,绝对估值!$I$48:$K$48))/(1+$A38)^Estiyears+绝对估值!$K$48*(1+E$34)/($A38-E$34)/(1+$A38)^(Estiyears+Transeyear-1))/(1+$A38)^((DATE(EndYear,12,31)-EstiDate)/365))/绝对估值!$D$53*(unit/10000)</f>
        <v>#VALUE!</v>
      </c>
      <c r="F38" s="203" t="e">
        <f ca="1">((绝对估值!$E$47+NPV($A38,绝对估值!$F$47:$G$47)+(绝对估值!$H$48+NPV($A38,绝对估值!$I$48:$K$48))/(1+$A38)^Estiyears+绝对估值!$K$48*(1+F$34)/($A38-F$34)/(1+$A38)^(Estiyears+Transeyear-1))/(1+$A38)^((DATE(EndYear,12,31)-EstiDate)/365))/绝对估值!$D$53*(unit/10000)</f>
        <v>#VALUE!</v>
      </c>
      <c r="G38" s="203" t="e">
        <f ca="1">((绝对估值!$E$47+NPV($A38,绝对估值!$F$47:$G$47)+(绝对估值!$H$48+NPV($A38,绝对估值!$I$48:$K$48))/(1+$A38)^Estiyears+绝对估值!$K$48*(1+G$34)/($A38-G$34)/(1+$A38)^(Estiyears+Transeyear-1))/(1+$A38)^((DATE(EndYear,12,31)-EstiDate)/365))/绝对估值!$D$53*(unit/10000)</f>
        <v>#VALUE!</v>
      </c>
      <c r="H38" s="203" t="e">
        <f ca="1">((绝对估值!$E$47+NPV($A38,绝对估值!$F$47:$G$47)+(绝对估值!$H$48+NPV($A38,绝对估值!$I$48:$K$48))/(1+$A38)^Estiyears+绝对估值!$K$48*(1+H$34)/($A38-H$34)/(1+$A38)^(Estiyears+Transeyear-1))/(1+$A38)^((DATE(EndYear,12,31)-EstiDate)/365))/绝对估值!$D$53*(unit/10000)</f>
        <v>#VALUE!</v>
      </c>
      <c r="I38" s="203" t="e">
        <f ca="1">((绝对估值!$E$47+NPV($A38,绝对估值!$F$47:$G$47)+(绝对估值!$H$48+NPV($A38,绝对估值!$I$48:$K$48))/(1+$A38)^Estiyears+绝对估值!$K$48*(1+I$34)/($A38-I$34)/(1+$A38)^(Estiyears+Transeyear-1))/(1+$A38)^((DATE(EndYear,12,31)-EstiDate)/365))/绝对估值!$D$53*(unit/10000)</f>
        <v>#VALUE!</v>
      </c>
      <c r="J38" s="203" t="e">
        <f ca="1">((绝对估值!$E$47+NPV($A38,绝对估值!$F$47:$G$47)+(绝对估值!$H$48+NPV($A38,绝对估值!$I$48:$K$48))/(1+$A38)^Estiyears+绝对估值!$K$48*(1+J$34)/($A38-J$34)/(1+$A38)^(Estiyears+Transeyear-1))/(1+$A38)^((DATE(EndYear,12,31)-EstiDate)/365))/绝对估值!$D$53*(unit/10000)</f>
        <v>#VALUE!</v>
      </c>
      <c r="K38" s="203" t="e">
        <f ca="1">((绝对估值!$E$47+NPV($A38,绝对估值!$F$47:$G$47)+(绝对估值!$H$48+NPV($A38,绝对估值!$I$48:$K$48))/(1+$A38)^Estiyears+绝对估值!$K$48*(1+K$34)/($A38-K$34)/(1+$A38)^(Estiyears+Transeyear-1))/(1+$A38)^((DATE(EndYear,12,31)-EstiDate)/365))/绝对估值!$D$53*(unit/10000)</f>
        <v>#VALUE!</v>
      </c>
      <c r="L38" s="203" t="e">
        <f ca="1">((绝对估值!$E$47+NPV($A38,绝对估值!$F$47:$G$47)+(绝对估值!$H$48+NPV($A38,绝对估值!$I$48:$K$48))/(1+$A38)^Estiyears+绝对估值!$K$48*(1+L$34)/($A38-L$34)/(1+$A38)^(Estiyears+Transeyear-1))/(1+$A38)^((DATE(EndYear,12,31)-EstiDate)/365))/绝对估值!$D$53*(unit/10000)</f>
        <v>#VALUE!</v>
      </c>
    </row>
    <row r="39" spans="1:12" outlineLevel="1">
      <c r="A39" s="201">
        <f t="shared" si="1"/>
        <v>0.10410772914236234</v>
      </c>
      <c r="B39" s="203" t="e">
        <f ca="1">((绝对估值!$E$47+NPV($A39,绝对估值!$F$47:$G$47)+(绝对估值!$H$48+NPV($A39,绝对估值!$I$48:$K$48))/(1+$A39)^Estiyears+绝对估值!$K$48*(1+B$34)/($A39-B$34)/(1+$A39)^(Estiyears+Transeyear-1))/(1+$A39)^((DATE(EndYear,12,31)-EstiDate)/365))/绝对估值!$D$53*(unit/10000)</f>
        <v>#VALUE!</v>
      </c>
      <c r="C39" s="203" t="e">
        <f ca="1">((绝对估值!$E$47+NPV($A39,绝对估值!$F$47:$G$47)+(绝对估值!$H$48+NPV($A39,绝对估值!$I$48:$K$48))/(1+$A39)^Estiyears+绝对估值!$K$48*(1+C$34)/($A39-C$34)/(1+$A39)^(Estiyears+Transeyear-1))/(1+$A39)^((DATE(EndYear,12,31)-EstiDate)/365))/绝对估值!$D$53*(unit/10000)</f>
        <v>#VALUE!</v>
      </c>
      <c r="D39" s="203" t="e">
        <f ca="1">((绝对估值!$E$47+NPV($A39,绝对估值!$F$47:$G$47)+(绝对估值!$H$48+NPV($A39,绝对估值!$I$48:$K$48))/(1+$A39)^Estiyears+绝对估值!$K$48*(1+D$34)/($A39-D$34)/(1+$A39)^(Estiyears+Transeyear-1))/(1+$A39)^((DATE(EndYear,12,31)-EstiDate)/365))/绝对估值!$D$53*(unit/10000)</f>
        <v>#VALUE!</v>
      </c>
      <c r="E39" s="203" t="e">
        <f ca="1">((绝对估值!$E$47+NPV($A39,绝对估值!$F$47:$G$47)+(绝对估值!$H$48+NPV($A39,绝对估值!$I$48:$K$48))/(1+$A39)^Estiyears+绝对估值!$K$48*(1+E$34)/($A39-E$34)/(1+$A39)^(Estiyears+Transeyear-1))/(1+$A39)^((DATE(EndYear,12,31)-EstiDate)/365))/绝对估值!$D$53*(unit/10000)</f>
        <v>#VALUE!</v>
      </c>
      <c r="F39" s="203" t="e">
        <f ca="1">((绝对估值!$E$47+NPV($A39,绝对估值!$F$47:$G$47)+(绝对估值!$H$48+NPV($A39,绝对估值!$I$48:$K$48))/(1+$A39)^Estiyears+绝对估值!$K$48*(1+F$34)/($A39-F$34)/(1+$A39)^(Estiyears+Transeyear-1))/(1+$A39)^((DATE(EndYear,12,31)-EstiDate)/365))/绝对估值!$D$53*(unit/10000)</f>
        <v>#VALUE!</v>
      </c>
      <c r="G39" s="203" t="e">
        <f ca="1">((绝对估值!$E$47+NPV($A39,绝对估值!$F$47:$G$47)+(绝对估值!$H$48+NPV($A39,绝对估值!$I$48:$K$48))/(1+$A39)^Estiyears+绝对估值!$K$48*(1+G$34)/($A39-G$34)/(1+$A39)^(Estiyears+Transeyear-1))/(1+$A39)^((DATE(EndYear,12,31)-EstiDate)/365))/绝对估值!$D$53*(unit/10000)</f>
        <v>#VALUE!</v>
      </c>
      <c r="H39" s="203" t="e">
        <f ca="1">((绝对估值!$E$47+NPV($A39,绝对估值!$F$47:$G$47)+(绝对估值!$H$48+NPV($A39,绝对估值!$I$48:$K$48))/(1+$A39)^Estiyears+绝对估值!$K$48*(1+H$34)/($A39-H$34)/(1+$A39)^(Estiyears+Transeyear-1))/(1+$A39)^((DATE(EndYear,12,31)-EstiDate)/365))/绝对估值!$D$53*(unit/10000)</f>
        <v>#VALUE!</v>
      </c>
      <c r="I39" s="203" t="e">
        <f ca="1">((绝对估值!$E$47+NPV($A39,绝对估值!$F$47:$G$47)+(绝对估值!$H$48+NPV($A39,绝对估值!$I$48:$K$48))/(1+$A39)^Estiyears+绝对估值!$K$48*(1+I$34)/($A39-I$34)/(1+$A39)^(Estiyears+Transeyear-1))/(1+$A39)^((DATE(EndYear,12,31)-EstiDate)/365))/绝对估值!$D$53*(unit/10000)</f>
        <v>#VALUE!</v>
      </c>
      <c r="J39" s="203" t="e">
        <f ca="1">((绝对估值!$E$47+NPV($A39,绝对估值!$F$47:$G$47)+(绝对估值!$H$48+NPV($A39,绝对估值!$I$48:$K$48))/(1+$A39)^Estiyears+绝对估值!$K$48*(1+J$34)/($A39-J$34)/(1+$A39)^(Estiyears+Transeyear-1))/(1+$A39)^((DATE(EndYear,12,31)-EstiDate)/365))/绝对估值!$D$53*(unit/10000)</f>
        <v>#VALUE!</v>
      </c>
      <c r="K39" s="203" t="e">
        <f ca="1">((绝对估值!$E$47+NPV($A39,绝对估值!$F$47:$G$47)+(绝对估值!$H$48+NPV($A39,绝对估值!$I$48:$K$48))/(1+$A39)^Estiyears+绝对估值!$K$48*(1+K$34)/($A39-K$34)/(1+$A39)^(Estiyears+Transeyear-1))/(1+$A39)^((DATE(EndYear,12,31)-EstiDate)/365))/绝对估值!$D$53*(unit/10000)</f>
        <v>#VALUE!</v>
      </c>
      <c r="L39" s="203" t="e">
        <f ca="1">((绝对估值!$E$47+NPV($A39,绝对估值!$F$47:$G$47)+(绝对估值!$H$48+NPV($A39,绝对估值!$I$48:$K$48))/(1+$A39)^Estiyears+绝对估值!$K$48*(1+L$34)/($A39-L$34)/(1+$A39)^(Estiyears+Transeyear-1))/(1+$A39)^((DATE(EndYear,12,31)-EstiDate)/365))/绝对估值!$D$53*(unit/10000)</f>
        <v>#VALUE!</v>
      </c>
    </row>
    <row r="40" spans="1:12" outlineLevel="1">
      <c r="A40" s="201">
        <f t="shared" si="1"/>
        <v>0.11451850205659858</v>
      </c>
      <c r="B40" s="203" t="e">
        <f ca="1">((绝对估值!$E$47+NPV($A40,绝对估值!$F$47:$G$47)+(绝对估值!$H$48+NPV($A40,绝对估值!$I$48:$K$48))/(1+$A40)^Estiyears+绝对估值!$K$48*(1+B$34)/($A40-B$34)/(1+$A40)^(Estiyears+Transeyear-1))/(1+$A40)^((DATE(EndYear,12,31)-EstiDate)/365))/绝对估值!$D$53*(unit/10000)</f>
        <v>#VALUE!</v>
      </c>
      <c r="C40" s="203" t="e">
        <f ca="1">((绝对估值!$E$47+NPV($A40,绝对估值!$F$47:$G$47)+(绝对估值!$H$48+NPV($A40,绝对估值!$I$48:$K$48))/(1+$A40)^Estiyears+绝对估值!$K$48*(1+C$34)/($A40-C$34)/(1+$A40)^(Estiyears+Transeyear-1))/(1+$A40)^((DATE(EndYear,12,31)-EstiDate)/365))/绝对估值!$D$53*(unit/10000)</f>
        <v>#VALUE!</v>
      </c>
      <c r="D40" s="203" t="e">
        <f ca="1">((绝对估值!$E$47+NPV($A40,绝对估值!$F$47:$G$47)+(绝对估值!$H$48+NPV($A40,绝对估值!$I$48:$K$48))/(1+$A40)^Estiyears+绝对估值!$K$48*(1+D$34)/($A40-D$34)/(1+$A40)^(Estiyears+Transeyear-1))/(1+$A40)^((DATE(EndYear,12,31)-EstiDate)/365))/绝对估值!$D$53*(unit/10000)</f>
        <v>#VALUE!</v>
      </c>
      <c r="E40" s="203" t="e">
        <f ca="1">((绝对估值!$E$47+NPV($A40,绝对估值!$F$47:$G$47)+(绝对估值!$H$48+NPV($A40,绝对估值!$I$48:$K$48))/(1+$A40)^Estiyears+绝对估值!$K$48*(1+E$34)/($A40-E$34)/(1+$A40)^(Estiyears+Transeyear-1))/(1+$A40)^((DATE(EndYear,12,31)-EstiDate)/365))/绝对估值!$D$53*(unit/10000)</f>
        <v>#VALUE!</v>
      </c>
      <c r="F40" s="203" t="e">
        <f ca="1">((绝对估值!$E$47+NPV($A40,绝对估值!$F$47:$G$47)+(绝对估值!$H$48+NPV($A40,绝对估值!$I$48:$K$48))/(1+$A40)^Estiyears+绝对估值!$K$48*(1+F$34)/($A40-F$34)/(1+$A40)^(Estiyears+Transeyear-1))/(1+$A40)^((DATE(EndYear,12,31)-EstiDate)/365))/绝对估值!$D$53*(unit/10000)</f>
        <v>#VALUE!</v>
      </c>
      <c r="G40" s="203" t="e">
        <f ca="1">((绝对估值!$E$47+NPV($A40,绝对估值!$F$47:$G$47)+(绝对估值!$H$48+NPV($A40,绝对估值!$I$48:$K$48))/(1+$A40)^Estiyears+绝对估值!$K$48*(1+G$34)/($A40-G$34)/(1+$A40)^(Estiyears+Transeyear-1))/(1+$A40)^((DATE(EndYear,12,31)-EstiDate)/365))/绝对估值!$D$53*(unit/10000)</f>
        <v>#VALUE!</v>
      </c>
      <c r="H40" s="203" t="e">
        <f ca="1">((绝对估值!$E$47+NPV($A40,绝对估值!$F$47:$G$47)+(绝对估值!$H$48+NPV($A40,绝对估值!$I$48:$K$48))/(1+$A40)^Estiyears+绝对估值!$K$48*(1+H$34)/($A40-H$34)/(1+$A40)^(Estiyears+Transeyear-1))/(1+$A40)^((DATE(EndYear,12,31)-EstiDate)/365))/绝对估值!$D$53*(unit/10000)</f>
        <v>#VALUE!</v>
      </c>
      <c r="I40" s="203" t="e">
        <f ca="1">((绝对估值!$E$47+NPV($A40,绝对估值!$F$47:$G$47)+(绝对估值!$H$48+NPV($A40,绝对估值!$I$48:$K$48))/(1+$A40)^Estiyears+绝对估值!$K$48*(1+I$34)/($A40-I$34)/(1+$A40)^(Estiyears+Transeyear-1))/(1+$A40)^((DATE(EndYear,12,31)-EstiDate)/365))/绝对估值!$D$53*(unit/10000)</f>
        <v>#VALUE!</v>
      </c>
      <c r="J40" s="203" t="e">
        <f ca="1">((绝对估值!$E$47+NPV($A40,绝对估值!$F$47:$G$47)+(绝对估值!$H$48+NPV($A40,绝对估值!$I$48:$K$48))/(1+$A40)^Estiyears+绝对估值!$K$48*(1+J$34)/($A40-J$34)/(1+$A40)^(Estiyears+Transeyear-1))/(1+$A40)^((DATE(EndYear,12,31)-EstiDate)/365))/绝对估值!$D$53*(unit/10000)</f>
        <v>#VALUE!</v>
      </c>
      <c r="K40" s="203" t="e">
        <f ca="1">((绝对估值!$E$47+NPV($A40,绝对估值!$F$47:$G$47)+(绝对估值!$H$48+NPV($A40,绝对估值!$I$48:$K$48))/(1+$A40)^Estiyears+绝对估值!$K$48*(1+K$34)/($A40-K$34)/(1+$A40)^(Estiyears+Transeyear-1))/(1+$A40)^((DATE(EndYear,12,31)-EstiDate)/365))/绝对估值!$D$53*(unit/10000)</f>
        <v>#VALUE!</v>
      </c>
      <c r="L40" s="203" t="e">
        <f ca="1">((绝对估值!$E$47+NPV($A40,绝对估值!$F$47:$G$47)+(绝对估值!$H$48+NPV($A40,绝对估值!$I$48:$K$48))/(1+$A40)^Estiyears+绝对估值!$K$48*(1+L$34)/($A40-L$34)/(1+$A40)^(Estiyears+Transeyear-1))/(1+$A40)^((DATE(EndYear,12,31)-EstiDate)/365))/绝对估值!$D$53*(unit/10000)</f>
        <v>#VALUE!</v>
      </c>
    </row>
    <row r="41" spans="1:12" outlineLevel="1">
      <c r="A41" s="201">
        <f t="shared" si="1"/>
        <v>0.12597035226225844</v>
      </c>
      <c r="B41" s="203" t="e">
        <f ca="1">((绝对估值!$E$47+NPV($A41,绝对估值!$F$47:$G$47)+(绝对估值!$H$48+NPV($A41,绝对估值!$I$48:$K$48))/(1+$A41)^Estiyears+绝对估值!$K$48*(1+B$34)/($A41-B$34)/(1+$A41)^(Estiyears+Transeyear-1))/(1+$A41)^((DATE(EndYear,12,31)-EstiDate)/365))/绝对估值!$D$53*(unit/10000)</f>
        <v>#VALUE!</v>
      </c>
      <c r="C41" s="203" t="e">
        <f ca="1">((绝对估值!$E$47+NPV($A41,绝对估值!$F$47:$G$47)+(绝对估值!$H$48+NPV($A41,绝对估值!$I$48:$K$48))/(1+$A41)^Estiyears+绝对估值!$K$48*(1+C$34)/($A41-C$34)/(1+$A41)^(Estiyears+Transeyear-1))/(1+$A41)^((DATE(EndYear,12,31)-EstiDate)/365))/绝对估值!$D$53*(unit/10000)</f>
        <v>#VALUE!</v>
      </c>
      <c r="D41" s="203" t="e">
        <f ca="1">((绝对估值!$E$47+NPV($A41,绝对估值!$F$47:$G$47)+(绝对估值!$H$48+NPV($A41,绝对估值!$I$48:$K$48))/(1+$A41)^Estiyears+绝对估值!$K$48*(1+D$34)/($A41-D$34)/(1+$A41)^(Estiyears+Transeyear-1))/(1+$A41)^((DATE(EndYear,12,31)-EstiDate)/365))/绝对估值!$D$53*(unit/10000)</f>
        <v>#VALUE!</v>
      </c>
      <c r="E41" s="203" t="e">
        <f ca="1">((绝对估值!$E$47+NPV($A41,绝对估值!$F$47:$G$47)+(绝对估值!$H$48+NPV($A41,绝对估值!$I$48:$K$48))/(1+$A41)^Estiyears+绝对估值!$K$48*(1+E$34)/($A41-E$34)/(1+$A41)^(Estiyears+Transeyear-1))/(1+$A41)^((DATE(EndYear,12,31)-EstiDate)/365))/绝对估值!$D$53*(unit/10000)</f>
        <v>#VALUE!</v>
      </c>
      <c r="F41" s="203" t="e">
        <f ca="1">((绝对估值!$E$47+NPV($A41,绝对估值!$F$47:$G$47)+(绝对估值!$H$48+NPV($A41,绝对估值!$I$48:$K$48))/(1+$A41)^Estiyears+绝对估值!$K$48*(1+F$34)/($A41-F$34)/(1+$A41)^(Estiyears+Transeyear-1))/(1+$A41)^((DATE(EndYear,12,31)-EstiDate)/365))/绝对估值!$D$53*(unit/10000)</f>
        <v>#VALUE!</v>
      </c>
      <c r="G41" s="203" t="e">
        <f ca="1">((绝对估值!$E$47+NPV($A41,绝对估值!$F$47:$G$47)+(绝对估值!$H$48+NPV($A41,绝对估值!$I$48:$K$48))/(1+$A41)^Estiyears+绝对估值!$K$48*(1+G$34)/($A41-G$34)/(1+$A41)^(Estiyears+Transeyear-1))/(1+$A41)^((DATE(EndYear,12,31)-EstiDate)/365))/绝对估值!$D$53*(unit/10000)</f>
        <v>#VALUE!</v>
      </c>
      <c r="H41" s="203" t="e">
        <f ca="1">((绝对估值!$E$47+NPV($A41,绝对估值!$F$47:$G$47)+(绝对估值!$H$48+NPV($A41,绝对估值!$I$48:$K$48))/(1+$A41)^Estiyears+绝对估值!$K$48*(1+H$34)/($A41-H$34)/(1+$A41)^(Estiyears+Transeyear-1))/(1+$A41)^((DATE(EndYear,12,31)-EstiDate)/365))/绝对估值!$D$53*(unit/10000)</f>
        <v>#VALUE!</v>
      </c>
      <c r="I41" s="203" t="e">
        <f ca="1">((绝对估值!$E$47+NPV($A41,绝对估值!$F$47:$G$47)+(绝对估值!$H$48+NPV($A41,绝对估值!$I$48:$K$48))/(1+$A41)^Estiyears+绝对估值!$K$48*(1+I$34)/($A41-I$34)/(1+$A41)^(Estiyears+Transeyear-1))/(1+$A41)^((DATE(EndYear,12,31)-EstiDate)/365))/绝对估值!$D$53*(unit/10000)</f>
        <v>#VALUE!</v>
      </c>
      <c r="J41" s="203" t="e">
        <f ca="1">((绝对估值!$E$47+NPV($A41,绝对估值!$F$47:$G$47)+(绝对估值!$H$48+NPV($A41,绝对估值!$I$48:$K$48))/(1+$A41)^Estiyears+绝对估值!$K$48*(1+J$34)/($A41-J$34)/(1+$A41)^(Estiyears+Transeyear-1))/(1+$A41)^((DATE(EndYear,12,31)-EstiDate)/365))/绝对估值!$D$53*(unit/10000)</f>
        <v>#VALUE!</v>
      </c>
      <c r="K41" s="203" t="e">
        <f ca="1">((绝对估值!$E$47+NPV($A41,绝对估值!$F$47:$G$47)+(绝对估值!$H$48+NPV($A41,绝对估值!$I$48:$K$48))/(1+$A41)^Estiyears+绝对估值!$K$48*(1+K$34)/($A41-K$34)/(1+$A41)^(Estiyears+Transeyear-1))/(1+$A41)^((DATE(EndYear,12,31)-EstiDate)/365))/绝对估值!$D$53*(unit/10000)</f>
        <v>#VALUE!</v>
      </c>
      <c r="L41" s="203" t="e">
        <f ca="1">((绝对估值!$E$47+NPV($A41,绝对估值!$F$47:$G$47)+(绝对估值!$H$48+NPV($A41,绝对估值!$I$48:$K$48))/(1+$A41)^Estiyears+绝对估值!$K$48*(1+L$34)/($A41-L$34)/(1+$A41)^(Estiyears+Transeyear-1))/(1+$A41)^((DATE(EndYear,12,31)-EstiDate)/365))/绝对估值!$D$53*(unit/10000)</f>
        <v>#VALUE!</v>
      </c>
    </row>
    <row r="42" spans="1:12" outlineLevel="1">
      <c r="A42" s="201">
        <f t="shared" si="1"/>
        <v>0.13856738748848429</v>
      </c>
      <c r="B42" s="203" t="e">
        <f ca="1">((绝对估值!$E$47+NPV($A42,绝对估值!$F$47:$G$47)+(绝对估值!$H$48+NPV($A42,绝对估值!$I$48:$K$48))/(1+$A42)^Estiyears+绝对估值!$K$48*(1+B$34)/($A42-B$34)/(1+$A42)^(Estiyears+Transeyear-1))/(1+$A42)^((DATE(EndYear,12,31)-EstiDate)/365))/绝对估值!$D$53*(unit/10000)</f>
        <v>#VALUE!</v>
      </c>
      <c r="C42" s="203" t="e">
        <f ca="1">((绝对估值!$E$47+NPV($A42,绝对估值!$F$47:$G$47)+(绝对估值!$H$48+NPV($A42,绝对估值!$I$48:$K$48))/(1+$A42)^Estiyears+绝对估值!$K$48*(1+C$34)/($A42-C$34)/(1+$A42)^(Estiyears+Transeyear-1))/(1+$A42)^((DATE(EndYear,12,31)-EstiDate)/365))/绝对估值!$D$53*(unit/10000)</f>
        <v>#VALUE!</v>
      </c>
      <c r="D42" s="203" t="e">
        <f ca="1">((绝对估值!$E$47+NPV($A42,绝对估值!$F$47:$G$47)+(绝对估值!$H$48+NPV($A42,绝对估值!$I$48:$K$48))/(1+$A42)^Estiyears+绝对估值!$K$48*(1+D$34)/($A42-D$34)/(1+$A42)^(Estiyears+Transeyear-1))/(1+$A42)^((DATE(EndYear,12,31)-EstiDate)/365))/绝对估值!$D$53*(unit/10000)</f>
        <v>#VALUE!</v>
      </c>
      <c r="E42" s="203" t="e">
        <f ca="1">((绝对估值!$E$47+NPV($A42,绝对估值!$F$47:$G$47)+(绝对估值!$H$48+NPV($A42,绝对估值!$I$48:$K$48))/(1+$A42)^Estiyears+绝对估值!$K$48*(1+E$34)/($A42-E$34)/(1+$A42)^(Estiyears+Transeyear-1))/(1+$A42)^((DATE(EndYear,12,31)-EstiDate)/365))/绝对估值!$D$53*(unit/10000)</f>
        <v>#VALUE!</v>
      </c>
      <c r="F42" s="203" t="e">
        <f ca="1">((绝对估值!$E$47+NPV($A42,绝对估值!$F$47:$G$47)+(绝对估值!$H$48+NPV($A42,绝对估值!$I$48:$K$48))/(1+$A42)^Estiyears+绝对估值!$K$48*(1+F$34)/($A42-F$34)/(1+$A42)^(Estiyears+Transeyear-1))/(1+$A42)^((DATE(EndYear,12,31)-EstiDate)/365))/绝对估值!$D$53*(unit/10000)</f>
        <v>#VALUE!</v>
      </c>
      <c r="G42" s="203" t="e">
        <f ca="1">((绝对估值!$E$47+NPV($A42,绝对估值!$F$47:$G$47)+(绝对估值!$H$48+NPV($A42,绝对估值!$I$48:$K$48))/(1+$A42)^Estiyears+绝对估值!$K$48*(1+G$34)/($A42-G$34)/(1+$A42)^(Estiyears+Transeyear-1))/(1+$A42)^((DATE(EndYear,12,31)-EstiDate)/365))/绝对估值!$D$53*(unit/10000)</f>
        <v>#VALUE!</v>
      </c>
      <c r="H42" s="203" t="e">
        <f ca="1">((绝对估值!$E$47+NPV($A42,绝对估值!$F$47:$G$47)+(绝对估值!$H$48+NPV($A42,绝对估值!$I$48:$K$48))/(1+$A42)^Estiyears+绝对估值!$K$48*(1+H$34)/($A42-H$34)/(1+$A42)^(Estiyears+Transeyear-1))/(1+$A42)^((DATE(EndYear,12,31)-EstiDate)/365))/绝对估值!$D$53*(unit/10000)</f>
        <v>#VALUE!</v>
      </c>
      <c r="I42" s="203" t="e">
        <f ca="1">((绝对估值!$E$47+NPV($A42,绝对估值!$F$47:$G$47)+(绝对估值!$H$48+NPV($A42,绝对估值!$I$48:$K$48))/(1+$A42)^Estiyears+绝对估值!$K$48*(1+I$34)/($A42-I$34)/(1+$A42)^(Estiyears+Transeyear-1))/(1+$A42)^((DATE(EndYear,12,31)-EstiDate)/365))/绝对估值!$D$53*(unit/10000)</f>
        <v>#VALUE!</v>
      </c>
      <c r="J42" s="203" t="e">
        <f ca="1">((绝对估值!$E$47+NPV($A42,绝对估值!$F$47:$G$47)+(绝对估值!$H$48+NPV($A42,绝对估值!$I$48:$K$48))/(1+$A42)^Estiyears+绝对估值!$K$48*(1+J$34)/($A42-J$34)/(1+$A42)^(Estiyears+Transeyear-1))/(1+$A42)^((DATE(EndYear,12,31)-EstiDate)/365))/绝对估值!$D$53*(unit/10000)</f>
        <v>#VALUE!</v>
      </c>
      <c r="K42" s="203" t="e">
        <f ca="1">((绝对估值!$E$47+NPV($A42,绝对估值!$F$47:$G$47)+(绝对估值!$H$48+NPV($A42,绝对估值!$I$48:$K$48))/(1+$A42)^Estiyears+绝对估值!$K$48*(1+K$34)/($A42-K$34)/(1+$A42)^(Estiyears+Transeyear-1))/(1+$A42)^((DATE(EndYear,12,31)-EstiDate)/365))/绝对估值!$D$53*(unit/10000)</f>
        <v>#VALUE!</v>
      </c>
      <c r="L42" s="203" t="e">
        <f ca="1">((绝对估值!$E$47+NPV($A42,绝对估值!$F$47:$G$47)+(绝对估值!$H$48+NPV($A42,绝对估值!$I$48:$K$48))/(1+$A42)^Estiyears+绝对估值!$K$48*(1+L$34)/($A42-L$34)/(1+$A42)^(Estiyears+Transeyear-1))/(1+$A42)^((DATE(EndYear,12,31)-EstiDate)/365))/绝对估值!$D$53*(unit/10000)</f>
        <v>#VALUE!</v>
      </c>
    </row>
    <row r="43" spans="1:12" outlineLevel="1">
      <c r="A43" s="201">
        <f t="shared" si="1"/>
        <v>0.15242412623733273</v>
      </c>
      <c r="B43" s="203" t="e">
        <f ca="1">((绝对估值!$E$47+NPV($A43,绝对估值!$F$47:$G$47)+(绝对估值!$H$48+NPV($A43,绝对估值!$I$48:$K$48))/(1+$A43)^Estiyears+绝对估值!$K$48*(1+B$34)/($A43-B$34)/(1+$A43)^(Estiyears+Transeyear-1))/(1+$A43)^((DATE(EndYear,12,31)-EstiDate)/365))/绝对估值!$D$53*(unit/10000)</f>
        <v>#VALUE!</v>
      </c>
      <c r="C43" s="203" t="e">
        <f ca="1">((绝对估值!$E$47+NPV($A43,绝对估值!$F$47:$G$47)+(绝对估值!$H$48+NPV($A43,绝对估值!$I$48:$K$48))/(1+$A43)^Estiyears+绝对估值!$K$48*(1+C$34)/($A43-C$34)/(1+$A43)^(Estiyears+Transeyear-1))/(1+$A43)^((DATE(EndYear,12,31)-EstiDate)/365))/绝对估值!$D$53*(unit/10000)</f>
        <v>#VALUE!</v>
      </c>
      <c r="D43" s="203" t="e">
        <f ca="1">((绝对估值!$E$47+NPV($A43,绝对估值!$F$47:$G$47)+(绝对估值!$H$48+NPV($A43,绝对估值!$I$48:$K$48))/(1+$A43)^Estiyears+绝对估值!$K$48*(1+D$34)/($A43-D$34)/(1+$A43)^(Estiyears+Transeyear-1))/(1+$A43)^((DATE(EndYear,12,31)-EstiDate)/365))/绝对估值!$D$53*(unit/10000)</f>
        <v>#VALUE!</v>
      </c>
      <c r="E43" s="203" t="e">
        <f ca="1">((绝对估值!$E$47+NPV($A43,绝对估值!$F$47:$G$47)+(绝对估值!$H$48+NPV($A43,绝对估值!$I$48:$K$48))/(1+$A43)^Estiyears+绝对估值!$K$48*(1+E$34)/($A43-E$34)/(1+$A43)^(Estiyears+Transeyear-1))/(1+$A43)^((DATE(EndYear,12,31)-EstiDate)/365))/绝对估值!$D$53*(unit/10000)</f>
        <v>#VALUE!</v>
      </c>
      <c r="F43" s="203" t="e">
        <f ca="1">((绝对估值!$E$47+NPV($A43,绝对估值!$F$47:$G$47)+(绝对估值!$H$48+NPV($A43,绝对估值!$I$48:$K$48))/(1+$A43)^Estiyears+绝对估值!$K$48*(1+F$34)/($A43-F$34)/(1+$A43)^(Estiyears+Transeyear-1))/(1+$A43)^((DATE(EndYear,12,31)-EstiDate)/365))/绝对估值!$D$53*(unit/10000)</f>
        <v>#VALUE!</v>
      </c>
      <c r="G43" s="203" t="e">
        <f ca="1">((绝对估值!$E$47+NPV($A43,绝对估值!$F$47:$G$47)+(绝对估值!$H$48+NPV($A43,绝对估值!$I$48:$K$48))/(1+$A43)^Estiyears+绝对估值!$K$48*(1+G$34)/($A43-G$34)/(1+$A43)^(Estiyears+Transeyear-1))/(1+$A43)^((DATE(EndYear,12,31)-EstiDate)/365))/绝对估值!$D$53*(unit/10000)</f>
        <v>#VALUE!</v>
      </c>
      <c r="H43" s="203" t="e">
        <f ca="1">((绝对估值!$E$47+NPV($A43,绝对估值!$F$47:$G$47)+(绝对估值!$H$48+NPV($A43,绝对估值!$I$48:$K$48))/(1+$A43)^Estiyears+绝对估值!$K$48*(1+H$34)/($A43-H$34)/(1+$A43)^(Estiyears+Transeyear-1))/(1+$A43)^((DATE(EndYear,12,31)-EstiDate)/365))/绝对估值!$D$53*(unit/10000)</f>
        <v>#VALUE!</v>
      </c>
      <c r="I43" s="203" t="e">
        <f ca="1">((绝对估值!$E$47+NPV($A43,绝对估值!$F$47:$G$47)+(绝对估值!$H$48+NPV($A43,绝对估值!$I$48:$K$48))/(1+$A43)^Estiyears+绝对估值!$K$48*(1+I$34)/($A43-I$34)/(1+$A43)^(Estiyears+Transeyear-1))/(1+$A43)^((DATE(EndYear,12,31)-EstiDate)/365))/绝对估值!$D$53*(unit/10000)</f>
        <v>#VALUE!</v>
      </c>
      <c r="J43" s="203" t="e">
        <f ca="1">((绝对估值!$E$47+NPV($A43,绝对估值!$F$47:$G$47)+(绝对估值!$H$48+NPV($A43,绝对估值!$I$48:$K$48))/(1+$A43)^Estiyears+绝对估值!$K$48*(1+J$34)/($A43-J$34)/(1+$A43)^(Estiyears+Transeyear-1))/(1+$A43)^((DATE(EndYear,12,31)-EstiDate)/365))/绝对估值!$D$53*(unit/10000)</f>
        <v>#VALUE!</v>
      </c>
      <c r="K43" s="203" t="e">
        <f ca="1">((绝对估值!$E$47+NPV($A43,绝对估值!$F$47:$G$47)+(绝对估值!$H$48+NPV($A43,绝对估值!$I$48:$K$48))/(1+$A43)^Estiyears+绝对估值!$K$48*(1+K$34)/($A43-K$34)/(1+$A43)^(Estiyears+Transeyear-1))/(1+$A43)^((DATE(EndYear,12,31)-EstiDate)/365))/绝对估值!$D$53*(unit/10000)</f>
        <v>#VALUE!</v>
      </c>
      <c r="L43" s="203" t="e">
        <f ca="1">((绝对估值!$E$47+NPV($A43,绝对估值!$F$47:$G$47)+(绝对估值!$H$48+NPV($A43,绝对估值!$I$48:$K$48))/(1+$A43)^Estiyears+绝对估值!$K$48*(1+L$34)/($A43-L$34)/(1+$A43)^(Estiyears+Transeyear-1))/(1+$A43)^((DATE(EndYear,12,31)-EstiDate)/365))/绝对估值!$D$53*(unit/10000)</f>
        <v>#VALUE!</v>
      </c>
    </row>
    <row r="44" spans="1:12" outlineLevel="1">
      <c r="A44" s="201">
        <f t="shared" si="1"/>
        <v>0.16766653886106603</v>
      </c>
      <c r="B44" s="203" t="e">
        <f ca="1">((绝对估值!$E$47+NPV($A44,绝对估值!$F$47:$G$47)+(绝对估值!$H$48+NPV($A44,绝对估值!$I$48:$K$48))/(1+$A44)^Estiyears+绝对估值!$K$48*(1+B$34)/($A44-B$34)/(1+$A44)^(Estiyears+Transeyear-1))/(1+$A44)^((DATE(EndYear,12,31)-EstiDate)/365))/绝对估值!$D$53*(unit/10000)</f>
        <v>#VALUE!</v>
      </c>
      <c r="C44" s="203" t="e">
        <f ca="1">((绝对估值!$E$47+NPV($A44,绝对估值!$F$47:$G$47)+(绝对估值!$H$48+NPV($A44,绝对估值!$I$48:$K$48))/(1+$A44)^Estiyears+绝对估值!$K$48*(1+C$34)/($A44-C$34)/(1+$A44)^(Estiyears+Transeyear-1))/(1+$A44)^((DATE(EndYear,12,31)-EstiDate)/365))/绝对估值!$D$53*(unit/10000)</f>
        <v>#VALUE!</v>
      </c>
      <c r="D44" s="203" t="e">
        <f ca="1">((绝对估值!$E$47+NPV($A44,绝对估值!$F$47:$G$47)+(绝对估值!$H$48+NPV($A44,绝对估值!$I$48:$K$48))/(1+$A44)^Estiyears+绝对估值!$K$48*(1+D$34)/($A44-D$34)/(1+$A44)^(Estiyears+Transeyear-1))/(1+$A44)^((DATE(EndYear,12,31)-EstiDate)/365))/绝对估值!$D$53*(unit/10000)</f>
        <v>#VALUE!</v>
      </c>
      <c r="E44" s="203" t="e">
        <f ca="1">((绝对估值!$E$47+NPV($A44,绝对估值!$F$47:$G$47)+(绝对估值!$H$48+NPV($A44,绝对估值!$I$48:$K$48))/(1+$A44)^Estiyears+绝对估值!$K$48*(1+E$34)/($A44-E$34)/(1+$A44)^(Estiyears+Transeyear-1))/(1+$A44)^((DATE(EndYear,12,31)-EstiDate)/365))/绝对估值!$D$53*(unit/10000)</f>
        <v>#VALUE!</v>
      </c>
      <c r="F44" s="203" t="e">
        <f ca="1">((绝对估值!$E$47+NPV($A44,绝对估值!$F$47:$G$47)+(绝对估值!$H$48+NPV($A44,绝对估值!$I$48:$K$48))/(1+$A44)^Estiyears+绝对估值!$K$48*(1+F$34)/($A44-F$34)/(1+$A44)^(Estiyears+Transeyear-1))/(1+$A44)^((DATE(EndYear,12,31)-EstiDate)/365))/绝对估值!$D$53*(unit/10000)</f>
        <v>#VALUE!</v>
      </c>
      <c r="G44" s="203" t="e">
        <f ca="1">((绝对估值!$E$47+NPV($A44,绝对估值!$F$47:$G$47)+(绝对估值!$H$48+NPV($A44,绝对估值!$I$48:$K$48))/(1+$A44)^Estiyears+绝对估值!$K$48*(1+G$34)/($A44-G$34)/(1+$A44)^(Estiyears+Transeyear-1))/(1+$A44)^((DATE(EndYear,12,31)-EstiDate)/365))/绝对估值!$D$53*(unit/10000)</f>
        <v>#VALUE!</v>
      </c>
      <c r="H44" s="203" t="e">
        <f ca="1">((绝对估值!$E$47+NPV($A44,绝对估值!$F$47:$G$47)+(绝对估值!$H$48+NPV($A44,绝对估值!$I$48:$K$48))/(1+$A44)^Estiyears+绝对估值!$K$48*(1+H$34)/($A44-H$34)/(1+$A44)^(Estiyears+Transeyear-1))/(1+$A44)^((DATE(EndYear,12,31)-EstiDate)/365))/绝对估值!$D$53*(unit/10000)</f>
        <v>#VALUE!</v>
      </c>
      <c r="I44" s="203" t="e">
        <f ca="1">((绝对估值!$E$47+NPV($A44,绝对估值!$F$47:$G$47)+(绝对估值!$H$48+NPV($A44,绝对估值!$I$48:$K$48))/(1+$A44)^Estiyears+绝对估值!$K$48*(1+I$34)/($A44-I$34)/(1+$A44)^(Estiyears+Transeyear-1))/(1+$A44)^((DATE(EndYear,12,31)-EstiDate)/365))/绝对估值!$D$53*(unit/10000)</f>
        <v>#VALUE!</v>
      </c>
      <c r="J44" s="203" t="e">
        <f ca="1">((绝对估值!$E$47+NPV($A44,绝对估值!$F$47:$G$47)+(绝对估值!$H$48+NPV($A44,绝对估值!$I$48:$K$48))/(1+$A44)^Estiyears+绝对估值!$K$48*(1+J$34)/($A44-J$34)/(1+$A44)^(Estiyears+Transeyear-1))/(1+$A44)^((DATE(EndYear,12,31)-EstiDate)/365))/绝对估值!$D$53*(unit/10000)</f>
        <v>#VALUE!</v>
      </c>
      <c r="K44" s="203" t="e">
        <f ca="1">((绝对估值!$E$47+NPV($A44,绝对估值!$F$47:$G$47)+(绝对估值!$H$48+NPV($A44,绝对估值!$I$48:$K$48))/(1+$A44)^Estiyears+绝对估值!$K$48*(1+K$34)/($A44-K$34)/(1+$A44)^(Estiyears+Transeyear-1))/(1+$A44)^((DATE(EndYear,12,31)-EstiDate)/365))/绝对估值!$D$53*(unit/10000)</f>
        <v>#VALUE!</v>
      </c>
      <c r="L44" s="203" t="e">
        <f ca="1">((绝对估值!$E$47+NPV($A44,绝对估值!$F$47:$G$47)+(绝对估值!$H$48+NPV($A44,绝对估值!$I$48:$K$48))/(1+$A44)^Estiyears+绝对估值!$K$48*(1+L$34)/($A44-L$34)/(1+$A44)^(Estiyears+Transeyear-1))/(1+$A44)^((DATE(EndYear,12,31)-EstiDate)/365))/绝对估值!$D$53*(unit/10000)</f>
        <v>#VALUE!</v>
      </c>
    </row>
    <row r="45" spans="1:12" outlineLevel="1">
      <c r="A45" s="201">
        <f t="shared" si="1"/>
        <v>0.18443319274717265</v>
      </c>
      <c r="B45" s="203" t="e">
        <f ca="1">((绝对估值!$E$47+NPV($A45,绝对估值!$F$47:$G$47)+(绝对估值!$H$48+NPV($A45,绝对估值!$I$48:$K$48))/(1+$A45)^Estiyears+绝对估值!$K$48*(1+B$34)/($A45-B$34)/(1+$A45)^(Estiyears+Transeyear-1))/(1+$A45)^((DATE(EndYear,12,31)-EstiDate)/365))/绝对估值!$D$53*(unit/10000)</f>
        <v>#VALUE!</v>
      </c>
      <c r="C45" s="203" t="e">
        <f ca="1">((绝对估值!$E$47+NPV($A45,绝对估值!$F$47:$G$47)+(绝对估值!$H$48+NPV($A45,绝对估值!$I$48:$K$48))/(1+$A45)^Estiyears+绝对估值!$K$48*(1+C$34)/($A45-C$34)/(1+$A45)^(Estiyears+Transeyear-1))/(1+$A45)^((DATE(EndYear,12,31)-EstiDate)/365))/绝对估值!$D$53*(unit/10000)</f>
        <v>#VALUE!</v>
      </c>
      <c r="D45" s="203" t="e">
        <f ca="1">((绝对估值!$E$47+NPV($A45,绝对估值!$F$47:$G$47)+(绝对估值!$H$48+NPV($A45,绝对估值!$I$48:$K$48))/(1+$A45)^Estiyears+绝对估值!$K$48*(1+D$34)/($A45-D$34)/(1+$A45)^(Estiyears+Transeyear-1))/(1+$A45)^((DATE(EndYear,12,31)-EstiDate)/365))/绝对估值!$D$53*(unit/10000)</f>
        <v>#VALUE!</v>
      </c>
      <c r="E45" s="203" t="e">
        <f ca="1">((绝对估值!$E$47+NPV($A45,绝对估值!$F$47:$G$47)+(绝对估值!$H$48+NPV($A45,绝对估值!$I$48:$K$48))/(1+$A45)^Estiyears+绝对估值!$K$48*(1+E$34)/($A45-E$34)/(1+$A45)^(Estiyears+Transeyear-1))/(1+$A45)^((DATE(EndYear,12,31)-EstiDate)/365))/绝对估值!$D$53*(unit/10000)</f>
        <v>#VALUE!</v>
      </c>
      <c r="F45" s="203" t="e">
        <f ca="1">((绝对估值!$E$47+NPV($A45,绝对估值!$F$47:$G$47)+(绝对估值!$H$48+NPV($A45,绝对估值!$I$48:$K$48))/(1+$A45)^Estiyears+绝对估值!$K$48*(1+F$34)/($A45-F$34)/(1+$A45)^(Estiyears+Transeyear-1))/(1+$A45)^((DATE(EndYear,12,31)-EstiDate)/365))/绝对估值!$D$53*(unit/10000)</f>
        <v>#VALUE!</v>
      </c>
      <c r="G45" s="203" t="e">
        <f ca="1">((绝对估值!$E$47+NPV($A45,绝对估值!$F$47:$G$47)+(绝对估值!$H$48+NPV($A45,绝对估值!$I$48:$K$48))/(1+$A45)^Estiyears+绝对估值!$K$48*(1+G$34)/($A45-G$34)/(1+$A45)^(Estiyears+Transeyear-1))/(1+$A45)^((DATE(EndYear,12,31)-EstiDate)/365))/绝对估值!$D$53*(unit/10000)</f>
        <v>#VALUE!</v>
      </c>
      <c r="H45" s="203" t="e">
        <f ca="1">((绝对估值!$E$47+NPV($A45,绝对估值!$F$47:$G$47)+(绝对估值!$H$48+NPV($A45,绝对估值!$I$48:$K$48))/(1+$A45)^Estiyears+绝对估值!$K$48*(1+H$34)/($A45-H$34)/(1+$A45)^(Estiyears+Transeyear-1))/(1+$A45)^((DATE(EndYear,12,31)-EstiDate)/365))/绝对估值!$D$53*(unit/10000)</f>
        <v>#VALUE!</v>
      </c>
      <c r="I45" s="203" t="e">
        <f ca="1">((绝对估值!$E$47+NPV($A45,绝对估值!$F$47:$G$47)+(绝对估值!$H$48+NPV($A45,绝对估值!$I$48:$K$48))/(1+$A45)^Estiyears+绝对估值!$K$48*(1+I$34)/($A45-I$34)/(1+$A45)^(Estiyears+Transeyear-1))/(1+$A45)^((DATE(EndYear,12,31)-EstiDate)/365))/绝对估值!$D$53*(unit/10000)</f>
        <v>#VALUE!</v>
      </c>
      <c r="J45" s="203" t="e">
        <f ca="1">((绝对估值!$E$47+NPV($A45,绝对估值!$F$47:$G$47)+(绝对估值!$H$48+NPV($A45,绝对估值!$I$48:$K$48))/(1+$A45)^Estiyears+绝对估值!$K$48*(1+J$34)/($A45-J$34)/(1+$A45)^(Estiyears+Transeyear-1))/(1+$A45)^((DATE(EndYear,12,31)-EstiDate)/365))/绝对估值!$D$53*(unit/10000)</f>
        <v>#VALUE!</v>
      </c>
      <c r="K45" s="203" t="e">
        <f ca="1">((绝对估值!$E$47+NPV($A45,绝对估值!$F$47:$G$47)+(绝对估值!$H$48+NPV($A45,绝对估值!$I$48:$K$48))/(1+$A45)^Estiyears+绝对估值!$K$48*(1+K$34)/($A45-K$34)/(1+$A45)^(Estiyears+Transeyear-1))/(1+$A45)^((DATE(EndYear,12,31)-EstiDate)/365))/绝对估值!$D$53*(unit/10000)</f>
        <v>#VALUE!</v>
      </c>
      <c r="L45" s="203" t="e">
        <f ca="1">((绝对估值!$E$47+NPV($A45,绝对估值!$F$47:$G$47)+(绝对估值!$H$48+NPV($A45,绝对估值!$I$48:$K$48))/(1+$A45)^Estiyears+绝对估值!$K$48*(1+L$34)/($A45-L$34)/(1+$A45)^(Estiyears+Transeyear-1))/(1+$A45)^((DATE(EndYear,12,31)-EstiDate)/365))/绝对估值!$D$53*(unit/10000)</f>
        <v>#VALUE!</v>
      </c>
    </row>
    <row r="47" spans="1:12" ht="17.75">
      <c r="A47" s="1043" t="s">
        <v>1675</v>
      </c>
      <c r="B47" s="1043"/>
    </row>
    <row r="48" spans="1:12" outlineLevel="1">
      <c r="A48" s="1044" t="s">
        <v>1670</v>
      </c>
      <c r="B48" s="1044"/>
    </row>
    <row r="49" spans="1:12" ht="34.15" outlineLevel="1">
      <c r="A49" s="131" t="s">
        <v>1671</v>
      </c>
      <c r="B49" s="202">
        <f t="shared" ref="B49:L49" si="2">B4</f>
        <v>1.2418426461183098E-2</v>
      </c>
      <c r="C49" s="202">
        <f t="shared" si="2"/>
        <v>1.366026910730141E-2</v>
      </c>
      <c r="D49" s="202">
        <f t="shared" si="2"/>
        <v>1.5026296018031552E-2</v>
      </c>
      <c r="E49" s="202">
        <f t="shared" si="2"/>
        <v>1.6528925619834708E-2</v>
      </c>
      <c r="F49" s="202">
        <f t="shared" si="2"/>
        <v>1.8181818181818181E-2</v>
      </c>
      <c r="G49" s="202">
        <f t="shared" si="2"/>
        <v>0.02</v>
      </c>
      <c r="H49" s="202">
        <f t="shared" si="2"/>
        <v>2.2000000000000002E-2</v>
      </c>
      <c r="I49" s="202">
        <f t="shared" si="2"/>
        <v>2.4200000000000003E-2</v>
      </c>
      <c r="J49" s="202">
        <f t="shared" si="2"/>
        <v>2.6620000000000005E-2</v>
      </c>
      <c r="K49" s="202">
        <f t="shared" si="2"/>
        <v>2.9282000000000006E-2</v>
      </c>
      <c r="L49" s="202">
        <f t="shared" si="2"/>
        <v>3.2210200000000008E-2</v>
      </c>
    </row>
    <row r="50" spans="1:12" outlineLevel="1">
      <c r="A50" s="201">
        <f t="shared" ref="A50:A60" si="3">A5</f>
        <v>6.9139487480711692E-2</v>
      </c>
      <c r="B50" s="204" t="e">
        <f ca="1">((绝对估值!$E$57+NPV($A50,绝对估值!$F$57:$G$57)+(绝对估值!$H$58+NPV($A50,绝对估值!$I$58:$K$58))/(1+$A50)^Estiyears+绝对估值!$K$58*(1+B$49)/($A50-B$49)/(1+$A50)^(Transeyear+Estiyears-1))/(1+$A50)^((DATE(EndYear,12,31)-EstiDate)/365)+绝对估值!$D$63+绝对估值!$D$65-绝对估值!$D$66-绝对估值!$D$67)/绝对估值!$D$69*(unit/10000)</f>
        <v>#VALUE!</v>
      </c>
      <c r="C50" s="204" t="e">
        <f ca="1">((绝对估值!$E$57+NPV($A50,绝对估值!$F$57:$G$57)+(绝对估值!$H$58+NPV($A50,绝对估值!$I$58:$K$58))/(1+$A50)^Estiyears+绝对估值!$K$58*(1+C$49)/($A50-C$49)/(1+$A50)^(Transeyear+Estiyears-1))/(1+$A50)^((DATE(EndYear,12,31)-EstiDate)/365)+绝对估值!$D$63+绝对估值!$D$65-绝对估值!$D$66-绝对估值!$D$67)/绝对估值!$D$69*(unit/10000)</f>
        <v>#VALUE!</v>
      </c>
      <c r="D50" s="204" t="e">
        <f ca="1">((绝对估值!$E$57+NPV($A50,绝对估值!$F$57:$G$57)+(绝对估值!$H$58+NPV($A50,绝对估值!$I$58:$K$58))/(1+$A50)^Estiyears+绝对估值!$K$58*(1+D$49)/($A50-D$49)/(1+$A50)^(Transeyear+Estiyears-1))/(1+$A50)^((DATE(EndYear,12,31)-EstiDate)/365)+绝对估值!$D$63+绝对估值!$D$65-绝对估值!$D$66-绝对估值!$D$67)/绝对估值!$D$69*(unit/10000)</f>
        <v>#VALUE!</v>
      </c>
      <c r="E50" s="204" t="e">
        <f ca="1">((绝对估值!$E$57+NPV($A50,绝对估值!$F$57:$G$57)+(绝对估值!$H$58+NPV($A50,绝对估值!$I$58:$K$58))/(1+$A50)^Estiyears+绝对估值!$K$58*(1+E$49)/($A50-E$49)/(1+$A50)^(Transeyear+Estiyears-1))/(1+$A50)^((DATE(EndYear,12,31)-EstiDate)/365)+绝对估值!$D$63+绝对估值!$D$65-绝对估值!$D$66-绝对估值!$D$67)/绝对估值!$D$69*(unit/10000)</f>
        <v>#VALUE!</v>
      </c>
      <c r="F50" s="204" t="e">
        <f ca="1">((绝对估值!$E$57+NPV($A50,绝对估值!$F$57:$G$57)+(绝对估值!$H$58+NPV($A50,绝对估值!$I$58:$K$58))/(1+$A50)^Estiyears+绝对估值!$K$58*(1+F$49)/($A50-F$49)/(1+$A50)^(Transeyear+Estiyears-1))/(1+$A50)^((DATE(EndYear,12,31)-EstiDate)/365)+绝对估值!$D$63+绝对估值!$D$65-绝对估值!$D$66-绝对估值!$D$67)/绝对估值!$D$69*(unit/10000)</f>
        <v>#VALUE!</v>
      </c>
      <c r="G50" s="204" t="e">
        <f ca="1">((绝对估值!$E$57+NPV($A50,绝对估值!$F$57:$G$57)+(绝对估值!$H$58+NPV($A50,绝对估值!$I$58:$K$58))/(1+$A50)^Estiyears+绝对估值!$K$58*(1+G$49)/($A50-G$49)/(1+$A50)^(Transeyear+Estiyears-1))/(1+$A50)^((DATE(EndYear,12,31)-EstiDate)/365)+绝对估值!$D$63+绝对估值!$D$65-绝对估值!$D$66-绝对估值!$D$67)/绝对估值!$D$69*(unit/10000)</f>
        <v>#VALUE!</v>
      </c>
      <c r="H50" s="204" t="e">
        <f ca="1">((绝对估值!$E$57+NPV($A50,绝对估值!$F$57:$G$57)+(绝对估值!$H$58+NPV($A50,绝对估值!$I$58:$K$58))/(1+$A50)^Estiyears+绝对估值!$K$58*(1+H$49)/($A50-H$49)/(1+$A50)^(Transeyear+Estiyears-1))/(1+$A50)^((DATE(EndYear,12,31)-EstiDate)/365)+绝对估值!$D$63+绝对估值!$D$65-绝对估值!$D$66-绝对估值!$D$67)/绝对估值!$D$69*(unit/10000)</f>
        <v>#VALUE!</v>
      </c>
      <c r="I50" s="204" t="e">
        <f ca="1">((绝对估值!$E$57+NPV($A50,绝对估值!$F$57:$G$57)+(绝对估值!$H$58+NPV($A50,绝对估值!$I$58:$K$58))/(1+$A50)^Estiyears+绝对估值!$K$58*(1+I$49)/($A50-I$49)/(1+$A50)^(Transeyear+Estiyears-1))/(1+$A50)^((DATE(EndYear,12,31)-EstiDate)/365)+绝对估值!$D$63+绝对估值!$D$65-绝对估值!$D$66-绝对估值!$D$67)/绝对估值!$D$69*(unit/10000)</f>
        <v>#VALUE!</v>
      </c>
      <c r="J50" s="204" t="e">
        <f ca="1">((绝对估值!$E$57+NPV($A50,绝对估值!$F$57:$G$57)+(绝对估值!$H$58+NPV($A50,绝对估值!$I$58:$K$58))/(1+$A50)^Estiyears+绝对估值!$K$58*(1+J$49)/($A50-J$49)/(1+$A50)^(Transeyear+Estiyears-1))/(1+$A50)^((DATE(EndYear,12,31)-EstiDate)/365)+绝对估值!$D$63+绝对估值!$D$65-绝对估值!$D$66-绝对估值!$D$67)/绝对估值!$D$69*(unit/10000)</f>
        <v>#VALUE!</v>
      </c>
      <c r="K50" s="204" t="e">
        <f ca="1">((绝对估值!$E$57+NPV($A50,绝对估值!$F$57:$G$57)+(绝对估值!$H$58+NPV($A50,绝对估值!$I$58:$K$58))/(1+$A50)^Estiyears+绝对估值!$K$58*(1+K$49)/($A50-K$49)/(1+$A50)^(Transeyear+Estiyears-1))/(1+$A50)^((DATE(EndYear,12,31)-EstiDate)/365)+绝对估值!$D$63+绝对估值!$D$65-绝对估值!$D$66-绝对估值!$D$67)/绝对估值!$D$69*(unit/10000)</f>
        <v>#VALUE!</v>
      </c>
      <c r="L50" s="204" t="e">
        <f ca="1">((绝对估值!$E$57+NPV($A50,绝对估值!$F$57:$G$57)+(绝对估值!$H$58+NPV($A50,绝对估值!$I$58:$K$58))/(1+$A50)^Estiyears+绝对估值!$K$58*(1+L$49)/($A50-L$49)/(1+$A50)^(Transeyear+Estiyears-1))/(1+$A50)^((DATE(EndYear,12,31)-EstiDate)/365)+绝对估值!$D$63+绝对估值!$D$65-绝对估值!$D$66-绝对估值!$D$67)/绝对估值!$D$69*(unit/10000)</f>
        <v>#VALUE!</v>
      </c>
    </row>
    <row r="51" spans="1:12" outlineLevel="1">
      <c r="A51" s="201">
        <f t="shared" si="3"/>
        <v>7.605343622878287E-2</v>
      </c>
      <c r="B51" s="204" t="e">
        <f ca="1">((绝对估值!$E$57+NPV($A51,绝对估值!$F$57:$G$57)+(绝对估值!$H$58+NPV($A51,绝对估值!$I$58:$K$58))/(1+$A51)^Estiyears+绝对估值!$K$58*(1+B$49)/($A51-B$49)/(1+$A51)^(Transeyear+Estiyears-1))/(1+$A51)^((DATE(EndYear,12,31)-EstiDate)/365)+绝对估值!$D$63+绝对估值!$D$65-绝对估值!$D$66-绝对估值!$D$67)/绝对估值!$D$69*(unit/10000)</f>
        <v>#VALUE!</v>
      </c>
      <c r="C51" s="204" t="e">
        <f ca="1">((绝对估值!$E$57+NPV($A51,绝对估值!$F$57:$G$57)+(绝对估值!$H$58+NPV($A51,绝对估值!$I$58:$K$58))/(1+$A51)^Estiyears+绝对估值!$K$58*(1+C$49)/($A51-C$49)/(1+$A51)^(Transeyear+Estiyears-1))/(1+$A51)^((DATE(EndYear,12,31)-EstiDate)/365)+绝对估值!$D$63+绝对估值!$D$65-绝对估值!$D$66-绝对估值!$D$67)/绝对估值!$D$69*(unit/10000)</f>
        <v>#VALUE!</v>
      </c>
      <c r="D51" s="204" t="e">
        <f ca="1">((绝对估值!$E$57+NPV($A51,绝对估值!$F$57:$G$57)+(绝对估值!$H$58+NPV($A51,绝对估值!$I$58:$K$58))/(1+$A51)^Estiyears+绝对估值!$K$58*(1+D$49)/($A51-D$49)/(1+$A51)^(Transeyear+Estiyears-1))/(1+$A51)^((DATE(EndYear,12,31)-EstiDate)/365)+绝对估值!$D$63+绝对估值!$D$65-绝对估值!$D$66-绝对估值!$D$67)/绝对估值!$D$69*(unit/10000)</f>
        <v>#VALUE!</v>
      </c>
      <c r="E51" s="204" t="e">
        <f ca="1">((绝对估值!$E$57+NPV($A51,绝对估值!$F$57:$G$57)+(绝对估值!$H$58+NPV($A51,绝对估值!$I$58:$K$58))/(1+$A51)^Estiyears+绝对估值!$K$58*(1+E$49)/($A51-E$49)/(1+$A51)^(Transeyear+Estiyears-1))/(1+$A51)^((DATE(EndYear,12,31)-EstiDate)/365)+绝对估值!$D$63+绝对估值!$D$65-绝对估值!$D$66-绝对估值!$D$67)/绝对估值!$D$69*(unit/10000)</f>
        <v>#VALUE!</v>
      </c>
      <c r="F51" s="204" t="e">
        <f ca="1">((绝对估值!$E$57+NPV($A51,绝对估值!$F$57:$G$57)+(绝对估值!$H$58+NPV($A51,绝对估值!$I$58:$K$58))/(1+$A51)^Estiyears+绝对估值!$K$58*(1+F$49)/($A51-F$49)/(1+$A51)^(Transeyear+Estiyears-1))/(1+$A51)^((DATE(EndYear,12,31)-EstiDate)/365)+绝对估值!$D$63+绝对估值!$D$65-绝对估值!$D$66-绝对估值!$D$67)/绝对估值!$D$69*(unit/10000)</f>
        <v>#VALUE!</v>
      </c>
      <c r="G51" s="204" t="e">
        <f ca="1">((绝对估值!$E$57+NPV($A51,绝对估值!$F$57:$G$57)+(绝对估值!$H$58+NPV($A51,绝对估值!$I$58:$K$58))/(1+$A51)^Estiyears+绝对估值!$K$58*(1+G$49)/($A51-G$49)/(1+$A51)^(Transeyear+Estiyears-1))/(1+$A51)^((DATE(EndYear,12,31)-EstiDate)/365)+绝对估值!$D$63+绝对估值!$D$65-绝对估值!$D$66-绝对估值!$D$67)/绝对估值!$D$69*(unit/10000)</f>
        <v>#VALUE!</v>
      </c>
      <c r="H51" s="204" t="e">
        <f ca="1">((绝对估值!$E$57+NPV($A51,绝对估值!$F$57:$G$57)+(绝对估值!$H$58+NPV($A51,绝对估值!$I$58:$K$58))/(1+$A51)^Estiyears+绝对估值!$K$58*(1+H$49)/($A51-H$49)/(1+$A51)^(Transeyear+Estiyears-1))/(1+$A51)^((DATE(EndYear,12,31)-EstiDate)/365)+绝对估值!$D$63+绝对估值!$D$65-绝对估值!$D$66-绝对估值!$D$67)/绝对估值!$D$69*(unit/10000)</f>
        <v>#VALUE!</v>
      </c>
      <c r="I51" s="204" t="e">
        <f ca="1">((绝对估值!$E$57+NPV($A51,绝对估值!$F$57:$G$57)+(绝对估值!$H$58+NPV($A51,绝对估值!$I$58:$K$58))/(1+$A51)^Estiyears+绝对估值!$K$58*(1+I$49)/($A51-I$49)/(1+$A51)^(Transeyear+Estiyears-1))/(1+$A51)^((DATE(EndYear,12,31)-EstiDate)/365)+绝对估值!$D$63+绝对估值!$D$65-绝对估值!$D$66-绝对估值!$D$67)/绝对估值!$D$69*(unit/10000)</f>
        <v>#VALUE!</v>
      </c>
      <c r="J51" s="204" t="e">
        <f ca="1">((绝对估值!$E$57+NPV($A51,绝对估值!$F$57:$G$57)+(绝对估值!$H$58+NPV($A51,绝对估值!$I$58:$K$58))/(1+$A51)^Estiyears+绝对估值!$K$58*(1+J$49)/($A51-J$49)/(1+$A51)^(Transeyear+Estiyears-1))/(1+$A51)^((DATE(EndYear,12,31)-EstiDate)/365)+绝对估值!$D$63+绝对估值!$D$65-绝对估值!$D$66-绝对估值!$D$67)/绝对估值!$D$69*(unit/10000)</f>
        <v>#VALUE!</v>
      </c>
      <c r="K51" s="204" t="e">
        <f ca="1">((绝对估值!$E$57+NPV($A51,绝对估值!$F$57:$G$57)+(绝对估值!$H$58+NPV($A51,绝对估值!$I$58:$K$58))/(1+$A51)^Estiyears+绝对估值!$K$58*(1+K$49)/($A51-K$49)/(1+$A51)^(Transeyear+Estiyears-1))/(1+$A51)^((DATE(EndYear,12,31)-EstiDate)/365)+绝对估值!$D$63+绝对估值!$D$65-绝对估值!$D$66-绝对估值!$D$67)/绝对估值!$D$69*(unit/10000)</f>
        <v>#VALUE!</v>
      </c>
      <c r="L51" s="204" t="e">
        <f ca="1">((绝对估值!$E$57+NPV($A51,绝对估值!$F$57:$G$57)+(绝对估值!$H$58+NPV($A51,绝对估值!$I$58:$K$58))/(1+$A51)^Estiyears+绝对估值!$K$58*(1+L$49)/($A51-L$49)/(1+$A51)^(Transeyear+Estiyears-1))/(1+$A51)^((DATE(EndYear,12,31)-EstiDate)/365)+绝对估值!$D$63+绝对估值!$D$65-绝对估值!$D$66-绝对估值!$D$67)/绝对估值!$D$69*(unit/10000)</f>
        <v>#VALUE!</v>
      </c>
    </row>
    <row r="52" spans="1:12" outlineLevel="1">
      <c r="A52" s="201">
        <f t="shared" si="3"/>
        <v>8.3658779851661161E-2</v>
      </c>
      <c r="B52" s="204" t="e">
        <f ca="1">((绝对估值!$E$57+NPV($A52,绝对估值!$F$57:$G$57)+(绝对估值!$H$58+NPV($A52,绝对估值!$I$58:$K$58))/(1+$A52)^Estiyears+绝对估值!$K$58*(1+B$49)/($A52-B$49)/(1+$A52)^(Transeyear+Estiyears-1))/(1+$A52)^((DATE(EndYear,12,31)-EstiDate)/365)+绝对估值!$D$63+绝对估值!$D$65-绝对估值!$D$66-绝对估值!$D$67)/绝对估值!$D$69*(unit/10000)</f>
        <v>#VALUE!</v>
      </c>
      <c r="C52" s="204" t="e">
        <f ca="1">((绝对估值!$E$57+NPV($A52,绝对估值!$F$57:$G$57)+(绝对估值!$H$58+NPV($A52,绝对估值!$I$58:$K$58))/(1+$A52)^Estiyears+绝对估值!$K$58*(1+C$49)/($A52-C$49)/(1+$A52)^(Transeyear+Estiyears-1))/(1+$A52)^((DATE(EndYear,12,31)-EstiDate)/365)+绝对估值!$D$63+绝对估值!$D$65-绝对估值!$D$66-绝对估值!$D$67)/绝对估值!$D$69*(unit/10000)</f>
        <v>#VALUE!</v>
      </c>
      <c r="D52" s="204" t="e">
        <f ca="1">((绝对估值!$E$57+NPV($A52,绝对估值!$F$57:$G$57)+(绝对估值!$H$58+NPV($A52,绝对估值!$I$58:$K$58))/(1+$A52)^Estiyears+绝对估值!$K$58*(1+D$49)/($A52-D$49)/(1+$A52)^(Transeyear+Estiyears-1))/(1+$A52)^((DATE(EndYear,12,31)-EstiDate)/365)+绝对估值!$D$63+绝对估值!$D$65-绝对估值!$D$66-绝对估值!$D$67)/绝对估值!$D$69*(unit/10000)</f>
        <v>#VALUE!</v>
      </c>
      <c r="E52" s="204" t="e">
        <f ca="1">((绝对估值!$E$57+NPV($A52,绝对估值!$F$57:$G$57)+(绝对估值!$H$58+NPV($A52,绝对估值!$I$58:$K$58))/(1+$A52)^Estiyears+绝对估值!$K$58*(1+E$49)/($A52-E$49)/(1+$A52)^(Transeyear+Estiyears-1))/(1+$A52)^((DATE(EndYear,12,31)-EstiDate)/365)+绝对估值!$D$63+绝对估值!$D$65-绝对估值!$D$66-绝对估值!$D$67)/绝对估值!$D$69*(unit/10000)</f>
        <v>#VALUE!</v>
      </c>
      <c r="F52" s="204" t="e">
        <f ca="1">((绝对估值!$E$57+NPV($A52,绝对估值!$F$57:$G$57)+(绝对估值!$H$58+NPV($A52,绝对估值!$I$58:$K$58))/(1+$A52)^Estiyears+绝对估值!$K$58*(1+F$49)/($A52-F$49)/(1+$A52)^(Transeyear+Estiyears-1))/(1+$A52)^((DATE(EndYear,12,31)-EstiDate)/365)+绝对估值!$D$63+绝对估值!$D$65-绝对估值!$D$66-绝对估值!$D$67)/绝对估值!$D$69*(unit/10000)</f>
        <v>#VALUE!</v>
      </c>
      <c r="G52" s="204" t="e">
        <f ca="1">((绝对估值!$E$57+NPV($A52,绝对估值!$F$57:$G$57)+(绝对估值!$H$58+NPV($A52,绝对估值!$I$58:$K$58))/(1+$A52)^Estiyears+绝对估值!$K$58*(1+G$49)/($A52-G$49)/(1+$A52)^(Transeyear+Estiyears-1))/(1+$A52)^((DATE(EndYear,12,31)-EstiDate)/365)+绝对估值!$D$63+绝对估值!$D$65-绝对估值!$D$66-绝对估值!$D$67)/绝对估值!$D$69*(unit/10000)</f>
        <v>#VALUE!</v>
      </c>
      <c r="H52" s="204" t="e">
        <f ca="1">((绝对估值!$E$57+NPV($A52,绝对估值!$F$57:$G$57)+(绝对估值!$H$58+NPV($A52,绝对估值!$I$58:$K$58))/(1+$A52)^Estiyears+绝对估值!$K$58*(1+H$49)/($A52-H$49)/(1+$A52)^(Transeyear+Estiyears-1))/(1+$A52)^((DATE(EndYear,12,31)-EstiDate)/365)+绝对估值!$D$63+绝对估值!$D$65-绝对估值!$D$66-绝对估值!$D$67)/绝对估值!$D$69*(unit/10000)</f>
        <v>#VALUE!</v>
      </c>
      <c r="I52" s="204" t="e">
        <f ca="1">((绝对估值!$E$57+NPV($A52,绝对估值!$F$57:$G$57)+(绝对估值!$H$58+NPV($A52,绝对估值!$I$58:$K$58))/(1+$A52)^Estiyears+绝对估值!$K$58*(1+I$49)/($A52-I$49)/(1+$A52)^(Transeyear+Estiyears-1))/(1+$A52)^((DATE(EndYear,12,31)-EstiDate)/365)+绝对估值!$D$63+绝对估值!$D$65-绝对估值!$D$66-绝对估值!$D$67)/绝对估值!$D$69*(unit/10000)</f>
        <v>#VALUE!</v>
      </c>
      <c r="J52" s="204" t="e">
        <f ca="1">((绝对估值!$E$57+NPV($A52,绝对估值!$F$57:$G$57)+(绝对估值!$H$58+NPV($A52,绝对估值!$I$58:$K$58))/(1+$A52)^Estiyears+绝对估值!$K$58*(1+J$49)/($A52-J$49)/(1+$A52)^(Transeyear+Estiyears-1))/(1+$A52)^((DATE(EndYear,12,31)-EstiDate)/365)+绝对估值!$D$63+绝对估值!$D$65-绝对估值!$D$66-绝对估值!$D$67)/绝对估值!$D$69*(unit/10000)</f>
        <v>#VALUE!</v>
      </c>
      <c r="K52" s="204" t="e">
        <f ca="1">((绝对估值!$E$57+NPV($A52,绝对估值!$F$57:$G$57)+(绝对估值!$H$58+NPV($A52,绝对估值!$I$58:$K$58))/(1+$A52)^Estiyears+绝对估值!$K$58*(1+K$49)/($A52-K$49)/(1+$A52)^(Transeyear+Estiyears-1))/(1+$A52)^((DATE(EndYear,12,31)-EstiDate)/365)+绝对估值!$D$63+绝对估值!$D$65-绝对估值!$D$66-绝对估值!$D$67)/绝对估值!$D$69*(unit/10000)</f>
        <v>#VALUE!</v>
      </c>
      <c r="L52" s="204" t="e">
        <f ca="1">((绝对估值!$E$57+NPV($A52,绝对估值!$F$57:$G$57)+(绝对估值!$H$58+NPV($A52,绝对估值!$I$58:$K$58))/(1+$A52)^Estiyears+绝对估值!$K$58*(1+L$49)/($A52-L$49)/(1+$A52)^(Transeyear+Estiyears-1))/(1+$A52)^((DATE(EndYear,12,31)-EstiDate)/365)+绝对估值!$D$63+绝对估值!$D$65-绝对估值!$D$66-绝对估值!$D$67)/绝对估值!$D$69*(unit/10000)</f>
        <v>#VALUE!</v>
      </c>
    </row>
    <row r="53" spans="1:12" outlineLevel="1">
      <c r="A53" s="201">
        <f t="shared" si="3"/>
        <v>9.2024657836827284E-2</v>
      </c>
      <c r="B53" s="204" t="e">
        <f ca="1">((绝对估值!$E$57+NPV($A53,绝对估值!$F$57:$G$57)+(绝对估值!$H$58+NPV($A53,绝对估值!$I$58:$K$58))/(1+$A53)^Estiyears+绝对估值!$K$58*(1+B$49)/($A53-B$49)/(1+$A53)^(Transeyear+Estiyears-1))/(1+$A53)^((DATE(EndYear,12,31)-EstiDate)/365)+绝对估值!$D$63+绝对估值!$D$65-绝对估值!$D$66-绝对估值!$D$67)/绝对估值!$D$69*(unit/10000)</f>
        <v>#VALUE!</v>
      </c>
      <c r="C53" s="204" t="e">
        <f ca="1">((绝对估值!$E$57+NPV($A53,绝对估值!$F$57:$G$57)+(绝对估值!$H$58+NPV($A53,绝对估值!$I$58:$K$58))/(1+$A53)^Estiyears+绝对估值!$K$58*(1+C$49)/($A53-C$49)/(1+$A53)^(Transeyear+Estiyears-1))/(1+$A53)^((DATE(EndYear,12,31)-EstiDate)/365)+绝对估值!$D$63+绝对估值!$D$65-绝对估值!$D$66-绝对估值!$D$67)/绝对估值!$D$69*(unit/10000)</f>
        <v>#VALUE!</v>
      </c>
      <c r="D53" s="204" t="e">
        <f ca="1">((绝对估值!$E$57+NPV($A53,绝对估值!$F$57:$G$57)+(绝对估值!$H$58+NPV($A53,绝对估值!$I$58:$K$58))/(1+$A53)^Estiyears+绝对估值!$K$58*(1+D$49)/($A53-D$49)/(1+$A53)^(Transeyear+Estiyears-1))/(1+$A53)^((DATE(EndYear,12,31)-EstiDate)/365)+绝对估值!$D$63+绝对估值!$D$65-绝对估值!$D$66-绝对估值!$D$67)/绝对估值!$D$69*(unit/10000)</f>
        <v>#VALUE!</v>
      </c>
      <c r="E53" s="204" t="e">
        <f ca="1">((绝对估值!$E$57+NPV($A53,绝对估值!$F$57:$G$57)+(绝对估值!$H$58+NPV($A53,绝对估值!$I$58:$K$58))/(1+$A53)^Estiyears+绝对估值!$K$58*(1+E$49)/($A53-E$49)/(1+$A53)^(Transeyear+Estiyears-1))/(1+$A53)^((DATE(EndYear,12,31)-EstiDate)/365)+绝对估值!$D$63+绝对估值!$D$65-绝对估值!$D$66-绝对估值!$D$67)/绝对估值!$D$69*(unit/10000)</f>
        <v>#VALUE!</v>
      </c>
      <c r="F53" s="204" t="e">
        <f ca="1">((绝对估值!$E$57+NPV($A53,绝对估值!$F$57:$G$57)+(绝对估值!$H$58+NPV($A53,绝对估值!$I$58:$K$58))/(1+$A53)^Estiyears+绝对估值!$K$58*(1+F$49)/($A53-F$49)/(1+$A53)^(Transeyear+Estiyears-1))/(1+$A53)^((DATE(EndYear,12,31)-EstiDate)/365)+绝对估值!$D$63+绝对估值!$D$65-绝对估值!$D$66-绝对估值!$D$67)/绝对估值!$D$69*(unit/10000)</f>
        <v>#VALUE!</v>
      </c>
      <c r="G53" s="204" t="e">
        <f ca="1">((绝对估值!$E$57+NPV($A53,绝对估值!$F$57:$G$57)+(绝对估值!$H$58+NPV($A53,绝对估值!$I$58:$K$58))/(1+$A53)^Estiyears+绝对估值!$K$58*(1+G$49)/($A53-G$49)/(1+$A53)^(Transeyear+Estiyears-1))/(1+$A53)^((DATE(EndYear,12,31)-EstiDate)/365)+绝对估值!$D$63+绝对估值!$D$65-绝对估值!$D$66-绝对估值!$D$67)/绝对估值!$D$69*(unit/10000)</f>
        <v>#VALUE!</v>
      </c>
      <c r="H53" s="204" t="e">
        <f ca="1">((绝对估值!$E$57+NPV($A53,绝对估值!$F$57:$G$57)+(绝对估值!$H$58+NPV($A53,绝对估值!$I$58:$K$58))/(1+$A53)^Estiyears+绝对估值!$K$58*(1+H$49)/($A53-H$49)/(1+$A53)^(Transeyear+Estiyears-1))/(1+$A53)^((DATE(EndYear,12,31)-EstiDate)/365)+绝对估值!$D$63+绝对估值!$D$65-绝对估值!$D$66-绝对估值!$D$67)/绝对估值!$D$69*(unit/10000)</f>
        <v>#VALUE!</v>
      </c>
      <c r="I53" s="204" t="e">
        <f ca="1">((绝对估值!$E$57+NPV($A53,绝对估值!$F$57:$G$57)+(绝对估值!$H$58+NPV($A53,绝对估值!$I$58:$K$58))/(1+$A53)^Estiyears+绝对估值!$K$58*(1+I$49)/($A53-I$49)/(1+$A53)^(Transeyear+Estiyears-1))/(1+$A53)^((DATE(EndYear,12,31)-EstiDate)/365)+绝对估值!$D$63+绝对估值!$D$65-绝对估值!$D$66-绝对估值!$D$67)/绝对估值!$D$69*(unit/10000)</f>
        <v>#VALUE!</v>
      </c>
      <c r="J53" s="204" t="e">
        <f ca="1">((绝对估值!$E$57+NPV($A53,绝对估值!$F$57:$G$57)+(绝对估值!$H$58+NPV($A53,绝对估值!$I$58:$K$58))/(1+$A53)^Estiyears+绝对估值!$K$58*(1+J$49)/($A53-J$49)/(1+$A53)^(Transeyear+Estiyears-1))/(1+$A53)^((DATE(EndYear,12,31)-EstiDate)/365)+绝对估值!$D$63+绝对估值!$D$65-绝对估值!$D$66-绝对估值!$D$67)/绝对估值!$D$69*(unit/10000)</f>
        <v>#VALUE!</v>
      </c>
      <c r="K53" s="204" t="e">
        <f ca="1">((绝对估值!$E$57+NPV($A53,绝对估值!$F$57:$G$57)+(绝对估值!$H$58+NPV($A53,绝对估值!$I$58:$K$58))/(1+$A53)^Estiyears+绝对估值!$K$58*(1+K$49)/($A53-K$49)/(1+$A53)^(Transeyear+Estiyears-1))/(1+$A53)^((DATE(EndYear,12,31)-EstiDate)/365)+绝对估值!$D$63+绝对估值!$D$65-绝对估值!$D$66-绝对估值!$D$67)/绝对估值!$D$69*(unit/10000)</f>
        <v>#VALUE!</v>
      </c>
      <c r="L53" s="204" t="e">
        <f ca="1">((绝对估值!$E$57+NPV($A53,绝对估值!$F$57:$G$57)+(绝对估值!$H$58+NPV($A53,绝对估值!$I$58:$K$58))/(1+$A53)^Estiyears+绝对估值!$K$58*(1+L$49)/($A53-L$49)/(1+$A53)^(Transeyear+Estiyears-1))/(1+$A53)^((DATE(EndYear,12,31)-EstiDate)/365)+绝对估值!$D$63+绝对估值!$D$65-绝对估值!$D$66-绝对估值!$D$67)/绝对估值!$D$69*(unit/10000)</f>
        <v>#VALUE!</v>
      </c>
    </row>
    <row r="54" spans="1:12" outlineLevel="1">
      <c r="A54" s="201">
        <f t="shared" si="3"/>
        <v>0.10122712362051002</v>
      </c>
      <c r="B54" s="204" t="e">
        <f ca="1">((绝对估值!$E$57+NPV($A54,绝对估值!$F$57:$G$57)+(绝对估值!$H$58+NPV($A54,绝对估值!$I$58:$K$58))/(1+$A54)^Estiyears+绝对估值!$K$58*(1+B$49)/($A54-B$49)/(1+$A54)^(Transeyear+Estiyears-1))/(1+$A54)^((DATE(EndYear,12,31)-EstiDate)/365)+绝对估值!$D$63+绝对估值!$D$65-绝对估值!$D$66-绝对估值!$D$67)/绝对估值!$D$69*(unit/10000)</f>
        <v>#VALUE!</v>
      </c>
      <c r="C54" s="204" t="e">
        <f ca="1">((绝对估值!$E$57+NPV($A54,绝对估值!$F$57:$G$57)+(绝对估值!$H$58+NPV($A54,绝对估值!$I$58:$K$58))/(1+$A54)^Estiyears+绝对估值!$K$58*(1+C$49)/($A54-C$49)/(1+$A54)^(Transeyear+Estiyears-1))/(1+$A54)^((DATE(EndYear,12,31)-EstiDate)/365)+绝对估值!$D$63+绝对估值!$D$65-绝对估值!$D$66-绝对估值!$D$67)/绝对估值!$D$69*(unit/10000)</f>
        <v>#VALUE!</v>
      </c>
      <c r="D54" s="204" t="e">
        <f ca="1">((绝对估值!$E$57+NPV($A54,绝对估值!$F$57:$G$57)+(绝对估值!$H$58+NPV($A54,绝对估值!$I$58:$K$58))/(1+$A54)^Estiyears+绝对估值!$K$58*(1+D$49)/($A54-D$49)/(1+$A54)^(Transeyear+Estiyears-1))/(1+$A54)^((DATE(EndYear,12,31)-EstiDate)/365)+绝对估值!$D$63+绝对估值!$D$65-绝对估值!$D$66-绝对估值!$D$67)/绝对估值!$D$69*(unit/10000)</f>
        <v>#VALUE!</v>
      </c>
      <c r="E54" s="204" t="e">
        <f ca="1">((绝对估值!$E$57+NPV($A54,绝对估值!$F$57:$G$57)+(绝对估值!$H$58+NPV($A54,绝对估值!$I$58:$K$58))/(1+$A54)^Estiyears+绝对估值!$K$58*(1+E$49)/($A54-E$49)/(1+$A54)^(Transeyear+Estiyears-1))/(1+$A54)^((DATE(EndYear,12,31)-EstiDate)/365)+绝对估值!$D$63+绝对估值!$D$65-绝对估值!$D$66-绝对估值!$D$67)/绝对估值!$D$69*(unit/10000)</f>
        <v>#VALUE!</v>
      </c>
      <c r="F54" s="204" t="e">
        <f ca="1">((绝对估值!$E$57+NPV($A54,绝对估值!$F$57:$G$57)+(绝对估值!$H$58+NPV($A54,绝对估值!$I$58:$K$58))/(1+$A54)^Estiyears+绝对估值!$K$58*(1+F$49)/($A54-F$49)/(1+$A54)^(Transeyear+Estiyears-1))/(1+$A54)^((DATE(EndYear,12,31)-EstiDate)/365)+绝对估值!$D$63+绝对估值!$D$65-绝对估值!$D$66-绝对估值!$D$67)/绝对估值!$D$69*(unit/10000)</f>
        <v>#VALUE!</v>
      </c>
      <c r="G54" s="204" t="e">
        <f ca="1">((绝对估值!$E$57+NPV($A54,绝对估值!$F$57:$G$57)+(绝对估值!$H$58+NPV($A54,绝对估值!$I$58:$K$58))/(1+$A54)^Estiyears+绝对估值!$K$58*(1+G$49)/($A54-G$49)/(1+$A54)^(Transeyear+Estiyears-1))/(1+$A54)^((DATE(EndYear,12,31)-EstiDate)/365)+绝对估值!$D$63+绝对估值!$D$65-绝对估值!$D$66-绝对估值!$D$67)/绝对估值!$D$69*(unit/10000)</f>
        <v>#VALUE!</v>
      </c>
      <c r="H54" s="204" t="e">
        <f ca="1">((绝对估值!$E$57+NPV($A54,绝对估值!$F$57:$G$57)+(绝对估值!$H$58+NPV($A54,绝对估值!$I$58:$K$58))/(1+$A54)^Estiyears+绝对估值!$K$58*(1+H$49)/($A54-H$49)/(1+$A54)^(Transeyear+Estiyears-1))/(1+$A54)^((DATE(EndYear,12,31)-EstiDate)/365)+绝对估值!$D$63+绝对估值!$D$65-绝对估值!$D$66-绝对估值!$D$67)/绝对估值!$D$69*(unit/10000)</f>
        <v>#VALUE!</v>
      </c>
      <c r="I54" s="204" t="e">
        <f ca="1">((绝对估值!$E$57+NPV($A54,绝对估值!$F$57:$G$57)+(绝对估值!$H$58+NPV($A54,绝对估值!$I$58:$K$58))/(1+$A54)^Estiyears+绝对估值!$K$58*(1+I$49)/($A54-I$49)/(1+$A54)^(Transeyear+Estiyears-1))/(1+$A54)^((DATE(EndYear,12,31)-EstiDate)/365)+绝对估值!$D$63+绝对估值!$D$65-绝对估值!$D$66-绝对估值!$D$67)/绝对估值!$D$69*(unit/10000)</f>
        <v>#VALUE!</v>
      </c>
      <c r="J54" s="204" t="e">
        <f ca="1">((绝对估值!$E$57+NPV($A54,绝对估值!$F$57:$G$57)+(绝对估值!$H$58+NPV($A54,绝对估值!$I$58:$K$58))/(1+$A54)^Estiyears+绝对估值!$K$58*(1+J$49)/($A54-J$49)/(1+$A54)^(Transeyear+Estiyears-1))/(1+$A54)^((DATE(EndYear,12,31)-EstiDate)/365)+绝对估值!$D$63+绝对估值!$D$65-绝对估值!$D$66-绝对估值!$D$67)/绝对估值!$D$69*(unit/10000)</f>
        <v>#VALUE!</v>
      </c>
      <c r="K54" s="204" t="e">
        <f ca="1">((绝对估值!$E$57+NPV($A54,绝对估值!$F$57:$G$57)+(绝对估值!$H$58+NPV($A54,绝对估值!$I$58:$K$58))/(1+$A54)^Estiyears+绝对估值!$K$58*(1+K$49)/($A54-K$49)/(1+$A54)^(Transeyear+Estiyears-1))/(1+$A54)^((DATE(EndYear,12,31)-EstiDate)/365)+绝对估值!$D$63+绝对估值!$D$65-绝对估值!$D$66-绝对估值!$D$67)/绝对估值!$D$69*(unit/10000)</f>
        <v>#VALUE!</v>
      </c>
      <c r="L54" s="204" t="e">
        <f ca="1">((绝对估值!$E$57+NPV($A54,绝对估值!$F$57:$G$57)+(绝对估值!$H$58+NPV($A54,绝对估值!$I$58:$K$58))/(1+$A54)^Estiyears+绝对估值!$K$58*(1+L$49)/($A54-L$49)/(1+$A54)^(Transeyear+Estiyears-1))/(1+$A54)^((DATE(EndYear,12,31)-EstiDate)/365)+绝对估值!$D$63+绝对估值!$D$65-绝对估值!$D$66-绝对估值!$D$67)/绝对估值!$D$69*(unit/10000)</f>
        <v>#VALUE!</v>
      </c>
    </row>
    <row r="55" spans="1:12" outlineLevel="1">
      <c r="A55" s="201">
        <f t="shared" si="3"/>
        <v>0.11134983598256103</v>
      </c>
      <c r="B55" s="204" t="e">
        <f ca="1">((绝对估值!$E$57+NPV($A55,绝对估值!$F$57:$G$57)+(绝对估值!$H$58+NPV($A55,绝对估值!$I$58:$K$58))/(1+$A55)^Estiyears+绝对估值!$K$58*(1+B$49)/($A55-B$49)/(1+$A55)^(Transeyear+Estiyears-1))/(1+$A55)^((DATE(EndYear,12,31)-EstiDate)/365)+绝对估值!$D$63+绝对估值!$D$65-绝对估值!$D$66-绝对估值!$D$67)/绝对估值!$D$69*(unit/10000)</f>
        <v>#VALUE!</v>
      </c>
      <c r="C55" s="204" t="e">
        <f ca="1">((绝对估值!$E$57+NPV($A55,绝对估值!$F$57:$G$57)+(绝对估值!$H$58+NPV($A55,绝对估值!$I$58:$K$58))/(1+$A55)^Estiyears+绝对估值!$K$58*(1+C$49)/($A55-C$49)/(1+$A55)^(Transeyear+Estiyears-1))/(1+$A55)^((DATE(EndYear,12,31)-EstiDate)/365)+绝对估值!$D$63+绝对估值!$D$65-绝对估值!$D$66-绝对估值!$D$67)/绝对估值!$D$69*(unit/10000)</f>
        <v>#VALUE!</v>
      </c>
      <c r="D55" s="204" t="e">
        <f ca="1">((绝对估值!$E$57+NPV($A55,绝对估值!$F$57:$G$57)+(绝对估值!$H$58+NPV($A55,绝对估值!$I$58:$K$58))/(1+$A55)^Estiyears+绝对估值!$K$58*(1+D$49)/($A55-D$49)/(1+$A55)^(Transeyear+Estiyears-1))/(1+$A55)^((DATE(EndYear,12,31)-EstiDate)/365)+绝对估值!$D$63+绝对估值!$D$65-绝对估值!$D$66-绝对估值!$D$67)/绝对估值!$D$69*(unit/10000)</f>
        <v>#VALUE!</v>
      </c>
      <c r="E55" s="204" t="e">
        <f ca="1">((绝对估值!$E$57+NPV($A55,绝对估值!$F$57:$G$57)+(绝对估值!$H$58+NPV($A55,绝对估值!$I$58:$K$58))/(1+$A55)^Estiyears+绝对估值!$K$58*(1+E$49)/($A55-E$49)/(1+$A55)^(Transeyear+Estiyears-1))/(1+$A55)^((DATE(EndYear,12,31)-EstiDate)/365)+绝对估值!$D$63+绝对估值!$D$65-绝对估值!$D$66-绝对估值!$D$67)/绝对估值!$D$69*(unit/10000)</f>
        <v>#VALUE!</v>
      </c>
      <c r="F55" s="204" t="e">
        <f ca="1">((绝对估值!$E$57+NPV($A55,绝对估值!$F$57:$G$57)+(绝对估值!$H$58+NPV($A55,绝对估值!$I$58:$K$58))/(1+$A55)^Estiyears+绝对估值!$K$58*(1+F$49)/($A55-F$49)/(1+$A55)^(Transeyear+Estiyears-1))/(1+$A55)^((DATE(EndYear,12,31)-EstiDate)/365)+绝对估值!$D$63+绝对估值!$D$65-绝对估值!$D$66-绝对估值!$D$67)/绝对估值!$D$69*(unit/10000)</f>
        <v>#VALUE!</v>
      </c>
      <c r="G55" s="204" t="e">
        <f ca="1">((绝对估值!$E$57+NPV($A55,绝对估值!$F$57:$G$57)+(绝对估值!$H$58+NPV($A55,绝对估值!$I$58:$K$58))/(1+$A55)^Estiyears+绝对估值!$K$58*(1+G$49)/($A55-G$49)/(1+$A55)^(Transeyear+Estiyears-1))/(1+$A55)^((DATE(EndYear,12,31)-EstiDate)/365)+绝对估值!$D$63+绝对估值!$D$65-绝对估值!$D$66-绝对估值!$D$67)/绝对估值!$D$69*(unit/10000)</f>
        <v>#VALUE!</v>
      </c>
      <c r="H55" s="204" t="e">
        <f ca="1">((绝对估值!$E$57+NPV($A55,绝对估值!$F$57:$G$57)+(绝对估值!$H$58+NPV($A55,绝对估值!$I$58:$K$58))/(1+$A55)^Estiyears+绝对估值!$K$58*(1+H$49)/($A55-H$49)/(1+$A55)^(Transeyear+Estiyears-1))/(1+$A55)^((DATE(EndYear,12,31)-EstiDate)/365)+绝对估值!$D$63+绝对估值!$D$65-绝对估值!$D$66-绝对估值!$D$67)/绝对估值!$D$69*(unit/10000)</f>
        <v>#VALUE!</v>
      </c>
      <c r="I55" s="204" t="e">
        <f ca="1">((绝对估值!$E$57+NPV($A55,绝对估值!$F$57:$G$57)+(绝对估值!$H$58+NPV($A55,绝对估值!$I$58:$K$58))/(1+$A55)^Estiyears+绝对估值!$K$58*(1+I$49)/($A55-I$49)/(1+$A55)^(Transeyear+Estiyears-1))/(1+$A55)^((DATE(EndYear,12,31)-EstiDate)/365)+绝对估值!$D$63+绝对估值!$D$65-绝对估值!$D$66-绝对估值!$D$67)/绝对估值!$D$69*(unit/10000)</f>
        <v>#VALUE!</v>
      </c>
      <c r="J55" s="204" t="e">
        <f ca="1">((绝对估值!$E$57+NPV($A55,绝对估值!$F$57:$G$57)+(绝对估值!$H$58+NPV($A55,绝对估值!$I$58:$K$58))/(1+$A55)^Estiyears+绝对估值!$K$58*(1+J$49)/($A55-J$49)/(1+$A55)^(Transeyear+Estiyears-1))/(1+$A55)^((DATE(EndYear,12,31)-EstiDate)/365)+绝对估值!$D$63+绝对估值!$D$65-绝对估值!$D$66-绝对估值!$D$67)/绝对估值!$D$69*(unit/10000)</f>
        <v>#VALUE!</v>
      </c>
      <c r="K55" s="204" t="e">
        <f ca="1">((绝对估值!$E$57+NPV($A55,绝对估值!$F$57:$G$57)+(绝对估值!$H$58+NPV($A55,绝对估值!$I$58:$K$58))/(1+$A55)^Estiyears+绝对估值!$K$58*(1+K$49)/($A55-K$49)/(1+$A55)^(Transeyear+Estiyears-1))/(1+$A55)^((DATE(EndYear,12,31)-EstiDate)/365)+绝对估值!$D$63+绝对估值!$D$65-绝对估值!$D$66-绝对估值!$D$67)/绝对估值!$D$69*(unit/10000)</f>
        <v>#VALUE!</v>
      </c>
      <c r="L55" s="204" t="e">
        <f ca="1">((绝对估值!$E$57+NPV($A55,绝对估值!$F$57:$G$57)+(绝对估值!$H$58+NPV($A55,绝对估值!$I$58:$K$58))/(1+$A55)^Estiyears+绝对估值!$K$58*(1+L$49)/($A55-L$49)/(1+$A55)^(Transeyear+Estiyears-1))/(1+$A55)^((DATE(EndYear,12,31)-EstiDate)/365)+绝对估值!$D$63+绝对估值!$D$65-绝对估值!$D$66-绝对估值!$D$67)/绝对估值!$D$69*(unit/10000)</f>
        <v>#VALUE!</v>
      </c>
    </row>
    <row r="56" spans="1:12" outlineLevel="1">
      <c r="A56" s="201">
        <f t="shared" si="3"/>
        <v>0.12248481958081714</v>
      </c>
      <c r="B56" s="204" t="e">
        <f ca="1">((绝对估值!$E$57+NPV($A56,绝对估值!$F$57:$G$57)+(绝对估值!$H$58+NPV($A56,绝对估值!$I$58:$K$58))/(1+$A56)^Estiyears+绝对估值!$K$58*(1+B$49)/($A56-B$49)/(1+$A56)^(Transeyear+Estiyears-1))/(1+$A56)^((DATE(EndYear,12,31)-EstiDate)/365)+绝对估值!$D$63+绝对估值!$D$65-绝对估值!$D$66-绝对估值!$D$67)/绝对估值!$D$69*(unit/10000)</f>
        <v>#VALUE!</v>
      </c>
      <c r="C56" s="204" t="e">
        <f ca="1">((绝对估值!$E$57+NPV($A56,绝对估值!$F$57:$G$57)+(绝对估值!$H$58+NPV($A56,绝对估值!$I$58:$K$58))/(1+$A56)^Estiyears+绝对估值!$K$58*(1+C$49)/($A56-C$49)/(1+$A56)^(Transeyear+Estiyears-1))/(1+$A56)^((DATE(EndYear,12,31)-EstiDate)/365)+绝对估值!$D$63+绝对估值!$D$65-绝对估值!$D$66-绝对估值!$D$67)/绝对估值!$D$69*(unit/10000)</f>
        <v>#VALUE!</v>
      </c>
      <c r="D56" s="204" t="e">
        <f ca="1">((绝对估值!$E$57+NPV($A56,绝对估值!$F$57:$G$57)+(绝对估值!$H$58+NPV($A56,绝对估值!$I$58:$K$58))/(1+$A56)^Estiyears+绝对估值!$K$58*(1+D$49)/($A56-D$49)/(1+$A56)^(Transeyear+Estiyears-1))/(1+$A56)^((DATE(EndYear,12,31)-EstiDate)/365)+绝对估值!$D$63+绝对估值!$D$65-绝对估值!$D$66-绝对估值!$D$67)/绝对估值!$D$69*(unit/10000)</f>
        <v>#VALUE!</v>
      </c>
      <c r="E56" s="204" t="e">
        <f ca="1">((绝对估值!$E$57+NPV($A56,绝对估值!$F$57:$G$57)+(绝对估值!$H$58+NPV($A56,绝对估值!$I$58:$K$58))/(1+$A56)^Estiyears+绝对估值!$K$58*(1+E$49)/($A56-E$49)/(1+$A56)^(Transeyear+Estiyears-1))/(1+$A56)^((DATE(EndYear,12,31)-EstiDate)/365)+绝对估值!$D$63+绝对估值!$D$65-绝对估值!$D$66-绝对估值!$D$67)/绝对估值!$D$69*(unit/10000)</f>
        <v>#VALUE!</v>
      </c>
      <c r="F56" s="204" t="e">
        <f ca="1">((绝对估值!$E$57+NPV($A56,绝对估值!$F$57:$G$57)+(绝对估值!$H$58+NPV($A56,绝对估值!$I$58:$K$58))/(1+$A56)^Estiyears+绝对估值!$K$58*(1+F$49)/($A56-F$49)/(1+$A56)^(Transeyear+Estiyears-1))/(1+$A56)^((DATE(EndYear,12,31)-EstiDate)/365)+绝对估值!$D$63+绝对估值!$D$65-绝对估值!$D$66-绝对估值!$D$67)/绝对估值!$D$69*(unit/10000)</f>
        <v>#VALUE!</v>
      </c>
      <c r="G56" s="204" t="e">
        <f ca="1">((绝对估值!$E$57+NPV($A56,绝对估值!$F$57:$G$57)+(绝对估值!$H$58+NPV($A56,绝对估值!$I$58:$K$58))/(1+$A56)^Estiyears+绝对估值!$K$58*(1+G$49)/($A56-G$49)/(1+$A56)^(Transeyear+Estiyears-1))/(1+$A56)^((DATE(EndYear,12,31)-EstiDate)/365)+绝对估值!$D$63+绝对估值!$D$65-绝对估值!$D$66-绝对估值!$D$67)/绝对估值!$D$69*(unit/10000)</f>
        <v>#VALUE!</v>
      </c>
      <c r="H56" s="204" t="e">
        <f ca="1">((绝对估值!$E$57+NPV($A56,绝对估值!$F$57:$G$57)+(绝对估值!$H$58+NPV($A56,绝对估值!$I$58:$K$58))/(1+$A56)^Estiyears+绝对估值!$K$58*(1+H$49)/($A56-H$49)/(1+$A56)^(Transeyear+Estiyears-1))/(1+$A56)^((DATE(EndYear,12,31)-EstiDate)/365)+绝对估值!$D$63+绝对估值!$D$65-绝对估值!$D$66-绝对估值!$D$67)/绝对估值!$D$69*(unit/10000)</f>
        <v>#VALUE!</v>
      </c>
      <c r="I56" s="204" t="e">
        <f ca="1">((绝对估值!$E$57+NPV($A56,绝对估值!$F$57:$G$57)+(绝对估值!$H$58+NPV($A56,绝对估值!$I$58:$K$58))/(1+$A56)^Estiyears+绝对估值!$K$58*(1+I$49)/($A56-I$49)/(1+$A56)^(Transeyear+Estiyears-1))/(1+$A56)^((DATE(EndYear,12,31)-EstiDate)/365)+绝对估值!$D$63+绝对估值!$D$65-绝对估值!$D$66-绝对估值!$D$67)/绝对估值!$D$69*(unit/10000)</f>
        <v>#VALUE!</v>
      </c>
      <c r="J56" s="204" t="e">
        <f ca="1">((绝对估值!$E$57+NPV($A56,绝对估值!$F$57:$G$57)+(绝对估值!$H$58+NPV($A56,绝对估值!$I$58:$K$58))/(1+$A56)^Estiyears+绝对估值!$K$58*(1+J$49)/($A56-J$49)/(1+$A56)^(Transeyear+Estiyears-1))/(1+$A56)^((DATE(EndYear,12,31)-EstiDate)/365)+绝对估值!$D$63+绝对估值!$D$65-绝对估值!$D$66-绝对估值!$D$67)/绝对估值!$D$69*(unit/10000)</f>
        <v>#VALUE!</v>
      </c>
      <c r="K56" s="204" t="e">
        <f ca="1">((绝对估值!$E$57+NPV($A56,绝对估值!$F$57:$G$57)+(绝对估值!$H$58+NPV($A56,绝对估值!$I$58:$K$58))/(1+$A56)^Estiyears+绝对估值!$K$58*(1+K$49)/($A56-K$49)/(1+$A56)^(Transeyear+Estiyears-1))/(1+$A56)^((DATE(EndYear,12,31)-EstiDate)/365)+绝对估值!$D$63+绝对估值!$D$65-绝对估值!$D$66-绝对估值!$D$67)/绝对估值!$D$69*(unit/10000)</f>
        <v>#VALUE!</v>
      </c>
      <c r="L56" s="204" t="e">
        <f ca="1">((绝对估值!$E$57+NPV($A56,绝对估值!$F$57:$G$57)+(绝对估值!$H$58+NPV($A56,绝对估值!$I$58:$K$58))/(1+$A56)^Estiyears+绝对估值!$K$58*(1+L$49)/($A56-L$49)/(1+$A56)^(Transeyear+Estiyears-1))/(1+$A56)^((DATE(EndYear,12,31)-EstiDate)/365)+绝对估值!$D$63+绝对估值!$D$65-绝对估值!$D$66-绝对估值!$D$67)/绝对估值!$D$69*(unit/10000)</f>
        <v>#VALUE!</v>
      </c>
    </row>
    <row r="57" spans="1:12" outlineLevel="1">
      <c r="A57" s="201">
        <f t="shared" si="3"/>
        <v>0.13473330153889887</v>
      </c>
      <c r="B57" s="204" t="e">
        <f ca="1">((绝对估值!$E$57+NPV($A57,绝对估值!$F$57:$G$57)+(绝对估值!$H$58+NPV($A57,绝对估值!$I$58:$K$58))/(1+$A57)^Estiyears+绝对估值!$K$58*(1+B$49)/($A57-B$49)/(1+$A57)^(Transeyear+Estiyears-1))/(1+$A57)^((DATE(EndYear,12,31)-EstiDate)/365)+绝对估值!$D$63+绝对估值!$D$65-绝对估值!$D$66-绝对估值!$D$67)/绝对估值!$D$69*(unit/10000)</f>
        <v>#VALUE!</v>
      </c>
      <c r="C57" s="204" t="e">
        <f ca="1">((绝对估值!$E$57+NPV($A57,绝对估值!$F$57:$G$57)+(绝对估值!$H$58+NPV($A57,绝对估值!$I$58:$K$58))/(1+$A57)^Estiyears+绝对估值!$K$58*(1+C$49)/($A57-C$49)/(1+$A57)^(Transeyear+Estiyears-1))/(1+$A57)^((DATE(EndYear,12,31)-EstiDate)/365)+绝对估值!$D$63+绝对估值!$D$65-绝对估值!$D$66-绝对估值!$D$67)/绝对估值!$D$69*(unit/10000)</f>
        <v>#VALUE!</v>
      </c>
      <c r="D57" s="204" t="e">
        <f ca="1">((绝对估值!$E$57+NPV($A57,绝对估值!$F$57:$G$57)+(绝对估值!$H$58+NPV($A57,绝对估值!$I$58:$K$58))/(1+$A57)^Estiyears+绝对估值!$K$58*(1+D$49)/($A57-D$49)/(1+$A57)^(Transeyear+Estiyears-1))/(1+$A57)^((DATE(EndYear,12,31)-EstiDate)/365)+绝对估值!$D$63+绝对估值!$D$65-绝对估值!$D$66-绝对估值!$D$67)/绝对估值!$D$69*(unit/10000)</f>
        <v>#VALUE!</v>
      </c>
      <c r="E57" s="204" t="e">
        <f ca="1">((绝对估值!$E$57+NPV($A57,绝对估值!$F$57:$G$57)+(绝对估值!$H$58+NPV($A57,绝对估值!$I$58:$K$58))/(1+$A57)^Estiyears+绝对估值!$K$58*(1+E$49)/($A57-E$49)/(1+$A57)^(Transeyear+Estiyears-1))/(1+$A57)^((DATE(EndYear,12,31)-EstiDate)/365)+绝对估值!$D$63+绝对估值!$D$65-绝对估值!$D$66-绝对估值!$D$67)/绝对估值!$D$69*(unit/10000)</f>
        <v>#VALUE!</v>
      </c>
      <c r="F57" s="204" t="e">
        <f ca="1">((绝对估值!$E$57+NPV($A57,绝对估值!$F$57:$G$57)+(绝对估值!$H$58+NPV($A57,绝对估值!$I$58:$K$58))/(1+$A57)^Estiyears+绝对估值!$K$58*(1+F$49)/($A57-F$49)/(1+$A57)^(Transeyear+Estiyears-1))/(1+$A57)^((DATE(EndYear,12,31)-EstiDate)/365)+绝对估值!$D$63+绝对估值!$D$65-绝对估值!$D$66-绝对估值!$D$67)/绝对估值!$D$69*(unit/10000)</f>
        <v>#VALUE!</v>
      </c>
      <c r="G57" s="204" t="e">
        <f ca="1">((绝对估值!$E$57+NPV($A57,绝对估值!$F$57:$G$57)+(绝对估值!$H$58+NPV($A57,绝对估值!$I$58:$K$58))/(1+$A57)^Estiyears+绝对估值!$K$58*(1+G$49)/($A57-G$49)/(1+$A57)^(Transeyear+Estiyears-1))/(1+$A57)^((DATE(EndYear,12,31)-EstiDate)/365)+绝对估值!$D$63+绝对估值!$D$65-绝对估值!$D$66-绝对估值!$D$67)/绝对估值!$D$69*(unit/10000)</f>
        <v>#VALUE!</v>
      </c>
      <c r="H57" s="204" t="e">
        <f ca="1">((绝对估值!$E$57+NPV($A57,绝对估值!$F$57:$G$57)+(绝对估值!$H$58+NPV($A57,绝对估值!$I$58:$K$58))/(1+$A57)^Estiyears+绝对估值!$K$58*(1+H$49)/($A57-H$49)/(1+$A57)^(Transeyear+Estiyears-1))/(1+$A57)^((DATE(EndYear,12,31)-EstiDate)/365)+绝对估值!$D$63+绝对估值!$D$65-绝对估值!$D$66-绝对估值!$D$67)/绝对估值!$D$69*(unit/10000)</f>
        <v>#VALUE!</v>
      </c>
      <c r="I57" s="204" t="e">
        <f ca="1">((绝对估值!$E$57+NPV($A57,绝对估值!$F$57:$G$57)+(绝对估值!$H$58+NPV($A57,绝对估值!$I$58:$K$58))/(1+$A57)^Estiyears+绝对估值!$K$58*(1+I$49)/($A57-I$49)/(1+$A57)^(Transeyear+Estiyears-1))/(1+$A57)^((DATE(EndYear,12,31)-EstiDate)/365)+绝对估值!$D$63+绝对估值!$D$65-绝对估值!$D$66-绝对估值!$D$67)/绝对估值!$D$69*(unit/10000)</f>
        <v>#VALUE!</v>
      </c>
      <c r="J57" s="204" t="e">
        <f ca="1">((绝对估值!$E$57+NPV($A57,绝对估值!$F$57:$G$57)+(绝对估值!$H$58+NPV($A57,绝对估值!$I$58:$K$58))/(1+$A57)^Estiyears+绝对估值!$K$58*(1+J$49)/($A57-J$49)/(1+$A57)^(Transeyear+Estiyears-1))/(1+$A57)^((DATE(EndYear,12,31)-EstiDate)/365)+绝对估值!$D$63+绝对估值!$D$65-绝对估值!$D$66-绝对估值!$D$67)/绝对估值!$D$69*(unit/10000)</f>
        <v>#VALUE!</v>
      </c>
      <c r="K57" s="204" t="e">
        <f ca="1">((绝对估值!$E$57+NPV($A57,绝对估值!$F$57:$G$57)+(绝对估值!$H$58+NPV($A57,绝对估值!$I$58:$K$58))/(1+$A57)^Estiyears+绝对估值!$K$58*(1+K$49)/($A57-K$49)/(1+$A57)^(Transeyear+Estiyears-1))/(1+$A57)^((DATE(EndYear,12,31)-EstiDate)/365)+绝对估值!$D$63+绝对估值!$D$65-绝对估值!$D$66-绝对估值!$D$67)/绝对估值!$D$69*(unit/10000)</f>
        <v>#VALUE!</v>
      </c>
      <c r="L57" s="204" t="e">
        <f ca="1">((绝对估值!$E$57+NPV($A57,绝对估值!$F$57:$G$57)+(绝对估值!$H$58+NPV($A57,绝对估值!$I$58:$K$58))/(1+$A57)^Estiyears+绝对估值!$K$58*(1+L$49)/($A57-L$49)/(1+$A57)^(Transeyear+Estiyears-1))/(1+$A57)^((DATE(EndYear,12,31)-EstiDate)/365)+绝对估值!$D$63+绝对估值!$D$65-绝对估值!$D$66-绝对估值!$D$67)/绝对估值!$D$69*(unit/10000)</f>
        <v>#VALUE!</v>
      </c>
    </row>
    <row r="58" spans="1:12" outlineLevel="1">
      <c r="A58" s="201">
        <f t="shared" si="3"/>
        <v>0.14820663169278878</v>
      </c>
      <c r="B58" s="204" t="e">
        <f ca="1">((绝对估值!$E$57+NPV($A58,绝对估值!$F$57:$G$57)+(绝对估值!$H$58+NPV($A58,绝对估值!$I$58:$K$58))/(1+$A58)^Estiyears+绝对估值!$K$58*(1+B$49)/($A58-B$49)/(1+$A58)^(Transeyear+Estiyears-1))/(1+$A58)^((DATE(EndYear,12,31)-EstiDate)/365)+绝对估值!$D$63+绝对估值!$D$65-绝对估值!$D$66-绝对估值!$D$67)/绝对估值!$D$69*(unit/10000)</f>
        <v>#VALUE!</v>
      </c>
      <c r="C58" s="204" t="e">
        <f ca="1">((绝对估值!$E$57+NPV($A58,绝对估值!$F$57:$G$57)+(绝对估值!$H$58+NPV($A58,绝对估值!$I$58:$K$58))/(1+$A58)^Estiyears+绝对估值!$K$58*(1+C$49)/($A58-C$49)/(1+$A58)^(Transeyear+Estiyears-1))/(1+$A58)^((DATE(EndYear,12,31)-EstiDate)/365)+绝对估值!$D$63+绝对估值!$D$65-绝对估值!$D$66-绝对估值!$D$67)/绝对估值!$D$69*(unit/10000)</f>
        <v>#VALUE!</v>
      </c>
      <c r="D58" s="204" t="e">
        <f ca="1">((绝对估值!$E$57+NPV($A58,绝对估值!$F$57:$G$57)+(绝对估值!$H$58+NPV($A58,绝对估值!$I$58:$K$58))/(1+$A58)^Estiyears+绝对估值!$K$58*(1+D$49)/($A58-D$49)/(1+$A58)^(Transeyear+Estiyears-1))/(1+$A58)^((DATE(EndYear,12,31)-EstiDate)/365)+绝对估值!$D$63+绝对估值!$D$65-绝对估值!$D$66-绝对估值!$D$67)/绝对估值!$D$69*(unit/10000)</f>
        <v>#VALUE!</v>
      </c>
      <c r="E58" s="204" t="e">
        <f ca="1">((绝对估值!$E$57+NPV($A58,绝对估值!$F$57:$G$57)+(绝对估值!$H$58+NPV($A58,绝对估值!$I$58:$K$58))/(1+$A58)^Estiyears+绝对估值!$K$58*(1+E$49)/($A58-E$49)/(1+$A58)^(Transeyear+Estiyears-1))/(1+$A58)^((DATE(EndYear,12,31)-EstiDate)/365)+绝对估值!$D$63+绝对估值!$D$65-绝对估值!$D$66-绝对估值!$D$67)/绝对估值!$D$69*(unit/10000)</f>
        <v>#VALUE!</v>
      </c>
      <c r="F58" s="204" t="e">
        <f ca="1">((绝对估值!$E$57+NPV($A58,绝对估值!$F$57:$G$57)+(绝对估值!$H$58+NPV($A58,绝对估值!$I$58:$K$58))/(1+$A58)^Estiyears+绝对估值!$K$58*(1+F$49)/($A58-F$49)/(1+$A58)^(Transeyear+Estiyears-1))/(1+$A58)^((DATE(EndYear,12,31)-EstiDate)/365)+绝对估值!$D$63+绝对估值!$D$65-绝对估值!$D$66-绝对估值!$D$67)/绝对估值!$D$69*(unit/10000)</f>
        <v>#VALUE!</v>
      </c>
      <c r="G58" s="204" t="e">
        <f ca="1">((绝对估值!$E$57+NPV($A58,绝对估值!$F$57:$G$57)+(绝对估值!$H$58+NPV($A58,绝对估值!$I$58:$K$58))/(1+$A58)^Estiyears+绝对估值!$K$58*(1+G$49)/($A58-G$49)/(1+$A58)^(Transeyear+Estiyears-1))/(1+$A58)^((DATE(EndYear,12,31)-EstiDate)/365)+绝对估值!$D$63+绝对估值!$D$65-绝对估值!$D$66-绝对估值!$D$67)/绝对估值!$D$69*(unit/10000)</f>
        <v>#VALUE!</v>
      </c>
      <c r="H58" s="204" t="e">
        <f ca="1">((绝对估值!$E$57+NPV($A58,绝对估值!$F$57:$G$57)+(绝对估值!$H$58+NPV($A58,绝对估值!$I$58:$K$58))/(1+$A58)^Estiyears+绝对估值!$K$58*(1+H$49)/($A58-H$49)/(1+$A58)^(Transeyear+Estiyears-1))/(1+$A58)^((DATE(EndYear,12,31)-EstiDate)/365)+绝对估值!$D$63+绝对估值!$D$65-绝对估值!$D$66-绝对估值!$D$67)/绝对估值!$D$69*(unit/10000)</f>
        <v>#VALUE!</v>
      </c>
      <c r="I58" s="204" t="e">
        <f ca="1">((绝对估值!$E$57+NPV($A58,绝对估值!$F$57:$G$57)+(绝对估值!$H$58+NPV($A58,绝对估值!$I$58:$K$58))/(1+$A58)^Estiyears+绝对估值!$K$58*(1+I$49)/($A58-I$49)/(1+$A58)^(Transeyear+Estiyears-1))/(1+$A58)^((DATE(EndYear,12,31)-EstiDate)/365)+绝对估值!$D$63+绝对估值!$D$65-绝对估值!$D$66-绝对估值!$D$67)/绝对估值!$D$69*(unit/10000)</f>
        <v>#VALUE!</v>
      </c>
      <c r="J58" s="204" t="e">
        <f ca="1">((绝对估值!$E$57+NPV($A58,绝对估值!$F$57:$G$57)+(绝对估值!$H$58+NPV($A58,绝对估值!$I$58:$K$58))/(1+$A58)^Estiyears+绝对估值!$K$58*(1+J$49)/($A58-J$49)/(1+$A58)^(Transeyear+Estiyears-1))/(1+$A58)^((DATE(EndYear,12,31)-EstiDate)/365)+绝对估值!$D$63+绝对估值!$D$65-绝对估值!$D$66-绝对估值!$D$67)/绝对估值!$D$69*(unit/10000)</f>
        <v>#VALUE!</v>
      </c>
      <c r="K58" s="204" t="e">
        <f ca="1">((绝对估值!$E$57+NPV($A58,绝对估值!$F$57:$G$57)+(绝对估值!$H$58+NPV($A58,绝对估值!$I$58:$K$58))/(1+$A58)^Estiyears+绝对估值!$K$58*(1+K$49)/($A58-K$49)/(1+$A58)^(Transeyear+Estiyears-1))/(1+$A58)^((DATE(EndYear,12,31)-EstiDate)/365)+绝对估值!$D$63+绝对估值!$D$65-绝对估值!$D$66-绝对估值!$D$67)/绝对估值!$D$69*(unit/10000)</f>
        <v>#VALUE!</v>
      </c>
      <c r="L58" s="204" t="e">
        <f ca="1">((绝对估值!$E$57+NPV($A58,绝对估值!$F$57:$G$57)+(绝对估值!$H$58+NPV($A58,绝对估值!$I$58:$K$58))/(1+$A58)^Estiyears+绝对估值!$K$58*(1+L$49)/($A58-L$49)/(1+$A58)^(Transeyear+Estiyears-1))/(1+$A58)^((DATE(EndYear,12,31)-EstiDate)/365)+绝对估值!$D$63+绝对估值!$D$65-绝对估值!$D$66-绝对估值!$D$67)/绝对估值!$D$69*(unit/10000)</f>
        <v>#VALUE!</v>
      </c>
    </row>
    <row r="59" spans="1:12" outlineLevel="1">
      <c r="A59" s="201">
        <f t="shared" si="3"/>
        <v>0.16302729486206766</v>
      </c>
      <c r="B59" s="204" t="e">
        <f ca="1">((绝对估值!$E$57+NPV($A59,绝对估值!$F$57:$G$57)+(绝对估值!$H$58+NPV($A59,绝对估值!$I$58:$K$58))/(1+$A59)^Estiyears+绝对估值!$K$58*(1+B$49)/($A59-B$49)/(1+$A59)^(Transeyear+Estiyears-1))/(1+$A59)^((DATE(EndYear,12,31)-EstiDate)/365)+绝对估值!$D$63+绝对估值!$D$65-绝对估值!$D$66-绝对估值!$D$67)/绝对估值!$D$69*(unit/10000)</f>
        <v>#VALUE!</v>
      </c>
      <c r="C59" s="204" t="e">
        <f ca="1">((绝对估值!$E$57+NPV($A59,绝对估值!$F$57:$G$57)+(绝对估值!$H$58+NPV($A59,绝对估值!$I$58:$K$58))/(1+$A59)^Estiyears+绝对估值!$K$58*(1+C$49)/($A59-C$49)/(1+$A59)^(Transeyear+Estiyears-1))/(1+$A59)^((DATE(EndYear,12,31)-EstiDate)/365)+绝对估值!$D$63+绝对估值!$D$65-绝对估值!$D$66-绝对估值!$D$67)/绝对估值!$D$69*(unit/10000)</f>
        <v>#VALUE!</v>
      </c>
      <c r="D59" s="204" t="e">
        <f ca="1">((绝对估值!$E$57+NPV($A59,绝对估值!$F$57:$G$57)+(绝对估值!$H$58+NPV($A59,绝对估值!$I$58:$K$58))/(1+$A59)^Estiyears+绝对估值!$K$58*(1+D$49)/($A59-D$49)/(1+$A59)^(Transeyear+Estiyears-1))/(1+$A59)^((DATE(EndYear,12,31)-EstiDate)/365)+绝对估值!$D$63+绝对估值!$D$65-绝对估值!$D$66-绝对估值!$D$67)/绝对估值!$D$69*(unit/10000)</f>
        <v>#VALUE!</v>
      </c>
      <c r="E59" s="204" t="e">
        <f ca="1">((绝对估值!$E$57+NPV($A59,绝对估值!$F$57:$G$57)+(绝对估值!$H$58+NPV($A59,绝对估值!$I$58:$K$58))/(1+$A59)^Estiyears+绝对估值!$K$58*(1+E$49)/($A59-E$49)/(1+$A59)^(Transeyear+Estiyears-1))/(1+$A59)^((DATE(EndYear,12,31)-EstiDate)/365)+绝对估值!$D$63+绝对估值!$D$65-绝对估值!$D$66-绝对估值!$D$67)/绝对估值!$D$69*(unit/10000)</f>
        <v>#VALUE!</v>
      </c>
      <c r="F59" s="204" t="e">
        <f ca="1">((绝对估值!$E$57+NPV($A59,绝对估值!$F$57:$G$57)+(绝对估值!$H$58+NPV($A59,绝对估值!$I$58:$K$58))/(1+$A59)^Estiyears+绝对估值!$K$58*(1+F$49)/($A59-F$49)/(1+$A59)^(Transeyear+Estiyears-1))/(1+$A59)^((DATE(EndYear,12,31)-EstiDate)/365)+绝对估值!$D$63+绝对估值!$D$65-绝对估值!$D$66-绝对估值!$D$67)/绝对估值!$D$69*(unit/10000)</f>
        <v>#VALUE!</v>
      </c>
      <c r="G59" s="204" t="e">
        <f ca="1">((绝对估值!$E$57+NPV($A59,绝对估值!$F$57:$G$57)+(绝对估值!$H$58+NPV($A59,绝对估值!$I$58:$K$58))/(1+$A59)^Estiyears+绝对估值!$K$58*(1+G$49)/($A59-G$49)/(1+$A59)^(Transeyear+Estiyears-1))/(1+$A59)^((DATE(EndYear,12,31)-EstiDate)/365)+绝对估值!$D$63+绝对估值!$D$65-绝对估值!$D$66-绝对估值!$D$67)/绝对估值!$D$69*(unit/10000)</f>
        <v>#VALUE!</v>
      </c>
      <c r="H59" s="204" t="e">
        <f ca="1">((绝对估值!$E$57+NPV($A59,绝对估值!$F$57:$G$57)+(绝对估值!$H$58+NPV($A59,绝对估值!$I$58:$K$58))/(1+$A59)^Estiyears+绝对估值!$K$58*(1+H$49)/($A59-H$49)/(1+$A59)^(Transeyear+Estiyears-1))/(1+$A59)^((DATE(EndYear,12,31)-EstiDate)/365)+绝对估值!$D$63+绝对估值!$D$65-绝对估值!$D$66-绝对估值!$D$67)/绝对估值!$D$69*(unit/10000)</f>
        <v>#VALUE!</v>
      </c>
      <c r="I59" s="204" t="e">
        <f ca="1">((绝对估值!$E$57+NPV($A59,绝对估值!$F$57:$G$57)+(绝对估值!$H$58+NPV($A59,绝对估值!$I$58:$K$58))/(1+$A59)^Estiyears+绝对估值!$K$58*(1+I$49)/($A59-I$49)/(1+$A59)^(Transeyear+Estiyears-1))/(1+$A59)^((DATE(EndYear,12,31)-EstiDate)/365)+绝对估值!$D$63+绝对估值!$D$65-绝对估值!$D$66-绝对估值!$D$67)/绝对估值!$D$69*(unit/10000)</f>
        <v>#VALUE!</v>
      </c>
      <c r="J59" s="204" t="e">
        <f ca="1">((绝对估值!$E$57+NPV($A59,绝对估值!$F$57:$G$57)+(绝对估值!$H$58+NPV($A59,绝对估值!$I$58:$K$58))/(1+$A59)^Estiyears+绝对估值!$K$58*(1+J$49)/($A59-J$49)/(1+$A59)^(Transeyear+Estiyears-1))/(1+$A59)^((DATE(EndYear,12,31)-EstiDate)/365)+绝对估值!$D$63+绝对估值!$D$65-绝对估值!$D$66-绝对估值!$D$67)/绝对估值!$D$69*(unit/10000)</f>
        <v>#VALUE!</v>
      </c>
      <c r="K59" s="204" t="e">
        <f ca="1">((绝对估值!$E$57+NPV($A59,绝对估值!$F$57:$G$57)+(绝对估值!$H$58+NPV($A59,绝对估值!$I$58:$K$58))/(1+$A59)^Estiyears+绝对估值!$K$58*(1+K$49)/($A59-K$49)/(1+$A59)^(Transeyear+Estiyears-1))/(1+$A59)^((DATE(EndYear,12,31)-EstiDate)/365)+绝对估值!$D$63+绝对估值!$D$65-绝对估值!$D$66-绝对估值!$D$67)/绝对估值!$D$69*(unit/10000)</f>
        <v>#VALUE!</v>
      </c>
      <c r="L59" s="204" t="e">
        <f ca="1">((绝对估值!$E$57+NPV($A59,绝对估值!$F$57:$G$57)+(绝对估值!$H$58+NPV($A59,绝对估值!$I$58:$K$58))/(1+$A59)^Estiyears+绝对估值!$K$58*(1+L$49)/($A59-L$49)/(1+$A59)^(Transeyear+Estiyears-1))/(1+$A59)^((DATE(EndYear,12,31)-EstiDate)/365)+绝对估值!$D$63+绝对估值!$D$65-绝对估值!$D$66-绝对估值!$D$67)/绝对估值!$D$69*(unit/10000)</f>
        <v>#VALUE!</v>
      </c>
    </row>
    <row r="60" spans="1:12" outlineLevel="1">
      <c r="A60" s="201">
        <f t="shared" si="3"/>
        <v>0.17933002434827444</v>
      </c>
      <c r="B60" s="204" t="e">
        <f ca="1">((绝对估值!$E$57+NPV($A60,绝对估值!$F$57:$G$57)+(绝对估值!$H$58+NPV($A60,绝对估值!$I$58:$K$58))/(1+$A60)^Estiyears+绝对估值!$K$58*(1+B$49)/($A60-B$49)/(1+$A60)^(Transeyear+Estiyears-1))/(1+$A60)^((DATE(EndYear,12,31)-EstiDate)/365)+绝对估值!$D$63+绝对估值!$D$65-绝对估值!$D$66-绝对估值!$D$67)/绝对估值!$D$69*(unit/10000)</f>
        <v>#VALUE!</v>
      </c>
      <c r="C60" s="204" t="e">
        <f ca="1">((绝对估值!$E$57+NPV($A60,绝对估值!$F$57:$G$57)+(绝对估值!$H$58+NPV($A60,绝对估值!$I$58:$K$58))/(1+$A60)^Estiyears+绝对估值!$K$58*(1+C$49)/($A60-C$49)/(1+$A60)^(Transeyear+Estiyears-1))/(1+$A60)^((DATE(EndYear,12,31)-EstiDate)/365)+绝对估值!$D$63+绝对估值!$D$65-绝对估值!$D$66-绝对估值!$D$67)/绝对估值!$D$69*(unit/10000)</f>
        <v>#VALUE!</v>
      </c>
      <c r="D60" s="204" t="e">
        <f ca="1">((绝对估值!$E$57+NPV($A60,绝对估值!$F$57:$G$57)+(绝对估值!$H$58+NPV($A60,绝对估值!$I$58:$K$58))/(1+$A60)^Estiyears+绝对估值!$K$58*(1+D$49)/($A60-D$49)/(1+$A60)^(Transeyear+Estiyears-1))/(1+$A60)^((DATE(EndYear,12,31)-EstiDate)/365)+绝对估值!$D$63+绝对估值!$D$65-绝对估值!$D$66-绝对估值!$D$67)/绝对估值!$D$69*(unit/10000)</f>
        <v>#VALUE!</v>
      </c>
      <c r="E60" s="204" t="e">
        <f ca="1">((绝对估值!$E$57+NPV($A60,绝对估值!$F$57:$G$57)+(绝对估值!$H$58+NPV($A60,绝对估值!$I$58:$K$58))/(1+$A60)^Estiyears+绝对估值!$K$58*(1+E$49)/($A60-E$49)/(1+$A60)^(Transeyear+Estiyears-1))/(1+$A60)^((DATE(EndYear,12,31)-EstiDate)/365)+绝对估值!$D$63+绝对估值!$D$65-绝对估值!$D$66-绝对估值!$D$67)/绝对估值!$D$69*(unit/10000)</f>
        <v>#VALUE!</v>
      </c>
      <c r="F60" s="204" t="e">
        <f ca="1">((绝对估值!$E$57+NPV($A60,绝对估值!$F$57:$G$57)+(绝对估值!$H$58+NPV($A60,绝对估值!$I$58:$K$58))/(1+$A60)^Estiyears+绝对估值!$K$58*(1+F$49)/($A60-F$49)/(1+$A60)^(Transeyear+Estiyears-1))/(1+$A60)^((DATE(EndYear,12,31)-EstiDate)/365)+绝对估值!$D$63+绝对估值!$D$65-绝对估值!$D$66-绝对估值!$D$67)/绝对估值!$D$69*(unit/10000)</f>
        <v>#VALUE!</v>
      </c>
      <c r="G60" s="204" t="e">
        <f ca="1">((绝对估值!$E$57+NPV($A60,绝对估值!$F$57:$G$57)+(绝对估值!$H$58+NPV($A60,绝对估值!$I$58:$K$58))/(1+$A60)^Estiyears+绝对估值!$K$58*(1+G$49)/($A60-G$49)/(1+$A60)^(Transeyear+Estiyears-1))/(1+$A60)^((DATE(EndYear,12,31)-EstiDate)/365)+绝对估值!$D$63+绝对估值!$D$65-绝对估值!$D$66-绝对估值!$D$67)/绝对估值!$D$69*(unit/10000)</f>
        <v>#VALUE!</v>
      </c>
      <c r="H60" s="204" t="e">
        <f ca="1">((绝对估值!$E$57+NPV($A60,绝对估值!$F$57:$G$57)+(绝对估值!$H$58+NPV($A60,绝对估值!$I$58:$K$58))/(1+$A60)^Estiyears+绝对估值!$K$58*(1+H$49)/($A60-H$49)/(1+$A60)^(Transeyear+Estiyears-1))/(1+$A60)^((DATE(EndYear,12,31)-EstiDate)/365)+绝对估值!$D$63+绝对估值!$D$65-绝对估值!$D$66-绝对估值!$D$67)/绝对估值!$D$69*(unit/10000)</f>
        <v>#VALUE!</v>
      </c>
      <c r="I60" s="204" t="e">
        <f ca="1">((绝对估值!$E$57+NPV($A60,绝对估值!$F$57:$G$57)+(绝对估值!$H$58+NPV($A60,绝对估值!$I$58:$K$58))/(1+$A60)^Estiyears+绝对估值!$K$58*(1+I$49)/($A60-I$49)/(1+$A60)^(Transeyear+Estiyears-1))/(1+$A60)^((DATE(EndYear,12,31)-EstiDate)/365)+绝对估值!$D$63+绝对估值!$D$65-绝对估值!$D$66-绝对估值!$D$67)/绝对估值!$D$69*(unit/10000)</f>
        <v>#VALUE!</v>
      </c>
      <c r="J60" s="204" t="e">
        <f ca="1">((绝对估值!$E$57+NPV($A60,绝对估值!$F$57:$G$57)+(绝对估值!$H$58+NPV($A60,绝对估值!$I$58:$K$58))/(1+$A60)^Estiyears+绝对估值!$K$58*(1+J$49)/($A60-J$49)/(1+$A60)^(Transeyear+Estiyears-1))/(1+$A60)^((DATE(EndYear,12,31)-EstiDate)/365)+绝对估值!$D$63+绝对估值!$D$65-绝对估值!$D$66-绝对估值!$D$67)/绝对估值!$D$69*(unit/10000)</f>
        <v>#VALUE!</v>
      </c>
      <c r="K60" s="204" t="e">
        <f ca="1">((绝对估值!$E$57+NPV($A60,绝对估值!$F$57:$G$57)+(绝对估值!$H$58+NPV($A60,绝对估值!$I$58:$K$58))/(1+$A60)^Estiyears+绝对估值!$K$58*(1+K$49)/($A60-K$49)/(1+$A60)^(Transeyear+Estiyears-1))/(1+$A60)^((DATE(EndYear,12,31)-EstiDate)/365)+绝对估值!$D$63+绝对估值!$D$65-绝对估值!$D$66-绝对估值!$D$67)/绝对估值!$D$69*(unit/10000)</f>
        <v>#VALUE!</v>
      </c>
      <c r="L60" s="204" t="e">
        <f ca="1">((绝对估值!$E$57+NPV($A60,绝对估值!$F$57:$G$57)+(绝对估值!$H$58+NPV($A60,绝对估值!$I$58:$K$58))/(1+$A60)^Estiyears+绝对估值!$K$58*(1+L$49)/($A60-L$49)/(1+$A60)^(Transeyear+Estiyears-1))/(1+$A60)^((DATE(EndYear,12,31)-EstiDate)/365)+绝对估值!$D$63+绝对估值!$D$65-绝对估值!$D$66-绝对估值!$D$67)/绝对估值!$D$69*(unit/10000)</f>
        <v>#VALUE!</v>
      </c>
    </row>
    <row r="62" spans="1:12" ht="17.75">
      <c r="A62" s="1043" t="s">
        <v>1676</v>
      </c>
      <c r="B62" s="1043"/>
    </row>
    <row r="63" spans="1:12" outlineLevel="1">
      <c r="A63" s="1044" t="s">
        <v>1670</v>
      </c>
      <c r="B63" s="1044"/>
    </row>
    <row r="64" spans="1:12" ht="22.9" outlineLevel="1">
      <c r="A64" s="131" t="s">
        <v>1673</v>
      </c>
      <c r="B64" s="200">
        <f t="shared" ref="B64:L64" si="4">B4</f>
        <v>1.2418426461183098E-2</v>
      </c>
      <c r="C64" s="200">
        <f t="shared" si="4"/>
        <v>1.366026910730141E-2</v>
      </c>
      <c r="D64" s="200">
        <f t="shared" si="4"/>
        <v>1.5026296018031552E-2</v>
      </c>
      <c r="E64" s="200">
        <f t="shared" si="4"/>
        <v>1.6528925619834708E-2</v>
      </c>
      <c r="F64" s="200">
        <f t="shared" si="4"/>
        <v>1.8181818181818181E-2</v>
      </c>
      <c r="G64" s="200">
        <f t="shared" si="4"/>
        <v>0.02</v>
      </c>
      <c r="H64" s="200">
        <f t="shared" si="4"/>
        <v>2.2000000000000002E-2</v>
      </c>
      <c r="I64" s="200">
        <f t="shared" si="4"/>
        <v>2.4200000000000003E-2</v>
      </c>
      <c r="J64" s="200">
        <f t="shared" si="4"/>
        <v>2.6620000000000005E-2</v>
      </c>
      <c r="K64" s="200">
        <f t="shared" si="4"/>
        <v>2.9282000000000006E-2</v>
      </c>
      <c r="L64" s="200">
        <f t="shared" si="4"/>
        <v>3.2210200000000008E-2</v>
      </c>
    </row>
    <row r="65" spans="1:12" outlineLevel="1">
      <c r="A65" s="201">
        <f t="shared" ref="A65:A75" si="5">A20</f>
        <v>7.1106979811735735E-2</v>
      </c>
      <c r="B65" s="141" t="e">
        <f ca="1">((绝对估值!$E$73+NPV($A65,绝对估值!$F$73:$G$73)+(绝对估值!$H$74+NPV($A65,绝对估值!$I$74:$K$74))/(1+$A65)^Estiyears+绝对估值!$K$74*(1+B$64)/($A65-B$64)/(1+$A65)^(Estiyears+Transeyear-1))/(1+$A65)^((DATE(EndYear,12,31)-EstiDate)/365)+绝对估值!$D$79-绝对估值!$D$81)/绝对估值!$D$83*(unit/10000)</f>
        <v>#VALUE!</v>
      </c>
      <c r="C65" s="141" t="e">
        <f ca="1">((绝对估值!$E$73+NPV($A65,绝对估值!$F$73:$G$73)+(绝对估值!$H$74+NPV($A65,绝对估值!$I$74:$K$74))/(1+$A65)^Estiyears+绝对估值!$K$74*(1+C$64)/($A65-C$64)/(1+$A65)^(Estiyears+Transeyear-1))/(1+$A65)^((DATE(EndYear,12,31)-EstiDate)/365)+绝对估值!$D$79-绝对估值!$D$81)/绝对估值!$D$83*(unit/10000)</f>
        <v>#VALUE!</v>
      </c>
      <c r="D65" s="141" t="e">
        <f ca="1">((绝对估值!$E$73+NPV($A65,绝对估值!$F$73:$G$73)+(绝对估值!$H$74+NPV($A65,绝对估值!$I$74:$K$74))/(1+$A65)^Estiyears+绝对估值!$K$74*(1+D$64)/($A65-D$64)/(1+$A65)^(Estiyears+Transeyear-1))/(1+$A65)^((DATE(EndYear,12,31)-EstiDate)/365)+绝对估值!$D$79-绝对估值!$D$81)/绝对估值!$D$83*(unit/10000)</f>
        <v>#VALUE!</v>
      </c>
      <c r="E65" s="141" t="e">
        <f ca="1">((绝对估值!$E$73+NPV($A65,绝对估值!$F$73:$G$73)+(绝对估值!$H$74+NPV($A65,绝对估值!$I$74:$K$74))/(1+$A65)^Estiyears+绝对估值!$K$74*(1+E$64)/($A65-E$64)/(1+$A65)^(Estiyears+Transeyear-1))/(1+$A65)^((DATE(EndYear,12,31)-EstiDate)/365)+绝对估值!$D$79-绝对估值!$D$81)/绝对估值!$D$83*(unit/10000)</f>
        <v>#VALUE!</v>
      </c>
      <c r="F65" s="141" t="e">
        <f ca="1">((绝对估值!$E$73+NPV($A65,绝对估值!$F$73:$G$73)+(绝对估值!$H$74+NPV($A65,绝对估值!$I$74:$K$74))/(1+$A65)^Estiyears+绝对估值!$K$74*(1+F$64)/($A65-F$64)/(1+$A65)^(Estiyears+Transeyear-1))/(1+$A65)^((DATE(EndYear,12,31)-EstiDate)/365)+绝对估值!$D$79-绝对估值!$D$81)/绝对估值!$D$83*(unit/10000)</f>
        <v>#VALUE!</v>
      </c>
      <c r="G65" s="141" t="e">
        <f ca="1">((绝对估值!$E$73+NPV($A65,绝对估值!$F$73:$G$73)+(绝对估值!$H$74+NPV($A65,绝对估值!$I$74:$K$74))/(1+$A65)^Estiyears+绝对估值!$K$74*(1+G$64)/($A65-G$64)/(1+$A65)^(Estiyears+Transeyear-1))/(1+$A65)^((DATE(EndYear,12,31)-EstiDate)/365)+绝对估值!$D$79-绝对估值!$D$81)/绝对估值!$D$83*(unit/10000)</f>
        <v>#VALUE!</v>
      </c>
      <c r="H65" s="141" t="e">
        <f ca="1">((绝对估值!$E$73+NPV($A65,绝对估值!$F$73:$G$73)+(绝对估值!$H$74+NPV($A65,绝对估值!$I$74:$K$74))/(1+$A65)^Estiyears+绝对估值!$K$74*(1+H$64)/($A65-H$64)/(1+$A65)^(Estiyears+Transeyear-1))/(1+$A65)^((DATE(EndYear,12,31)-EstiDate)/365)+绝对估值!$D$79-绝对估值!$D$81)/绝对估值!$D$83*(unit/10000)</f>
        <v>#VALUE!</v>
      </c>
      <c r="I65" s="141" t="e">
        <f ca="1">((绝对估值!$E$73+NPV($A65,绝对估值!$F$73:$G$73)+(绝对估值!$H$74+NPV($A65,绝对估值!$I$74:$K$74))/(1+$A65)^Estiyears+绝对估值!$K$74*(1+I$64)/($A65-I$64)/(1+$A65)^(Estiyears+Transeyear-1))/(1+$A65)^((DATE(EndYear,12,31)-EstiDate)/365)+绝对估值!$D$79-绝对估值!$D$81)/绝对估值!$D$83*(unit/10000)</f>
        <v>#VALUE!</v>
      </c>
      <c r="J65" s="141" t="e">
        <f ca="1">((绝对估值!$E$73+NPV($A65,绝对估值!$F$73:$G$73)+(绝对估值!$H$74+NPV($A65,绝对估值!$I$74:$K$74))/(1+$A65)^Estiyears+绝对估值!$K$74*(1+J$64)/($A65-J$64)/(1+$A65)^(Estiyears+Transeyear-1))/(1+$A65)^((DATE(EndYear,12,31)-EstiDate)/365)+绝对估值!$D$79-绝对估值!$D$81)/绝对估值!$D$83*(unit/10000)</f>
        <v>#VALUE!</v>
      </c>
      <c r="K65" s="141" t="e">
        <f ca="1">((绝对估值!$E$73+NPV($A65,绝对估值!$F$73:$G$73)+(绝对估值!$H$74+NPV($A65,绝对估值!$I$74:$K$74))/(1+$A65)^Estiyears+绝对估值!$K$74*(1+K$64)/($A65-K$64)/(1+$A65)^(Estiyears+Transeyear-1))/(1+$A65)^((DATE(EndYear,12,31)-EstiDate)/365)+绝对估值!$D$79-绝对估值!$D$81)/绝对估值!$D$83*(unit/10000)</f>
        <v>#VALUE!</v>
      </c>
      <c r="L65" s="141" t="e">
        <f ca="1">((绝对估值!$E$73+NPV($A65,绝对估值!$F$73:$G$73)+(绝对估值!$H$74+NPV($A65,绝对估值!$I$74:$K$74))/(1+$A65)^Estiyears+绝对估值!$K$74*(1+L$64)/($A65-L$64)/(1+$A65)^(Estiyears+Transeyear-1))/(1+$A65)^((DATE(EndYear,12,31)-EstiDate)/365)+绝对估值!$D$79-绝对估值!$D$81)/绝对估值!$D$83*(unit/10000)</f>
        <v>#VALUE!</v>
      </c>
    </row>
    <row r="66" spans="1:12" outlineLevel="1">
      <c r="A66" s="201">
        <f t="shared" si="5"/>
        <v>7.8217677792909321E-2</v>
      </c>
      <c r="B66" s="141" t="e">
        <f ca="1">((绝对估值!$E$73+NPV($A66,绝对估值!$F$73:$G$73)+(绝对估值!$H$74+NPV($A66,绝对估值!$I$74:$K$74))/(1+$A66)^Estiyears+绝对估值!$K$74*(1+B$64)/($A66-B$64)/(1+$A66)^(Estiyears+Transeyear-1))/(1+$A66)^((DATE(EndYear,12,31)-EstiDate)/365)+绝对估值!$D$79-绝对估值!$D$81)/绝对估值!$D$83*(unit/10000)</f>
        <v>#VALUE!</v>
      </c>
      <c r="C66" s="141" t="e">
        <f ca="1">((绝对估值!$E$73+NPV($A66,绝对估值!$F$73:$G$73)+(绝对估值!$H$74+NPV($A66,绝对估值!$I$74:$K$74))/(1+$A66)^Estiyears+绝对估值!$K$74*(1+C$64)/($A66-C$64)/(1+$A66)^(Estiyears+Transeyear-1))/(1+$A66)^((DATE(EndYear,12,31)-EstiDate)/365)+绝对估值!$D$79-绝对估值!$D$81)/绝对估值!$D$83*(unit/10000)</f>
        <v>#VALUE!</v>
      </c>
      <c r="D66" s="141" t="e">
        <f ca="1">((绝对估值!$E$73+NPV($A66,绝对估值!$F$73:$G$73)+(绝对估值!$H$74+NPV($A66,绝对估值!$I$74:$K$74))/(1+$A66)^Estiyears+绝对估值!$K$74*(1+D$64)/($A66-D$64)/(1+$A66)^(Estiyears+Transeyear-1))/(1+$A66)^((DATE(EndYear,12,31)-EstiDate)/365)+绝对估值!$D$79-绝对估值!$D$81)/绝对估值!$D$83*(unit/10000)</f>
        <v>#VALUE!</v>
      </c>
      <c r="E66" s="141" t="e">
        <f ca="1">((绝对估值!$E$73+NPV($A66,绝对估值!$F$73:$G$73)+(绝对估值!$H$74+NPV($A66,绝对估值!$I$74:$K$74))/(1+$A66)^Estiyears+绝对估值!$K$74*(1+E$64)/($A66-E$64)/(1+$A66)^(Estiyears+Transeyear-1))/(1+$A66)^((DATE(EndYear,12,31)-EstiDate)/365)+绝对估值!$D$79-绝对估值!$D$81)/绝对估值!$D$83*(unit/10000)</f>
        <v>#VALUE!</v>
      </c>
      <c r="F66" s="141" t="e">
        <f ca="1">((绝对估值!$E$73+NPV($A66,绝对估值!$F$73:$G$73)+(绝对估值!$H$74+NPV($A66,绝对估值!$I$74:$K$74))/(1+$A66)^Estiyears+绝对估值!$K$74*(1+F$64)/($A66-F$64)/(1+$A66)^(Estiyears+Transeyear-1))/(1+$A66)^((DATE(EndYear,12,31)-EstiDate)/365)+绝对估值!$D$79-绝对估值!$D$81)/绝对估值!$D$83*(unit/10000)</f>
        <v>#VALUE!</v>
      </c>
      <c r="G66" s="141" t="e">
        <f ca="1">((绝对估值!$E$73+NPV($A66,绝对估值!$F$73:$G$73)+(绝对估值!$H$74+NPV($A66,绝对估值!$I$74:$K$74))/(1+$A66)^Estiyears+绝对估值!$K$74*(1+G$64)/($A66-G$64)/(1+$A66)^(Estiyears+Transeyear-1))/(1+$A66)^((DATE(EndYear,12,31)-EstiDate)/365)+绝对估值!$D$79-绝对估值!$D$81)/绝对估值!$D$83*(unit/10000)</f>
        <v>#VALUE!</v>
      </c>
      <c r="H66" s="141" t="e">
        <f ca="1">((绝对估值!$E$73+NPV($A66,绝对估值!$F$73:$G$73)+(绝对估值!$H$74+NPV($A66,绝对估值!$I$74:$K$74))/(1+$A66)^Estiyears+绝对估值!$K$74*(1+H$64)/($A66-H$64)/(1+$A66)^(Estiyears+Transeyear-1))/(1+$A66)^((DATE(EndYear,12,31)-EstiDate)/365)+绝对估值!$D$79-绝对估值!$D$81)/绝对估值!$D$83*(unit/10000)</f>
        <v>#VALUE!</v>
      </c>
      <c r="I66" s="141" t="e">
        <f ca="1">((绝对估值!$E$73+NPV($A66,绝对估值!$F$73:$G$73)+(绝对估值!$H$74+NPV($A66,绝对估值!$I$74:$K$74))/(1+$A66)^Estiyears+绝对估值!$K$74*(1+I$64)/($A66-I$64)/(1+$A66)^(Estiyears+Transeyear-1))/(1+$A66)^((DATE(EndYear,12,31)-EstiDate)/365)+绝对估值!$D$79-绝对估值!$D$81)/绝对估值!$D$83*(unit/10000)</f>
        <v>#VALUE!</v>
      </c>
      <c r="J66" s="141" t="e">
        <f ca="1">((绝对估值!$E$73+NPV($A66,绝对估值!$F$73:$G$73)+(绝对估值!$H$74+NPV($A66,绝对估值!$I$74:$K$74))/(1+$A66)^Estiyears+绝对估值!$K$74*(1+J$64)/($A66-J$64)/(1+$A66)^(Estiyears+Transeyear-1))/(1+$A66)^((DATE(EndYear,12,31)-EstiDate)/365)+绝对估值!$D$79-绝对估值!$D$81)/绝对估值!$D$83*(unit/10000)</f>
        <v>#VALUE!</v>
      </c>
      <c r="K66" s="141" t="e">
        <f ca="1">((绝对估值!$E$73+NPV($A66,绝对估值!$F$73:$G$73)+(绝对估值!$H$74+NPV($A66,绝对估值!$I$74:$K$74))/(1+$A66)^Estiyears+绝对估值!$K$74*(1+K$64)/($A66-K$64)/(1+$A66)^(Estiyears+Transeyear-1))/(1+$A66)^((DATE(EndYear,12,31)-EstiDate)/365)+绝对估值!$D$79-绝对估值!$D$81)/绝对估值!$D$83*(unit/10000)</f>
        <v>#VALUE!</v>
      </c>
      <c r="L66" s="141" t="e">
        <f ca="1">((绝对估值!$E$73+NPV($A66,绝对估值!$F$73:$G$73)+(绝对估值!$H$74+NPV($A66,绝对估值!$I$74:$K$74))/(1+$A66)^Estiyears+绝对估值!$K$74*(1+L$64)/($A66-L$64)/(1+$A66)^(Estiyears+Transeyear-1))/(1+$A66)^((DATE(EndYear,12,31)-EstiDate)/365)+绝对估值!$D$79-绝对估值!$D$81)/绝对估值!$D$83*(unit/10000)</f>
        <v>#VALUE!</v>
      </c>
    </row>
    <row r="67" spans="1:12" outlineLevel="1">
      <c r="A67" s="201">
        <f t="shared" si="5"/>
        <v>8.6039445572200265E-2</v>
      </c>
      <c r="B67" s="141" t="e">
        <f ca="1">((绝对估值!$E$73+NPV($A67,绝对估值!$F$73:$G$73)+(绝对估值!$H$74+NPV($A67,绝对估值!$I$74:$K$74))/(1+$A67)^Estiyears+绝对估值!$K$74*(1+B$64)/($A67-B$64)/(1+$A67)^(Estiyears+Transeyear-1))/(1+$A67)^((DATE(EndYear,12,31)-EstiDate)/365)+绝对估值!$D$79-绝对估值!$D$81)/绝对估值!$D$83*(unit/10000)</f>
        <v>#VALUE!</v>
      </c>
      <c r="C67" s="141" t="e">
        <f ca="1">((绝对估值!$E$73+NPV($A67,绝对估值!$F$73:$G$73)+(绝对估值!$H$74+NPV($A67,绝对估值!$I$74:$K$74))/(1+$A67)^Estiyears+绝对估值!$K$74*(1+C$64)/($A67-C$64)/(1+$A67)^(Estiyears+Transeyear-1))/(1+$A67)^((DATE(EndYear,12,31)-EstiDate)/365)+绝对估值!$D$79-绝对估值!$D$81)/绝对估值!$D$83*(unit/10000)</f>
        <v>#VALUE!</v>
      </c>
      <c r="D67" s="141" t="e">
        <f ca="1">((绝对估值!$E$73+NPV($A67,绝对估值!$F$73:$G$73)+(绝对估值!$H$74+NPV($A67,绝对估值!$I$74:$K$74))/(1+$A67)^Estiyears+绝对估值!$K$74*(1+D$64)/($A67-D$64)/(1+$A67)^(Estiyears+Transeyear-1))/(1+$A67)^((DATE(EndYear,12,31)-EstiDate)/365)+绝对估值!$D$79-绝对估值!$D$81)/绝对估值!$D$83*(unit/10000)</f>
        <v>#VALUE!</v>
      </c>
      <c r="E67" s="141" t="e">
        <f ca="1">((绝对估值!$E$73+NPV($A67,绝对估值!$F$73:$G$73)+(绝对估值!$H$74+NPV($A67,绝对估值!$I$74:$K$74))/(1+$A67)^Estiyears+绝对估值!$K$74*(1+E$64)/($A67-E$64)/(1+$A67)^(Estiyears+Transeyear-1))/(1+$A67)^((DATE(EndYear,12,31)-EstiDate)/365)+绝对估值!$D$79-绝对估值!$D$81)/绝对估值!$D$83*(unit/10000)</f>
        <v>#VALUE!</v>
      </c>
      <c r="F67" s="141" t="e">
        <f ca="1">((绝对估值!$E$73+NPV($A67,绝对估值!$F$73:$G$73)+(绝对估值!$H$74+NPV($A67,绝对估值!$I$74:$K$74))/(1+$A67)^Estiyears+绝对估值!$K$74*(1+F$64)/($A67-F$64)/(1+$A67)^(Estiyears+Transeyear-1))/(1+$A67)^((DATE(EndYear,12,31)-EstiDate)/365)+绝对估值!$D$79-绝对估值!$D$81)/绝对估值!$D$83*(unit/10000)</f>
        <v>#VALUE!</v>
      </c>
      <c r="G67" s="141" t="e">
        <f ca="1">((绝对估值!$E$73+NPV($A67,绝对估值!$F$73:$G$73)+(绝对估值!$H$74+NPV($A67,绝对估值!$I$74:$K$74))/(1+$A67)^Estiyears+绝对估值!$K$74*(1+G$64)/($A67-G$64)/(1+$A67)^(Estiyears+Transeyear-1))/(1+$A67)^((DATE(EndYear,12,31)-EstiDate)/365)+绝对估值!$D$79-绝对估值!$D$81)/绝对估值!$D$83*(unit/10000)</f>
        <v>#VALUE!</v>
      </c>
      <c r="H67" s="141" t="e">
        <f ca="1">((绝对估值!$E$73+NPV($A67,绝对估值!$F$73:$G$73)+(绝对估值!$H$74+NPV($A67,绝对估值!$I$74:$K$74))/(1+$A67)^Estiyears+绝对估值!$K$74*(1+H$64)/($A67-H$64)/(1+$A67)^(Estiyears+Transeyear-1))/(1+$A67)^((DATE(EndYear,12,31)-EstiDate)/365)+绝对估值!$D$79-绝对估值!$D$81)/绝对估值!$D$83*(unit/10000)</f>
        <v>#VALUE!</v>
      </c>
      <c r="I67" s="141" t="e">
        <f ca="1">((绝对估值!$E$73+NPV($A67,绝对估值!$F$73:$G$73)+(绝对估值!$H$74+NPV($A67,绝对估值!$I$74:$K$74))/(1+$A67)^Estiyears+绝对估值!$K$74*(1+I$64)/($A67-I$64)/(1+$A67)^(Estiyears+Transeyear-1))/(1+$A67)^((DATE(EndYear,12,31)-EstiDate)/365)+绝对估值!$D$79-绝对估值!$D$81)/绝对估值!$D$83*(unit/10000)</f>
        <v>#VALUE!</v>
      </c>
      <c r="J67" s="141" t="e">
        <f ca="1">((绝对估值!$E$73+NPV($A67,绝对估值!$F$73:$G$73)+(绝对估值!$H$74+NPV($A67,绝对估值!$I$74:$K$74))/(1+$A67)^Estiyears+绝对估值!$K$74*(1+J$64)/($A67-J$64)/(1+$A67)^(Estiyears+Transeyear-1))/(1+$A67)^((DATE(EndYear,12,31)-EstiDate)/365)+绝对估值!$D$79-绝对估值!$D$81)/绝对估值!$D$83*(unit/10000)</f>
        <v>#VALUE!</v>
      </c>
      <c r="K67" s="141" t="e">
        <f ca="1">((绝对估值!$E$73+NPV($A67,绝对估值!$F$73:$G$73)+(绝对估值!$H$74+NPV($A67,绝对估值!$I$74:$K$74))/(1+$A67)^Estiyears+绝对估值!$K$74*(1+K$64)/($A67-K$64)/(1+$A67)^(Estiyears+Transeyear-1))/(1+$A67)^((DATE(EndYear,12,31)-EstiDate)/365)+绝对估值!$D$79-绝对估值!$D$81)/绝对估值!$D$83*(unit/10000)</f>
        <v>#VALUE!</v>
      </c>
      <c r="L67" s="141" t="e">
        <f ca="1">((绝对估值!$E$73+NPV($A67,绝对估值!$F$73:$G$73)+(绝对估值!$H$74+NPV($A67,绝对估值!$I$74:$K$74))/(1+$A67)^Estiyears+绝对估值!$K$74*(1+L$64)/($A67-L$64)/(1+$A67)^(Estiyears+Transeyear-1))/(1+$A67)^((DATE(EndYear,12,31)-EstiDate)/365)+绝对估值!$D$79-绝对估值!$D$81)/绝对估值!$D$83*(unit/10000)</f>
        <v>#VALUE!</v>
      </c>
    </row>
    <row r="68" spans="1:12" outlineLevel="1">
      <c r="A68" s="201">
        <f t="shared" si="5"/>
        <v>9.4643390129420302E-2</v>
      </c>
      <c r="B68" s="141" t="e">
        <f ca="1">((绝对估值!$E$73+NPV($A68,绝对估值!$F$73:$G$73)+(绝对估值!$H$74+NPV($A68,绝对估值!$I$74:$K$74))/(1+$A68)^Estiyears+绝对估值!$K$74*(1+B$64)/($A68-B$64)/(1+$A68)^(Estiyears+Transeyear-1))/(1+$A68)^((DATE(EndYear,12,31)-EstiDate)/365)+绝对估值!$D$79-绝对估值!$D$81)/绝对估值!$D$83*(unit/10000)</f>
        <v>#VALUE!</v>
      </c>
      <c r="C68" s="141" t="e">
        <f ca="1">((绝对估值!$E$73+NPV($A68,绝对估值!$F$73:$G$73)+(绝对估值!$H$74+NPV($A68,绝对估值!$I$74:$K$74))/(1+$A68)^Estiyears+绝对估值!$K$74*(1+C$64)/($A68-C$64)/(1+$A68)^(Estiyears+Transeyear-1))/(1+$A68)^((DATE(EndYear,12,31)-EstiDate)/365)+绝对估值!$D$79-绝对估值!$D$81)/绝对估值!$D$83*(unit/10000)</f>
        <v>#VALUE!</v>
      </c>
      <c r="D68" s="141" t="e">
        <f ca="1">((绝对估值!$E$73+NPV($A68,绝对估值!$F$73:$G$73)+(绝对估值!$H$74+NPV($A68,绝对估值!$I$74:$K$74))/(1+$A68)^Estiyears+绝对估值!$K$74*(1+D$64)/($A68-D$64)/(1+$A68)^(Estiyears+Transeyear-1))/(1+$A68)^((DATE(EndYear,12,31)-EstiDate)/365)+绝对估值!$D$79-绝对估值!$D$81)/绝对估值!$D$83*(unit/10000)</f>
        <v>#VALUE!</v>
      </c>
      <c r="E68" s="141" t="e">
        <f ca="1">((绝对估值!$E$73+NPV($A68,绝对估值!$F$73:$G$73)+(绝对估值!$H$74+NPV($A68,绝对估值!$I$74:$K$74))/(1+$A68)^Estiyears+绝对估值!$K$74*(1+E$64)/($A68-E$64)/(1+$A68)^(Estiyears+Transeyear-1))/(1+$A68)^((DATE(EndYear,12,31)-EstiDate)/365)+绝对估值!$D$79-绝对估值!$D$81)/绝对估值!$D$83*(unit/10000)</f>
        <v>#VALUE!</v>
      </c>
      <c r="F68" s="141" t="e">
        <f ca="1">((绝对估值!$E$73+NPV($A68,绝对估值!$F$73:$G$73)+(绝对估值!$H$74+NPV($A68,绝对估值!$I$74:$K$74))/(1+$A68)^Estiyears+绝对估值!$K$74*(1+F$64)/($A68-F$64)/(1+$A68)^(Estiyears+Transeyear-1))/(1+$A68)^((DATE(EndYear,12,31)-EstiDate)/365)+绝对估值!$D$79-绝对估值!$D$81)/绝对估值!$D$83*(unit/10000)</f>
        <v>#VALUE!</v>
      </c>
      <c r="G68" s="141" t="e">
        <f ca="1">((绝对估值!$E$73+NPV($A68,绝对估值!$F$73:$G$73)+(绝对估值!$H$74+NPV($A68,绝对估值!$I$74:$K$74))/(1+$A68)^Estiyears+绝对估值!$K$74*(1+G$64)/($A68-G$64)/(1+$A68)^(Estiyears+Transeyear-1))/(1+$A68)^((DATE(EndYear,12,31)-EstiDate)/365)+绝对估值!$D$79-绝对估值!$D$81)/绝对估值!$D$83*(unit/10000)</f>
        <v>#VALUE!</v>
      </c>
      <c r="H68" s="141" t="e">
        <f ca="1">((绝对估值!$E$73+NPV($A68,绝对估值!$F$73:$G$73)+(绝对估值!$H$74+NPV($A68,绝对估值!$I$74:$K$74))/(1+$A68)^Estiyears+绝对估值!$K$74*(1+H$64)/($A68-H$64)/(1+$A68)^(Estiyears+Transeyear-1))/(1+$A68)^((DATE(EndYear,12,31)-EstiDate)/365)+绝对估值!$D$79-绝对估值!$D$81)/绝对估值!$D$83*(unit/10000)</f>
        <v>#VALUE!</v>
      </c>
      <c r="I68" s="141" t="e">
        <f ca="1">((绝对估值!$E$73+NPV($A68,绝对估值!$F$73:$G$73)+(绝对估值!$H$74+NPV($A68,绝对估值!$I$74:$K$74))/(1+$A68)^Estiyears+绝对估值!$K$74*(1+I$64)/($A68-I$64)/(1+$A68)^(Estiyears+Transeyear-1))/(1+$A68)^((DATE(EndYear,12,31)-EstiDate)/365)+绝对估值!$D$79-绝对估值!$D$81)/绝对估值!$D$83*(unit/10000)</f>
        <v>#VALUE!</v>
      </c>
      <c r="J68" s="141" t="e">
        <f ca="1">((绝对估值!$E$73+NPV($A68,绝对估值!$F$73:$G$73)+(绝对估值!$H$74+NPV($A68,绝对估值!$I$74:$K$74))/(1+$A68)^Estiyears+绝对估值!$K$74*(1+J$64)/($A68-J$64)/(1+$A68)^(Estiyears+Transeyear-1))/(1+$A68)^((DATE(EndYear,12,31)-EstiDate)/365)+绝对估值!$D$79-绝对估值!$D$81)/绝对估值!$D$83*(unit/10000)</f>
        <v>#VALUE!</v>
      </c>
      <c r="K68" s="141" t="e">
        <f ca="1">((绝对估值!$E$73+NPV($A68,绝对估值!$F$73:$G$73)+(绝对估值!$H$74+NPV($A68,绝对估值!$I$74:$K$74))/(1+$A68)^Estiyears+绝对估值!$K$74*(1+K$64)/($A68-K$64)/(1+$A68)^(Estiyears+Transeyear-1))/(1+$A68)^((DATE(EndYear,12,31)-EstiDate)/365)+绝对估值!$D$79-绝对估值!$D$81)/绝对估值!$D$83*(unit/10000)</f>
        <v>#VALUE!</v>
      </c>
      <c r="L68" s="141" t="e">
        <f ca="1">((绝对估值!$E$73+NPV($A68,绝对估值!$F$73:$G$73)+(绝对估值!$H$74+NPV($A68,绝对估值!$I$74:$K$74))/(1+$A68)^Estiyears+绝对估值!$K$74*(1+L$64)/($A68-L$64)/(1+$A68)^(Estiyears+Transeyear-1))/(1+$A68)^((DATE(EndYear,12,31)-EstiDate)/365)+绝对估值!$D$79-绝对估值!$D$81)/绝对估值!$D$83*(unit/10000)</f>
        <v>#VALUE!</v>
      </c>
    </row>
    <row r="69" spans="1:12" outlineLevel="1">
      <c r="A69" s="201">
        <f t="shared" si="5"/>
        <v>0.10410772914236234</v>
      </c>
      <c r="B69" s="141" t="e">
        <f ca="1">((绝对估值!$E$73+NPV($A69,绝对估值!$F$73:$G$73)+(绝对估值!$H$74+NPV($A69,绝对估值!$I$74:$K$74))/(1+$A69)^Estiyears+绝对估值!$K$74*(1+B$64)/($A69-B$64)/(1+$A69)^(Estiyears+Transeyear-1))/(1+$A69)^((DATE(EndYear,12,31)-EstiDate)/365)+绝对估值!$D$79-绝对估值!$D$81)/绝对估值!$D$83*(unit/10000)</f>
        <v>#VALUE!</v>
      </c>
      <c r="C69" s="141" t="e">
        <f ca="1">((绝对估值!$E$73+NPV($A69,绝对估值!$F$73:$G$73)+(绝对估值!$H$74+NPV($A69,绝对估值!$I$74:$K$74))/(1+$A69)^Estiyears+绝对估值!$K$74*(1+C$64)/($A69-C$64)/(1+$A69)^(Estiyears+Transeyear-1))/(1+$A69)^((DATE(EndYear,12,31)-EstiDate)/365)+绝对估值!$D$79-绝对估值!$D$81)/绝对估值!$D$83*(unit/10000)</f>
        <v>#VALUE!</v>
      </c>
      <c r="D69" s="141" t="e">
        <f ca="1">((绝对估值!$E$73+NPV($A69,绝对估值!$F$73:$G$73)+(绝对估值!$H$74+NPV($A69,绝对估值!$I$74:$K$74))/(1+$A69)^Estiyears+绝对估值!$K$74*(1+D$64)/($A69-D$64)/(1+$A69)^(Estiyears+Transeyear-1))/(1+$A69)^((DATE(EndYear,12,31)-EstiDate)/365)+绝对估值!$D$79-绝对估值!$D$81)/绝对估值!$D$83*(unit/10000)</f>
        <v>#VALUE!</v>
      </c>
      <c r="E69" s="141" t="e">
        <f ca="1">((绝对估值!$E$73+NPV($A69,绝对估值!$F$73:$G$73)+(绝对估值!$H$74+NPV($A69,绝对估值!$I$74:$K$74))/(1+$A69)^Estiyears+绝对估值!$K$74*(1+E$64)/($A69-E$64)/(1+$A69)^(Estiyears+Transeyear-1))/(1+$A69)^((DATE(EndYear,12,31)-EstiDate)/365)+绝对估值!$D$79-绝对估值!$D$81)/绝对估值!$D$83*(unit/10000)</f>
        <v>#VALUE!</v>
      </c>
      <c r="F69" s="141" t="e">
        <f ca="1">((绝对估值!$E$73+NPV($A69,绝对估值!$F$73:$G$73)+(绝对估值!$H$74+NPV($A69,绝对估值!$I$74:$K$74))/(1+$A69)^Estiyears+绝对估值!$K$74*(1+F$64)/($A69-F$64)/(1+$A69)^(Estiyears+Transeyear-1))/(1+$A69)^((DATE(EndYear,12,31)-EstiDate)/365)+绝对估值!$D$79-绝对估值!$D$81)/绝对估值!$D$83*(unit/10000)</f>
        <v>#VALUE!</v>
      </c>
      <c r="G69" s="141" t="e">
        <f ca="1">((绝对估值!$E$73+NPV($A69,绝对估值!$F$73:$G$73)+(绝对估值!$H$74+NPV($A69,绝对估值!$I$74:$K$74))/(1+$A69)^Estiyears+绝对估值!$K$74*(1+G$64)/($A69-G$64)/(1+$A69)^(Estiyears+Transeyear-1))/(1+$A69)^((DATE(EndYear,12,31)-EstiDate)/365)+绝对估值!$D$79-绝对估值!$D$81)/绝对估值!$D$83*(unit/10000)</f>
        <v>#VALUE!</v>
      </c>
      <c r="H69" s="141" t="e">
        <f ca="1">((绝对估值!$E$73+NPV($A69,绝对估值!$F$73:$G$73)+(绝对估值!$H$74+NPV($A69,绝对估值!$I$74:$K$74))/(1+$A69)^Estiyears+绝对估值!$K$74*(1+H$64)/($A69-H$64)/(1+$A69)^(Estiyears+Transeyear-1))/(1+$A69)^((DATE(EndYear,12,31)-EstiDate)/365)+绝对估值!$D$79-绝对估值!$D$81)/绝对估值!$D$83*(unit/10000)</f>
        <v>#VALUE!</v>
      </c>
      <c r="I69" s="141" t="e">
        <f ca="1">((绝对估值!$E$73+NPV($A69,绝对估值!$F$73:$G$73)+(绝对估值!$H$74+NPV($A69,绝对估值!$I$74:$K$74))/(1+$A69)^Estiyears+绝对估值!$K$74*(1+I$64)/($A69-I$64)/(1+$A69)^(Estiyears+Transeyear-1))/(1+$A69)^((DATE(EndYear,12,31)-EstiDate)/365)+绝对估值!$D$79-绝对估值!$D$81)/绝对估值!$D$83*(unit/10000)</f>
        <v>#VALUE!</v>
      </c>
      <c r="J69" s="141" t="e">
        <f ca="1">((绝对估值!$E$73+NPV($A69,绝对估值!$F$73:$G$73)+(绝对估值!$H$74+NPV($A69,绝对估值!$I$74:$K$74))/(1+$A69)^Estiyears+绝对估值!$K$74*(1+J$64)/($A69-J$64)/(1+$A69)^(Estiyears+Transeyear-1))/(1+$A69)^((DATE(EndYear,12,31)-EstiDate)/365)+绝对估值!$D$79-绝对估值!$D$81)/绝对估值!$D$83*(unit/10000)</f>
        <v>#VALUE!</v>
      </c>
      <c r="K69" s="141" t="e">
        <f ca="1">((绝对估值!$E$73+NPV($A69,绝对估值!$F$73:$G$73)+(绝对估值!$H$74+NPV($A69,绝对估值!$I$74:$K$74))/(1+$A69)^Estiyears+绝对估值!$K$74*(1+K$64)/($A69-K$64)/(1+$A69)^(Estiyears+Transeyear-1))/(1+$A69)^((DATE(EndYear,12,31)-EstiDate)/365)+绝对估值!$D$79-绝对估值!$D$81)/绝对估值!$D$83*(unit/10000)</f>
        <v>#VALUE!</v>
      </c>
      <c r="L69" s="141" t="e">
        <f ca="1">((绝对估值!$E$73+NPV($A69,绝对估值!$F$73:$G$73)+(绝对估值!$H$74+NPV($A69,绝对估值!$I$74:$K$74))/(1+$A69)^Estiyears+绝对估值!$K$74*(1+L$64)/($A69-L$64)/(1+$A69)^(Estiyears+Transeyear-1))/(1+$A69)^((DATE(EndYear,12,31)-EstiDate)/365)+绝对估值!$D$79-绝对估值!$D$81)/绝对估值!$D$83*(unit/10000)</f>
        <v>#VALUE!</v>
      </c>
    </row>
    <row r="70" spans="1:12" outlineLevel="1">
      <c r="A70" s="201">
        <f t="shared" si="5"/>
        <v>0.11451850205659858</v>
      </c>
      <c r="B70" s="141" t="e">
        <f ca="1">((绝对估值!$E$73+NPV($A70,绝对估值!$F$73:$G$73)+(绝对估值!$H$74+NPV($A70,绝对估值!$I$74:$K$74))/(1+$A70)^Estiyears+绝对估值!$K$74*(1+B$64)/($A70-B$64)/(1+$A70)^(Estiyears+Transeyear-1))/(1+$A70)^((DATE(EndYear,12,31)-EstiDate)/365)+绝对估值!$D$79-绝对估值!$D$81)/绝对估值!$D$83*(unit/10000)</f>
        <v>#VALUE!</v>
      </c>
      <c r="C70" s="141" t="e">
        <f ca="1">((绝对估值!$E$73+NPV($A70,绝对估值!$F$73:$G$73)+(绝对估值!$H$74+NPV($A70,绝对估值!$I$74:$K$74))/(1+$A70)^Estiyears+绝对估值!$K$74*(1+C$64)/($A70-C$64)/(1+$A70)^(Estiyears+Transeyear-1))/(1+$A70)^((DATE(EndYear,12,31)-EstiDate)/365)+绝对估值!$D$79-绝对估值!$D$81)/绝对估值!$D$83*(unit/10000)</f>
        <v>#VALUE!</v>
      </c>
      <c r="D70" s="141" t="e">
        <f ca="1">((绝对估值!$E$73+NPV($A70,绝对估值!$F$73:$G$73)+(绝对估值!$H$74+NPV($A70,绝对估值!$I$74:$K$74))/(1+$A70)^Estiyears+绝对估值!$K$74*(1+D$64)/($A70-D$64)/(1+$A70)^(Estiyears+Transeyear-1))/(1+$A70)^((DATE(EndYear,12,31)-EstiDate)/365)+绝对估值!$D$79-绝对估值!$D$81)/绝对估值!$D$83*(unit/10000)</f>
        <v>#VALUE!</v>
      </c>
      <c r="E70" s="141" t="e">
        <f ca="1">((绝对估值!$E$73+NPV($A70,绝对估值!$F$73:$G$73)+(绝对估值!$H$74+NPV($A70,绝对估值!$I$74:$K$74))/(1+$A70)^Estiyears+绝对估值!$K$74*(1+E$64)/($A70-E$64)/(1+$A70)^(Estiyears+Transeyear-1))/(1+$A70)^((DATE(EndYear,12,31)-EstiDate)/365)+绝对估值!$D$79-绝对估值!$D$81)/绝对估值!$D$83*(unit/10000)</f>
        <v>#VALUE!</v>
      </c>
      <c r="F70" s="141" t="e">
        <f ca="1">((绝对估值!$E$73+NPV($A70,绝对估值!$F$73:$G$73)+(绝对估值!$H$74+NPV($A70,绝对估值!$I$74:$K$74))/(1+$A70)^Estiyears+绝对估值!$K$74*(1+F$64)/($A70-F$64)/(1+$A70)^(Estiyears+Transeyear-1))/(1+$A70)^((DATE(EndYear,12,31)-EstiDate)/365)+绝对估值!$D$79-绝对估值!$D$81)/绝对估值!$D$83*(unit/10000)</f>
        <v>#VALUE!</v>
      </c>
      <c r="G70" s="141" t="e">
        <f ca="1">((绝对估值!$E$73+NPV($A70,绝对估值!$F$73:$G$73)+(绝对估值!$H$74+NPV($A70,绝对估值!$I$74:$K$74))/(1+$A70)^Estiyears+绝对估值!$K$74*(1+G$64)/($A70-G$64)/(1+$A70)^(Estiyears+Transeyear-1))/(1+$A70)^((DATE(EndYear,12,31)-EstiDate)/365)+绝对估值!$D$79-绝对估值!$D$81)/绝对估值!$D$83*(unit/10000)</f>
        <v>#VALUE!</v>
      </c>
      <c r="H70" s="141" t="e">
        <f ca="1">((绝对估值!$E$73+NPV($A70,绝对估值!$F$73:$G$73)+(绝对估值!$H$74+NPV($A70,绝对估值!$I$74:$K$74))/(1+$A70)^Estiyears+绝对估值!$K$74*(1+H$64)/($A70-H$64)/(1+$A70)^(Estiyears+Transeyear-1))/(1+$A70)^((DATE(EndYear,12,31)-EstiDate)/365)+绝对估值!$D$79-绝对估值!$D$81)/绝对估值!$D$83*(unit/10000)</f>
        <v>#VALUE!</v>
      </c>
      <c r="I70" s="141" t="e">
        <f ca="1">((绝对估值!$E$73+NPV($A70,绝对估值!$F$73:$G$73)+(绝对估值!$H$74+NPV($A70,绝对估值!$I$74:$K$74))/(1+$A70)^Estiyears+绝对估值!$K$74*(1+I$64)/($A70-I$64)/(1+$A70)^(Estiyears+Transeyear-1))/(1+$A70)^((DATE(EndYear,12,31)-EstiDate)/365)+绝对估值!$D$79-绝对估值!$D$81)/绝对估值!$D$83*(unit/10000)</f>
        <v>#VALUE!</v>
      </c>
      <c r="J70" s="141" t="e">
        <f ca="1">((绝对估值!$E$73+NPV($A70,绝对估值!$F$73:$G$73)+(绝对估值!$H$74+NPV($A70,绝对估值!$I$74:$K$74))/(1+$A70)^Estiyears+绝对估值!$K$74*(1+J$64)/($A70-J$64)/(1+$A70)^(Estiyears+Transeyear-1))/(1+$A70)^((DATE(EndYear,12,31)-EstiDate)/365)+绝对估值!$D$79-绝对估值!$D$81)/绝对估值!$D$83*(unit/10000)</f>
        <v>#VALUE!</v>
      </c>
      <c r="K70" s="141" t="e">
        <f ca="1">((绝对估值!$E$73+NPV($A70,绝对估值!$F$73:$G$73)+(绝对估值!$H$74+NPV($A70,绝对估值!$I$74:$K$74))/(1+$A70)^Estiyears+绝对估值!$K$74*(1+K$64)/($A70-K$64)/(1+$A70)^(Estiyears+Transeyear-1))/(1+$A70)^((DATE(EndYear,12,31)-EstiDate)/365)+绝对估值!$D$79-绝对估值!$D$81)/绝对估值!$D$83*(unit/10000)</f>
        <v>#VALUE!</v>
      </c>
      <c r="L70" s="141" t="e">
        <f ca="1">((绝对估值!$E$73+NPV($A70,绝对估值!$F$73:$G$73)+(绝对估值!$H$74+NPV($A70,绝对估值!$I$74:$K$74))/(1+$A70)^Estiyears+绝对估值!$K$74*(1+L$64)/($A70-L$64)/(1+$A70)^(Estiyears+Transeyear-1))/(1+$A70)^((DATE(EndYear,12,31)-EstiDate)/365)+绝对估值!$D$79-绝对估值!$D$81)/绝对估值!$D$83*(unit/10000)</f>
        <v>#VALUE!</v>
      </c>
    </row>
    <row r="71" spans="1:12" outlineLevel="1">
      <c r="A71" s="201">
        <f t="shared" si="5"/>
        <v>0.12597035226225844</v>
      </c>
      <c r="B71" s="141" t="e">
        <f ca="1">((绝对估值!$E$73+NPV($A71,绝对估值!$F$73:$G$73)+(绝对估值!$H$74+NPV($A71,绝对估值!$I$74:$K$74))/(1+$A71)^Estiyears+绝对估值!$K$74*(1+B$64)/($A71-B$64)/(1+$A71)^(Estiyears+Transeyear-1))/(1+$A71)^((DATE(EndYear,12,31)-EstiDate)/365)+绝对估值!$D$79-绝对估值!$D$81)/绝对估值!$D$83*(unit/10000)</f>
        <v>#VALUE!</v>
      </c>
      <c r="C71" s="141" t="e">
        <f ca="1">((绝对估值!$E$73+NPV($A71,绝对估值!$F$73:$G$73)+(绝对估值!$H$74+NPV($A71,绝对估值!$I$74:$K$74))/(1+$A71)^Estiyears+绝对估值!$K$74*(1+C$64)/($A71-C$64)/(1+$A71)^(Estiyears+Transeyear-1))/(1+$A71)^((DATE(EndYear,12,31)-EstiDate)/365)+绝对估值!$D$79-绝对估值!$D$81)/绝对估值!$D$83*(unit/10000)</f>
        <v>#VALUE!</v>
      </c>
      <c r="D71" s="141" t="e">
        <f ca="1">((绝对估值!$E$73+NPV($A71,绝对估值!$F$73:$G$73)+(绝对估值!$H$74+NPV($A71,绝对估值!$I$74:$K$74))/(1+$A71)^Estiyears+绝对估值!$K$74*(1+D$64)/($A71-D$64)/(1+$A71)^(Estiyears+Transeyear-1))/(1+$A71)^((DATE(EndYear,12,31)-EstiDate)/365)+绝对估值!$D$79-绝对估值!$D$81)/绝对估值!$D$83*(unit/10000)</f>
        <v>#VALUE!</v>
      </c>
      <c r="E71" s="141" t="e">
        <f ca="1">((绝对估值!$E$73+NPV($A71,绝对估值!$F$73:$G$73)+(绝对估值!$H$74+NPV($A71,绝对估值!$I$74:$K$74))/(1+$A71)^Estiyears+绝对估值!$K$74*(1+E$64)/($A71-E$64)/(1+$A71)^(Estiyears+Transeyear-1))/(1+$A71)^((DATE(EndYear,12,31)-EstiDate)/365)+绝对估值!$D$79-绝对估值!$D$81)/绝对估值!$D$83*(unit/10000)</f>
        <v>#VALUE!</v>
      </c>
      <c r="F71" s="141" t="e">
        <f ca="1">((绝对估值!$E$73+NPV($A71,绝对估值!$F$73:$G$73)+(绝对估值!$H$74+NPV($A71,绝对估值!$I$74:$K$74))/(1+$A71)^Estiyears+绝对估值!$K$74*(1+F$64)/($A71-F$64)/(1+$A71)^(Estiyears+Transeyear-1))/(1+$A71)^((DATE(EndYear,12,31)-EstiDate)/365)+绝对估值!$D$79-绝对估值!$D$81)/绝对估值!$D$83*(unit/10000)</f>
        <v>#VALUE!</v>
      </c>
      <c r="G71" s="141" t="e">
        <f ca="1">((绝对估值!$E$73+NPV($A71,绝对估值!$F$73:$G$73)+(绝对估值!$H$74+NPV($A71,绝对估值!$I$74:$K$74))/(1+$A71)^Estiyears+绝对估值!$K$74*(1+G$64)/($A71-G$64)/(1+$A71)^(Estiyears+Transeyear-1))/(1+$A71)^((DATE(EndYear,12,31)-EstiDate)/365)+绝对估值!$D$79-绝对估值!$D$81)/绝对估值!$D$83*(unit/10000)</f>
        <v>#VALUE!</v>
      </c>
      <c r="H71" s="141" t="e">
        <f ca="1">((绝对估值!$E$73+NPV($A71,绝对估值!$F$73:$G$73)+(绝对估值!$H$74+NPV($A71,绝对估值!$I$74:$K$74))/(1+$A71)^Estiyears+绝对估值!$K$74*(1+H$64)/($A71-H$64)/(1+$A71)^(Estiyears+Transeyear-1))/(1+$A71)^((DATE(EndYear,12,31)-EstiDate)/365)+绝对估值!$D$79-绝对估值!$D$81)/绝对估值!$D$83*(unit/10000)</f>
        <v>#VALUE!</v>
      </c>
      <c r="I71" s="141" t="e">
        <f ca="1">((绝对估值!$E$73+NPV($A71,绝对估值!$F$73:$G$73)+(绝对估值!$H$74+NPV($A71,绝对估值!$I$74:$K$74))/(1+$A71)^Estiyears+绝对估值!$K$74*(1+I$64)/($A71-I$64)/(1+$A71)^(Estiyears+Transeyear-1))/(1+$A71)^((DATE(EndYear,12,31)-EstiDate)/365)+绝对估值!$D$79-绝对估值!$D$81)/绝对估值!$D$83*(unit/10000)</f>
        <v>#VALUE!</v>
      </c>
      <c r="J71" s="141" t="e">
        <f ca="1">((绝对估值!$E$73+NPV($A71,绝对估值!$F$73:$G$73)+(绝对估值!$H$74+NPV($A71,绝对估值!$I$74:$K$74))/(1+$A71)^Estiyears+绝对估值!$K$74*(1+J$64)/($A71-J$64)/(1+$A71)^(Estiyears+Transeyear-1))/(1+$A71)^((DATE(EndYear,12,31)-EstiDate)/365)+绝对估值!$D$79-绝对估值!$D$81)/绝对估值!$D$83*(unit/10000)</f>
        <v>#VALUE!</v>
      </c>
      <c r="K71" s="141" t="e">
        <f ca="1">((绝对估值!$E$73+NPV($A71,绝对估值!$F$73:$G$73)+(绝对估值!$H$74+NPV($A71,绝对估值!$I$74:$K$74))/(1+$A71)^Estiyears+绝对估值!$K$74*(1+K$64)/($A71-K$64)/(1+$A71)^(Estiyears+Transeyear-1))/(1+$A71)^((DATE(EndYear,12,31)-EstiDate)/365)+绝对估值!$D$79-绝对估值!$D$81)/绝对估值!$D$83*(unit/10000)</f>
        <v>#VALUE!</v>
      </c>
      <c r="L71" s="141" t="e">
        <f ca="1">((绝对估值!$E$73+NPV($A71,绝对估值!$F$73:$G$73)+(绝对估值!$H$74+NPV($A71,绝对估值!$I$74:$K$74))/(1+$A71)^Estiyears+绝对估值!$K$74*(1+L$64)/($A71-L$64)/(1+$A71)^(Estiyears+Transeyear-1))/(1+$A71)^((DATE(EndYear,12,31)-EstiDate)/365)+绝对估值!$D$79-绝对估值!$D$81)/绝对估值!$D$83*(unit/10000)</f>
        <v>#VALUE!</v>
      </c>
    </row>
    <row r="72" spans="1:12" outlineLevel="1">
      <c r="A72" s="201">
        <f t="shared" si="5"/>
        <v>0.13856738748848429</v>
      </c>
      <c r="B72" s="141" t="e">
        <f ca="1">((绝对估值!$E$73+NPV($A72,绝对估值!$F$73:$G$73)+(绝对估值!$H$74+NPV($A72,绝对估值!$I$74:$K$74))/(1+$A72)^Estiyears+绝对估值!$K$74*(1+B$64)/($A72-B$64)/(1+$A72)^(Estiyears+Transeyear-1))/(1+$A72)^((DATE(EndYear,12,31)-EstiDate)/365)+绝对估值!$D$79-绝对估值!$D$81)/绝对估值!$D$83*(unit/10000)</f>
        <v>#VALUE!</v>
      </c>
      <c r="C72" s="141" t="e">
        <f ca="1">((绝对估值!$E$73+NPV($A72,绝对估值!$F$73:$G$73)+(绝对估值!$H$74+NPV($A72,绝对估值!$I$74:$K$74))/(1+$A72)^Estiyears+绝对估值!$K$74*(1+C$64)/($A72-C$64)/(1+$A72)^(Estiyears+Transeyear-1))/(1+$A72)^((DATE(EndYear,12,31)-EstiDate)/365)+绝对估值!$D$79-绝对估值!$D$81)/绝对估值!$D$83*(unit/10000)</f>
        <v>#VALUE!</v>
      </c>
      <c r="D72" s="141" t="e">
        <f ca="1">((绝对估值!$E$73+NPV($A72,绝对估值!$F$73:$G$73)+(绝对估值!$H$74+NPV($A72,绝对估值!$I$74:$K$74))/(1+$A72)^Estiyears+绝对估值!$K$74*(1+D$64)/($A72-D$64)/(1+$A72)^(Estiyears+Transeyear-1))/(1+$A72)^((DATE(EndYear,12,31)-EstiDate)/365)+绝对估值!$D$79-绝对估值!$D$81)/绝对估值!$D$83*(unit/10000)</f>
        <v>#VALUE!</v>
      </c>
      <c r="E72" s="141" t="e">
        <f ca="1">((绝对估值!$E$73+NPV($A72,绝对估值!$F$73:$G$73)+(绝对估值!$H$74+NPV($A72,绝对估值!$I$74:$K$74))/(1+$A72)^Estiyears+绝对估值!$K$74*(1+E$64)/($A72-E$64)/(1+$A72)^(Estiyears+Transeyear-1))/(1+$A72)^((DATE(EndYear,12,31)-EstiDate)/365)+绝对估值!$D$79-绝对估值!$D$81)/绝对估值!$D$83*(unit/10000)</f>
        <v>#VALUE!</v>
      </c>
      <c r="F72" s="141" t="e">
        <f ca="1">((绝对估值!$E$73+NPV($A72,绝对估值!$F$73:$G$73)+(绝对估值!$H$74+NPV($A72,绝对估值!$I$74:$K$74))/(1+$A72)^Estiyears+绝对估值!$K$74*(1+F$64)/($A72-F$64)/(1+$A72)^(Estiyears+Transeyear-1))/(1+$A72)^((DATE(EndYear,12,31)-EstiDate)/365)+绝对估值!$D$79-绝对估值!$D$81)/绝对估值!$D$83*(unit/10000)</f>
        <v>#VALUE!</v>
      </c>
      <c r="G72" s="141" t="e">
        <f ca="1">((绝对估值!$E$73+NPV($A72,绝对估值!$F$73:$G$73)+(绝对估值!$H$74+NPV($A72,绝对估值!$I$74:$K$74))/(1+$A72)^Estiyears+绝对估值!$K$74*(1+G$64)/($A72-G$64)/(1+$A72)^(Estiyears+Transeyear-1))/(1+$A72)^((DATE(EndYear,12,31)-EstiDate)/365)+绝对估值!$D$79-绝对估值!$D$81)/绝对估值!$D$83*(unit/10000)</f>
        <v>#VALUE!</v>
      </c>
      <c r="H72" s="141" t="e">
        <f ca="1">((绝对估值!$E$73+NPV($A72,绝对估值!$F$73:$G$73)+(绝对估值!$H$74+NPV($A72,绝对估值!$I$74:$K$74))/(1+$A72)^Estiyears+绝对估值!$K$74*(1+H$64)/($A72-H$64)/(1+$A72)^(Estiyears+Transeyear-1))/(1+$A72)^((DATE(EndYear,12,31)-EstiDate)/365)+绝对估值!$D$79-绝对估值!$D$81)/绝对估值!$D$83*(unit/10000)</f>
        <v>#VALUE!</v>
      </c>
      <c r="I72" s="141" t="e">
        <f ca="1">((绝对估值!$E$73+NPV($A72,绝对估值!$F$73:$G$73)+(绝对估值!$H$74+NPV($A72,绝对估值!$I$74:$K$74))/(1+$A72)^Estiyears+绝对估值!$K$74*(1+I$64)/($A72-I$64)/(1+$A72)^(Estiyears+Transeyear-1))/(1+$A72)^((DATE(EndYear,12,31)-EstiDate)/365)+绝对估值!$D$79-绝对估值!$D$81)/绝对估值!$D$83*(unit/10000)</f>
        <v>#VALUE!</v>
      </c>
      <c r="J72" s="141" t="e">
        <f ca="1">((绝对估值!$E$73+NPV($A72,绝对估值!$F$73:$G$73)+(绝对估值!$H$74+NPV($A72,绝对估值!$I$74:$K$74))/(1+$A72)^Estiyears+绝对估值!$K$74*(1+J$64)/($A72-J$64)/(1+$A72)^(Estiyears+Transeyear-1))/(1+$A72)^((DATE(EndYear,12,31)-EstiDate)/365)+绝对估值!$D$79-绝对估值!$D$81)/绝对估值!$D$83*(unit/10000)</f>
        <v>#VALUE!</v>
      </c>
      <c r="K72" s="141" t="e">
        <f ca="1">((绝对估值!$E$73+NPV($A72,绝对估值!$F$73:$G$73)+(绝对估值!$H$74+NPV($A72,绝对估值!$I$74:$K$74))/(1+$A72)^Estiyears+绝对估值!$K$74*(1+K$64)/($A72-K$64)/(1+$A72)^(Estiyears+Transeyear-1))/(1+$A72)^((DATE(EndYear,12,31)-EstiDate)/365)+绝对估值!$D$79-绝对估值!$D$81)/绝对估值!$D$83*(unit/10000)</f>
        <v>#VALUE!</v>
      </c>
      <c r="L72" s="141" t="e">
        <f ca="1">((绝对估值!$E$73+NPV($A72,绝对估值!$F$73:$G$73)+(绝对估值!$H$74+NPV($A72,绝对估值!$I$74:$K$74))/(1+$A72)^Estiyears+绝对估值!$K$74*(1+L$64)/($A72-L$64)/(1+$A72)^(Estiyears+Transeyear-1))/(1+$A72)^((DATE(EndYear,12,31)-EstiDate)/365)+绝对估值!$D$79-绝对估值!$D$81)/绝对估值!$D$83*(unit/10000)</f>
        <v>#VALUE!</v>
      </c>
    </row>
    <row r="73" spans="1:12" outlineLevel="1">
      <c r="A73" s="201">
        <f t="shared" si="5"/>
        <v>0.15242412623733273</v>
      </c>
      <c r="B73" s="141" t="e">
        <f ca="1">((绝对估值!$E$73+NPV($A73,绝对估值!$F$73:$G$73)+(绝对估值!$H$74+NPV($A73,绝对估值!$I$74:$K$74))/(1+$A73)^Estiyears+绝对估值!$K$74*(1+B$64)/($A73-B$64)/(1+$A73)^(Estiyears+Transeyear-1))/(1+$A73)^((DATE(EndYear,12,31)-EstiDate)/365)+绝对估值!$D$79-绝对估值!$D$81)/绝对估值!$D$83*(unit/10000)</f>
        <v>#VALUE!</v>
      </c>
      <c r="C73" s="141" t="e">
        <f ca="1">((绝对估值!$E$73+NPV($A73,绝对估值!$F$73:$G$73)+(绝对估值!$H$74+NPV($A73,绝对估值!$I$74:$K$74))/(1+$A73)^Estiyears+绝对估值!$K$74*(1+C$64)/($A73-C$64)/(1+$A73)^(Estiyears+Transeyear-1))/(1+$A73)^((DATE(EndYear,12,31)-EstiDate)/365)+绝对估值!$D$79-绝对估值!$D$81)/绝对估值!$D$83*(unit/10000)</f>
        <v>#VALUE!</v>
      </c>
      <c r="D73" s="141" t="e">
        <f ca="1">((绝对估值!$E$73+NPV($A73,绝对估值!$F$73:$G$73)+(绝对估值!$H$74+NPV($A73,绝对估值!$I$74:$K$74))/(1+$A73)^Estiyears+绝对估值!$K$74*(1+D$64)/($A73-D$64)/(1+$A73)^(Estiyears+Transeyear-1))/(1+$A73)^((DATE(EndYear,12,31)-EstiDate)/365)+绝对估值!$D$79-绝对估值!$D$81)/绝对估值!$D$83*(unit/10000)</f>
        <v>#VALUE!</v>
      </c>
      <c r="E73" s="141" t="e">
        <f ca="1">((绝对估值!$E$73+NPV($A73,绝对估值!$F$73:$G$73)+(绝对估值!$H$74+NPV($A73,绝对估值!$I$74:$K$74))/(1+$A73)^Estiyears+绝对估值!$K$74*(1+E$64)/($A73-E$64)/(1+$A73)^(Estiyears+Transeyear-1))/(1+$A73)^((DATE(EndYear,12,31)-EstiDate)/365)+绝对估值!$D$79-绝对估值!$D$81)/绝对估值!$D$83*(unit/10000)</f>
        <v>#VALUE!</v>
      </c>
      <c r="F73" s="141" t="e">
        <f ca="1">((绝对估值!$E$73+NPV($A73,绝对估值!$F$73:$G$73)+(绝对估值!$H$74+NPV($A73,绝对估值!$I$74:$K$74))/(1+$A73)^Estiyears+绝对估值!$K$74*(1+F$64)/($A73-F$64)/(1+$A73)^(Estiyears+Transeyear-1))/(1+$A73)^((DATE(EndYear,12,31)-EstiDate)/365)+绝对估值!$D$79-绝对估值!$D$81)/绝对估值!$D$83*(unit/10000)</f>
        <v>#VALUE!</v>
      </c>
      <c r="G73" s="141" t="e">
        <f ca="1">((绝对估值!$E$73+NPV($A73,绝对估值!$F$73:$G$73)+(绝对估值!$H$74+NPV($A73,绝对估值!$I$74:$K$74))/(1+$A73)^Estiyears+绝对估值!$K$74*(1+G$64)/($A73-G$64)/(1+$A73)^(Estiyears+Transeyear-1))/(1+$A73)^((DATE(EndYear,12,31)-EstiDate)/365)+绝对估值!$D$79-绝对估值!$D$81)/绝对估值!$D$83*(unit/10000)</f>
        <v>#VALUE!</v>
      </c>
      <c r="H73" s="141" t="e">
        <f ca="1">((绝对估值!$E$73+NPV($A73,绝对估值!$F$73:$G$73)+(绝对估值!$H$74+NPV($A73,绝对估值!$I$74:$K$74))/(1+$A73)^Estiyears+绝对估值!$K$74*(1+H$64)/($A73-H$64)/(1+$A73)^(Estiyears+Transeyear-1))/(1+$A73)^((DATE(EndYear,12,31)-EstiDate)/365)+绝对估值!$D$79-绝对估值!$D$81)/绝对估值!$D$83*(unit/10000)</f>
        <v>#VALUE!</v>
      </c>
      <c r="I73" s="141" t="e">
        <f ca="1">((绝对估值!$E$73+NPV($A73,绝对估值!$F$73:$G$73)+(绝对估值!$H$74+NPV($A73,绝对估值!$I$74:$K$74))/(1+$A73)^Estiyears+绝对估值!$K$74*(1+I$64)/($A73-I$64)/(1+$A73)^(Estiyears+Transeyear-1))/(1+$A73)^((DATE(EndYear,12,31)-EstiDate)/365)+绝对估值!$D$79-绝对估值!$D$81)/绝对估值!$D$83*(unit/10000)</f>
        <v>#VALUE!</v>
      </c>
      <c r="J73" s="141" t="e">
        <f ca="1">((绝对估值!$E$73+NPV($A73,绝对估值!$F$73:$G$73)+(绝对估值!$H$74+NPV($A73,绝对估值!$I$74:$K$74))/(1+$A73)^Estiyears+绝对估值!$K$74*(1+J$64)/($A73-J$64)/(1+$A73)^(Estiyears+Transeyear-1))/(1+$A73)^((DATE(EndYear,12,31)-EstiDate)/365)+绝对估值!$D$79-绝对估值!$D$81)/绝对估值!$D$83*(unit/10000)</f>
        <v>#VALUE!</v>
      </c>
      <c r="K73" s="141" t="e">
        <f ca="1">((绝对估值!$E$73+NPV($A73,绝对估值!$F$73:$G$73)+(绝对估值!$H$74+NPV($A73,绝对估值!$I$74:$K$74))/(1+$A73)^Estiyears+绝对估值!$K$74*(1+K$64)/($A73-K$64)/(1+$A73)^(Estiyears+Transeyear-1))/(1+$A73)^((DATE(EndYear,12,31)-EstiDate)/365)+绝对估值!$D$79-绝对估值!$D$81)/绝对估值!$D$83*(unit/10000)</f>
        <v>#VALUE!</v>
      </c>
      <c r="L73" s="141" t="e">
        <f ca="1">((绝对估值!$E$73+NPV($A73,绝对估值!$F$73:$G$73)+(绝对估值!$H$74+NPV($A73,绝对估值!$I$74:$K$74))/(1+$A73)^Estiyears+绝对估值!$K$74*(1+L$64)/($A73-L$64)/(1+$A73)^(Estiyears+Transeyear-1))/(1+$A73)^((DATE(EndYear,12,31)-EstiDate)/365)+绝对估值!$D$79-绝对估值!$D$81)/绝对估值!$D$83*(unit/10000)</f>
        <v>#VALUE!</v>
      </c>
    </row>
    <row r="74" spans="1:12" outlineLevel="1">
      <c r="A74" s="201">
        <f t="shared" si="5"/>
        <v>0.16766653886106603</v>
      </c>
      <c r="B74" s="141" t="e">
        <f ca="1">((绝对估值!$E$73+NPV($A74,绝对估值!$F$73:$G$73)+(绝对估值!$H$74+NPV($A74,绝对估值!$I$74:$K$74))/(1+$A74)^Estiyears+绝对估值!$K$74*(1+B$64)/($A74-B$64)/(1+$A74)^(Estiyears+Transeyear-1))/(1+$A74)^((DATE(EndYear,12,31)-EstiDate)/365)+绝对估值!$D$79-绝对估值!$D$81)/绝对估值!$D$83*(unit/10000)</f>
        <v>#VALUE!</v>
      </c>
      <c r="C74" s="141" t="e">
        <f ca="1">((绝对估值!$E$73+NPV($A74,绝对估值!$F$73:$G$73)+(绝对估值!$H$74+NPV($A74,绝对估值!$I$74:$K$74))/(1+$A74)^Estiyears+绝对估值!$K$74*(1+C$64)/($A74-C$64)/(1+$A74)^(Estiyears+Transeyear-1))/(1+$A74)^((DATE(EndYear,12,31)-EstiDate)/365)+绝对估值!$D$79-绝对估值!$D$81)/绝对估值!$D$83*(unit/10000)</f>
        <v>#VALUE!</v>
      </c>
      <c r="D74" s="141" t="e">
        <f ca="1">((绝对估值!$E$73+NPV($A74,绝对估值!$F$73:$G$73)+(绝对估值!$H$74+NPV($A74,绝对估值!$I$74:$K$74))/(1+$A74)^Estiyears+绝对估值!$K$74*(1+D$64)/($A74-D$64)/(1+$A74)^(Estiyears+Transeyear-1))/(1+$A74)^((DATE(EndYear,12,31)-EstiDate)/365)+绝对估值!$D$79-绝对估值!$D$81)/绝对估值!$D$83*(unit/10000)</f>
        <v>#VALUE!</v>
      </c>
      <c r="E74" s="141" t="e">
        <f ca="1">((绝对估值!$E$73+NPV($A74,绝对估值!$F$73:$G$73)+(绝对估值!$H$74+NPV($A74,绝对估值!$I$74:$K$74))/(1+$A74)^Estiyears+绝对估值!$K$74*(1+E$64)/($A74-E$64)/(1+$A74)^(Estiyears+Transeyear-1))/(1+$A74)^((DATE(EndYear,12,31)-EstiDate)/365)+绝对估值!$D$79-绝对估值!$D$81)/绝对估值!$D$83*(unit/10000)</f>
        <v>#VALUE!</v>
      </c>
      <c r="F74" s="141" t="e">
        <f ca="1">((绝对估值!$E$73+NPV($A74,绝对估值!$F$73:$G$73)+(绝对估值!$H$74+NPV($A74,绝对估值!$I$74:$K$74))/(1+$A74)^Estiyears+绝对估值!$K$74*(1+F$64)/($A74-F$64)/(1+$A74)^(Estiyears+Transeyear-1))/(1+$A74)^((DATE(EndYear,12,31)-EstiDate)/365)+绝对估值!$D$79-绝对估值!$D$81)/绝对估值!$D$83*(unit/10000)</f>
        <v>#VALUE!</v>
      </c>
      <c r="G74" s="141" t="e">
        <f ca="1">((绝对估值!$E$73+NPV($A74,绝对估值!$F$73:$G$73)+(绝对估值!$H$74+NPV($A74,绝对估值!$I$74:$K$74))/(1+$A74)^Estiyears+绝对估值!$K$74*(1+G$64)/($A74-G$64)/(1+$A74)^(Estiyears+Transeyear-1))/(1+$A74)^((DATE(EndYear,12,31)-EstiDate)/365)+绝对估值!$D$79-绝对估值!$D$81)/绝对估值!$D$83*(unit/10000)</f>
        <v>#VALUE!</v>
      </c>
      <c r="H74" s="141" t="e">
        <f ca="1">((绝对估值!$E$73+NPV($A74,绝对估值!$F$73:$G$73)+(绝对估值!$H$74+NPV($A74,绝对估值!$I$74:$K$74))/(1+$A74)^Estiyears+绝对估值!$K$74*(1+H$64)/($A74-H$64)/(1+$A74)^(Estiyears+Transeyear-1))/(1+$A74)^((DATE(EndYear,12,31)-EstiDate)/365)+绝对估值!$D$79-绝对估值!$D$81)/绝对估值!$D$83*(unit/10000)</f>
        <v>#VALUE!</v>
      </c>
      <c r="I74" s="141" t="e">
        <f ca="1">((绝对估值!$E$73+NPV($A74,绝对估值!$F$73:$G$73)+(绝对估值!$H$74+NPV($A74,绝对估值!$I$74:$K$74))/(1+$A74)^Estiyears+绝对估值!$K$74*(1+I$64)/($A74-I$64)/(1+$A74)^(Estiyears+Transeyear-1))/(1+$A74)^((DATE(EndYear,12,31)-EstiDate)/365)+绝对估值!$D$79-绝对估值!$D$81)/绝对估值!$D$83*(unit/10000)</f>
        <v>#VALUE!</v>
      </c>
      <c r="J74" s="141" t="e">
        <f ca="1">((绝对估值!$E$73+NPV($A74,绝对估值!$F$73:$G$73)+(绝对估值!$H$74+NPV($A74,绝对估值!$I$74:$K$74))/(1+$A74)^Estiyears+绝对估值!$K$74*(1+J$64)/($A74-J$64)/(1+$A74)^(Estiyears+Transeyear-1))/(1+$A74)^((DATE(EndYear,12,31)-EstiDate)/365)+绝对估值!$D$79-绝对估值!$D$81)/绝对估值!$D$83*(unit/10000)</f>
        <v>#VALUE!</v>
      </c>
      <c r="K74" s="141" t="e">
        <f ca="1">((绝对估值!$E$73+NPV($A74,绝对估值!$F$73:$G$73)+(绝对估值!$H$74+NPV($A74,绝对估值!$I$74:$K$74))/(1+$A74)^Estiyears+绝对估值!$K$74*(1+K$64)/($A74-K$64)/(1+$A74)^(Estiyears+Transeyear-1))/(1+$A74)^((DATE(EndYear,12,31)-EstiDate)/365)+绝对估值!$D$79-绝对估值!$D$81)/绝对估值!$D$83*(unit/10000)</f>
        <v>#VALUE!</v>
      </c>
      <c r="L74" s="141" t="e">
        <f ca="1">((绝对估值!$E$73+NPV($A74,绝对估值!$F$73:$G$73)+(绝对估值!$H$74+NPV($A74,绝对估值!$I$74:$K$74))/(1+$A74)^Estiyears+绝对估值!$K$74*(1+L$64)/($A74-L$64)/(1+$A74)^(Estiyears+Transeyear-1))/(1+$A74)^((DATE(EndYear,12,31)-EstiDate)/365)+绝对估值!$D$79-绝对估值!$D$81)/绝对估值!$D$83*(unit/10000)</f>
        <v>#VALUE!</v>
      </c>
    </row>
    <row r="75" spans="1:12" outlineLevel="1">
      <c r="A75" s="201">
        <f t="shared" si="5"/>
        <v>0.18443319274717265</v>
      </c>
      <c r="B75" s="141" t="e">
        <f ca="1">((绝对估值!$E$73+NPV($A75,绝对估值!$F$73:$G$73)+(绝对估值!$H$74+NPV($A75,绝对估值!$I$74:$K$74))/(1+$A75)^Estiyears+绝对估值!$K$74*(1+B$64)/($A75-B$64)/(1+$A75)^(Estiyears+Transeyear-1))/(1+$A75)^((DATE(EndYear,12,31)-EstiDate)/365)+绝对估值!$D$79-绝对估值!$D$81)/绝对估值!$D$83*(unit/10000)</f>
        <v>#VALUE!</v>
      </c>
      <c r="C75" s="141" t="e">
        <f ca="1">((绝对估值!$E$73+NPV($A75,绝对估值!$F$73:$G$73)+(绝对估值!$H$74+NPV($A75,绝对估值!$I$74:$K$74))/(1+$A75)^Estiyears+绝对估值!$K$74*(1+C$64)/($A75-C$64)/(1+$A75)^(Estiyears+Transeyear-1))/(1+$A75)^((DATE(EndYear,12,31)-EstiDate)/365)+绝对估值!$D$79-绝对估值!$D$81)/绝对估值!$D$83*(unit/10000)</f>
        <v>#VALUE!</v>
      </c>
      <c r="D75" s="141" t="e">
        <f ca="1">((绝对估值!$E$73+NPV($A75,绝对估值!$F$73:$G$73)+(绝对估值!$H$74+NPV($A75,绝对估值!$I$74:$K$74))/(1+$A75)^Estiyears+绝对估值!$K$74*(1+D$64)/($A75-D$64)/(1+$A75)^(Estiyears+Transeyear-1))/(1+$A75)^((DATE(EndYear,12,31)-EstiDate)/365)+绝对估值!$D$79-绝对估值!$D$81)/绝对估值!$D$83*(unit/10000)</f>
        <v>#VALUE!</v>
      </c>
      <c r="E75" s="141" t="e">
        <f ca="1">((绝对估值!$E$73+NPV($A75,绝对估值!$F$73:$G$73)+(绝对估值!$H$74+NPV($A75,绝对估值!$I$74:$K$74))/(1+$A75)^Estiyears+绝对估值!$K$74*(1+E$64)/($A75-E$64)/(1+$A75)^(Estiyears+Transeyear-1))/(1+$A75)^((DATE(EndYear,12,31)-EstiDate)/365)+绝对估值!$D$79-绝对估值!$D$81)/绝对估值!$D$83*(unit/10000)</f>
        <v>#VALUE!</v>
      </c>
      <c r="F75" s="141" t="e">
        <f ca="1">((绝对估值!$E$73+NPV($A75,绝对估值!$F$73:$G$73)+(绝对估值!$H$74+NPV($A75,绝对估值!$I$74:$K$74))/(1+$A75)^Estiyears+绝对估值!$K$74*(1+F$64)/($A75-F$64)/(1+$A75)^(Estiyears+Transeyear-1))/(1+$A75)^((DATE(EndYear,12,31)-EstiDate)/365)+绝对估值!$D$79-绝对估值!$D$81)/绝对估值!$D$83*(unit/10000)</f>
        <v>#VALUE!</v>
      </c>
      <c r="G75" s="141" t="e">
        <f ca="1">((绝对估值!$E$73+NPV($A75,绝对估值!$F$73:$G$73)+(绝对估值!$H$74+NPV($A75,绝对估值!$I$74:$K$74))/(1+$A75)^Estiyears+绝对估值!$K$74*(1+G$64)/($A75-G$64)/(1+$A75)^(Estiyears+Transeyear-1))/(1+$A75)^((DATE(EndYear,12,31)-EstiDate)/365)+绝对估值!$D$79-绝对估值!$D$81)/绝对估值!$D$83*(unit/10000)</f>
        <v>#VALUE!</v>
      </c>
      <c r="H75" s="141" t="e">
        <f ca="1">((绝对估值!$E$73+NPV($A75,绝对估值!$F$73:$G$73)+(绝对估值!$H$74+NPV($A75,绝对估值!$I$74:$K$74))/(1+$A75)^Estiyears+绝对估值!$K$74*(1+H$64)/($A75-H$64)/(1+$A75)^(Estiyears+Transeyear-1))/(1+$A75)^((DATE(EndYear,12,31)-EstiDate)/365)+绝对估值!$D$79-绝对估值!$D$81)/绝对估值!$D$83*(unit/10000)</f>
        <v>#VALUE!</v>
      </c>
      <c r="I75" s="141" t="e">
        <f ca="1">((绝对估值!$E$73+NPV($A75,绝对估值!$F$73:$G$73)+(绝对估值!$H$74+NPV($A75,绝对估值!$I$74:$K$74))/(1+$A75)^Estiyears+绝对估值!$K$74*(1+I$64)/($A75-I$64)/(1+$A75)^(Estiyears+Transeyear-1))/(1+$A75)^((DATE(EndYear,12,31)-EstiDate)/365)+绝对估值!$D$79-绝对估值!$D$81)/绝对估值!$D$83*(unit/10000)</f>
        <v>#VALUE!</v>
      </c>
      <c r="J75" s="141" t="e">
        <f ca="1">((绝对估值!$E$73+NPV($A75,绝对估值!$F$73:$G$73)+(绝对估值!$H$74+NPV($A75,绝对估值!$I$74:$K$74))/(1+$A75)^Estiyears+绝对估值!$K$74*(1+J$64)/($A75-J$64)/(1+$A75)^(Estiyears+Transeyear-1))/(1+$A75)^((DATE(EndYear,12,31)-EstiDate)/365)+绝对估值!$D$79-绝对估值!$D$81)/绝对估值!$D$83*(unit/10000)</f>
        <v>#VALUE!</v>
      </c>
      <c r="K75" s="141" t="e">
        <f ca="1">((绝对估值!$E$73+NPV($A75,绝对估值!$F$73:$G$73)+(绝对估值!$H$74+NPV($A75,绝对估值!$I$74:$K$74))/(1+$A75)^Estiyears+绝对估值!$K$74*(1+K$64)/($A75-K$64)/(1+$A75)^(Estiyears+Transeyear-1))/(1+$A75)^((DATE(EndYear,12,31)-EstiDate)/365)+绝对估值!$D$79-绝对估值!$D$81)/绝对估值!$D$83*(unit/10000)</f>
        <v>#VALUE!</v>
      </c>
      <c r="L75" s="141" t="e">
        <f ca="1">((绝对估值!$E$73+NPV($A75,绝对估值!$F$73:$G$73)+(绝对估值!$H$74+NPV($A75,绝对估值!$I$74:$K$74))/(1+$A75)^Estiyears+绝对估值!$K$74*(1+L$64)/($A75-L$64)/(1+$A75)^(Estiyears+Transeyear-1))/(1+$A75)^((DATE(EndYear,12,31)-EstiDate)/365)+绝对估值!$D$79-绝对估值!$D$81)/绝对估值!$D$83*(unit/10000)</f>
        <v>#VALUE!</v>
      </c>
    </row>
  </sheetData>
  <mergeCells count="9">
    <mergeCell ref="A47:B47"/>
    <mergeCell ref="A48:B48"/>
    <mergeCell ref="A62:B62"/>
    <mergeCell ref="A63:B63"/>
    <mergeCell ref="A2:B2"/>
    <mergeCell ref="A17:B17"/>
    <mergeCell ref="A18:B18"/>
    <mergeCell ref="A32:B32"/>
    <mergeCell ref="A33:B33"/>
  </mergeCells>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5" r:id="rId3" name="NavigateCombBox">
              <controlPr defaultSize="0" autoPict="0" macro="[0]!NavigateBox">
                <anchor moveWithCells="1">
                  <from>
                    <xdr:col>0</xdr:col>
                    <xdr:colOff>0</xdr:colOff>
                    <xdr:row>0</xdr:row>
                    <xdr:rowOff>0</xdr:rowOff>
                  </from>
                  <to>
                    <xdr:col>2</xdr:col>
                    <xdr:colOff>199348</xdr:colOff>
                    <xdr:row>0</xdr:row>
                    <xdr:rowOff>251352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theme="0" tint="-0.14996795556505021"/>
  </sheetPr>
  <dimension ref="A1:BN1113"/>
  <sheetViews>
    <sheetView workbookViewId="0">
      <pane ySplit="7" topLeftCell="A62" activePane="bottomLeft" state="frozen"/>
      <selection pane="bottomLeft" activeCell="A70" sqref="A70:XFD70"/>
    </sheetView>
  </sheetViews>
  <sheetFormatPr defaultColWidth="9" defaultRowHeight="14.35"/>
  <cols>
    <col min="1" max="1" width="17.25" style="146" customWidth="1"/>
    <col min="2" max="2" width="14.75" style="147" customWidth="1"/>
    <col min="3" max="3" width="13.4375" style="148" customWidth="1"/>
    <col min="4" max="4" width="14.125" style="71" customWidth="1"/>
    <col min="5" max="5" width="12.125" style="71" customWidth="1"/>
    <col min="6" max="6" width="9.25" style="71" customWidth="1"/>
    <col min="7" max="7" width="14.4375" style="71" customWidth="1"/>
    <col min="8" max="8" width="7.9375" style="71" bestFit="1" customWidth="1"/>
    <col min="9" max="9" width="7.9375" style="149" bestFit="1" customWidth="1"/>
    <col min="10" max="18" width="7.9375" style="71" bestFit="1" customWidth="1"/>
    <col min="19" max="19" width="7.9375" style="146" bestFit="1" customWidth="1"/>
    <col min="20" max="22" width="7.9375" style="71" bestFit="1" customWidth="1"/>
    <col min="23" max="23" width="7.9375" style="146" bestFit="1" customWidth="1"/>
    <col min="24" max="26" width="7.9375" style="70" bestFit="1" customWidth="1"/>
    <col min="27" max="27" width="10" style="146" customWidth="1"/>
    <col min="28" max="28" width="13.25" style="71" customWidth="1"/>
    <col min="29" max="30" width="10" style="71" customWidth="1"/>
    <col min="31" max="31" width="10" style="146" customWidth="1"/>
    <col min="32" max="32" width="13.25" style="150" customWidth="1"/>
    <col min="33" max="34" width="24.875" style="150" customWidth="1"/>
    <col min="35" max="35" width="24.875" style="151" customWidth="1"/>
    <col min="36" max="36" width="14.125" style="146" customWidth="1"/>
    <col min="37" max="38" width="11.5625" style="71" customWidth="1"/>
    <col min="39" max="39" width="8.4375" style="71" customWidth="1"/>
    <col min="40" max="40" width="10.75" style="71" customWidth="1"/>
    <col min="41" max="43" width="24.5625" style="71" customWidth="1"/>
    <col min="44" max="16384" width="9" style="71"/>
  </cols>
  <sheetData>
    <row r="1" spans="1:66" ht="18" customHeight="1">
      <c r="A1" s="70">
        <v>2</v>
      </c>
      <c r="B1" s="147">
        <v>2</v>
      </c>
      <c r="D1" s="152">
        <v>3</v>
      </c>
      <c r="S1" s="70"/>
      <c r="W1" s="70"/>
      <c r="AA1" s="70"/>
      <c r="AE1" s="70"/>
      <c r="AF1" s="71"/>
      <c r="AG1" s="71"/>
      <c r="AH1" s="71"/>
      <c r="AI1" s="70"/>
      <c r="AJ1" s="70"/>
    </row>
    <row r="2" spans="1:66" ht="15.05">
      <c r="A2" s="153" t="s">
        <v>1677</v>
      </c>
      <c r="B2" s="154" t="str">
        <f>目录!E7</f>
        <v>Refreshing</v>
      </c>
      <c r="C2" s="155"/>
      <c r="D2" s="156" t="s">
        <v>1678</v>
      </c>
      <c r="I2" s="174"/>
      <c r="S2" s="70"/>
      <c r="W2" s="70"/>
      <c r="AA2" s="70"/>
      <c r="AE2" s="70"/>
      <c r="AF2" s="71"/>
      <c r="AG2" s="71"/>
      <c r="AH2" s="71"/>
      <c r="AI2" s="70"/>
      <c r="AJ2" s="70"/>
    </row>
    <row r="3" spans="1:66" ht="15.05">
      <c r="A3" s="157" t="s">
        <v>1679</v>
      </c>
      <c r="B3" s="158" t="str">
        <f>IF(B1=4,[1]!EM_S_INFO_INDUSTRY_EM2016(目录!$C$4,"1"),IF(B1=5,[1]!EM_S_INFO_INDUSTRY_EM2016(目录!$C$4,"2"),IF(B1=6,[1]!EM_S_INFO_INDUSTRY_EM2016(目录!$C$4,"3"),IF(B1=7,[1]!EM_S_INFO_INDUSTRY_SW2014(目录!$C$4,"4"),[1]!EM_S_INFO_INDUSTRY_SW2014(目录!$C$4,B1)))))</f>
        <v>Refreshing</v>
      </c>
      <c r="C3" s="155"/>
      <c r="D3" s="156" t="s">
        <v>1624</v>
      </c>
      <c r="E3" s="159">
        <f>EstiDate</f>
        <v>43672</v>
      </c>
      <c r="F3" s="160"/>
      <c r="S3" s="185"/>
      <c r="W3" s="185"/>
      <c r="AA3" s="185"/>
      <c r="AE3" s="185"/>
      <c r="AF3" s="71"/>
      <c r="AG3" s="71"/>
      <c r="AH3" s="71"/>
      <c r="AI3" s="185"/>
      <c r="AJ3" s="185"/>
    </row>
    <row r="4" spans="1:66" s="143" customFormat="1" ht="15.35">
      <c r="A4" s="1052"/>
      <c r="B4" s="1054" t="s">
        <v>1680</v>
      </c>
      <c r="C4" s="1056" t="s">
        <v>1681</v>
      </c>
      <c r="D4" s="1058" t="s">
        <v>1682</v>
      </c>
      <c r="E4" s="1059" t="s">
        <v>1683</v>
      </c>
      <c r="F4" s="1059" t="s">
        <v>1684</v>
      </c>
      <c r="G4" s="1061" t="s">
        <v>1685</v>
      </c>
      <c r="H4" s="1063" t="s">
        <v>1686</v>
      </c>
      <c r="I4" s="1064"/>
      <c r="J4" s="1064"/>
      <c r="K4" s="1065"/>
      <c r="L4" s="1063" t="s">
        <v>1687</v>
      </c>
      <c r="M4" s="1064"/>
      <c r="N4" s="1064"/>
      <c r="O4" s="1065"/>
      <c r="P4" s="1063" t="s">
        <v>1688</v>
      </c>
      <c r="Q4" s="1064"/>
      <c r="R4" s="1064"/>
      <c r="S4" s="1065"/>
      <c r="T4" s="1045" t="s">
        <v>1689</v>
      </c>
      <c r="U4" s="1046"/>
      <c r="V4" s="1046"/>
      <c r="W4" s="1047"/>
      <c r="X4" s="1045" t="s">
        <v>1690</v>
      </c>
      <c r="Y4" s="1046"/>
      <c r="Z4" s="1046"/>
      <c r="AA4" s="1047"/>
      <c r="AB4" s="1045" t="s">
        <v>1691</v>
      </c>
      <c r="AC4" s="1046"/>
      <c r="AD4" s="1046"/>
      <c r="AE4" s="1047"/>
      <c r="AF4" s="1045" t="s">
        <v>1692</v>
      </c>
      <c r="AG4" s="1046"/>
      <c r="AH4" s="1046"/>
      <c r="AI4" s="1047"/>
      <c r="AJ4" s="187" t="s">
        <v>1693</v>
      </c>
      <c r="AK4" s="71"/>
      <c r="AL4" s="71"/>
      <c r="AM4" s="71"/>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row>
    <row r="5" spans="1:66" ht="14.25" customHeight="1">
      <c r="A5" s="1053"/>
      <c r="B5" s="1055"/>
      <c r="C5" s="1057"/>
      <c r="D5" s="1055"/>
      <c r="E5" s="1060"/>
      <c r="F5" s="1060"/>
      <c r="G5" s="1062"/>
      <c r="H5" s="161">
        <v>43465</v>
      </c>
      <c r="I5" s="175">
        <v>43830</v>
      </c>
      <c r="J5" s="175">
        <v>44196</v>
      </c>
      <c r="K5" s="176">
        <v>44561</v>
      </c>
      <c r="L5" s="161">
        <v>43465</v>
      </c>
      <c r="M5" s="175">
        <v>43830</v>
      </c>
      <c r="N5" s="175">
        <v>44196</v>
      </c>
      <c r="O5" s="176">
        <v>44561</v>
      </c>
      <c r="P5" s="161">
        <v>43465</v>
      </c>
      <c r="Q5" s="175">
        <v>43830</v>
      </c>
      <c r="R5" s="175">
        <v>44196</v>
      </c>
      <c r="S5" s="176">
        <v>44561</v>
      </c>
      <c r="T5" s="186">
        <v>43465</v>
      </c>
      <c r="U5" s="175">
        <v>43830</v>
      </c>
      <c r="V5" s="175">
        <v>44196</v>
      </c>
      <c r="W5" s="176">
        <v>44561</v>
      </c>
      <c r="X5" s="186">
        <v>43465</v>
      </c>
      <c r="Y5" s="175">
        <v>43830</v>
      </c>
      <c r="Z5" s="175">
        <v>44196</v>
      </c>
      <c r="AA5" s="176">
        <v>44561</v>
      </c>
      <c r="AB5" s="186">
        <v>43465</v>
      </c>
      <c r="AC5" s="175">
        <v>43830</v>
      </c>
      <c r="AD5" s="175">
        <v>44196</v>
      </c>
      <c r="AE5" s="176">
        <v>44561</v>
      </c>
      <c r="AF5" s="186">
        <v>43465</v>
      </c>
      <c r="AG5" s="175">
        <v>43830</v>
      </c>
      <c r="AH5" s="175">
        <v>44196</v>
      </c>
      <c r="AI5" s="176">
        <v>44561</v>
      </c>
      <c r="AJ5" s="188">
        <v>43465</v>
      </c>
      <c r="AK5" s="189"/>
    </row>
    <row r="6" spans="1:66" s="144" customFormat="1" ht="12.65">
      <c r="A6" s="162"/>
      <c r="B6" s="1048" t="s">
        <v>1694</v>
      </c>
      <c r="C6" s="1049"/>
      <c r="D6" s="163">
        <f>IFERROR(AVERAGE(D8:D48),0)</f>
        <v>19.89268292682927</v>
      </c>
      <c r="E6" s="163">
        <f t="shared" ref="E6:AJ6" si="0">IFERROR(AVERAGE(E8:E48),0)</f>
        <v>26.041219512195116</v>
      </c>
      <c r="F6" s="163">
        <f t="shared" si="0"/>
        <v>12.984146341463413</v>
      </c>
      <c r="G6" s="163">
        <f t="shared" si="0"/>
        <v>120.12021613172197</v>
      </c>
      <c r="H6" s="163">
        <f t="shared" si="0"/>
        <v>3.6952072837707322</v>
      </c>
      <c r="I6" s="163">
        <f t="shared" si="0"/>
        <v>7.1790556657669802</v>
      </c>
      <c r="J6" s="163">
        <f t="shared" si="0"/>
        <v>9.0787302400438286</v>
      </c>
      <c r="K6" s="163">
        <f t="shared" si="0"/>
        <v>11.241021064629811</v>
      </c>
      <c r="L6" s="163">
        <f t="shared" si="0"/>
        <v>52.112266126960982</v>
      </c>
      <c r="M6" s="163">
        <f t="shared" si="0"/>
        <v>60.916881096770666</v>
      </c>
      <c r="N6" s="163">
        <f t="shared" si="0"/>
        <v>73.545566974250036</v>
      </c>
      <c r="O6" s="163">
        <f t="shared" si="0"/>
        <v>87.651555748886636</v>
      </c>
      <c r="P6" s="163">
        <f t="shared" si="0"/>
        <v>0.60626585365853669</v>
      </c>
      <c r="Q6" s="163">
        <f t="shared" si="0"/>
        <v>0.99964025339056273</v>
      </c>
      <c r="R6" s="163">
        <f t="shared" si="0"/>
        <v>1.2923943549467136</v>
      </c>
      <c r="S6" s="163">
        <f t="shared" si="0"/>
        <v>1.6292376629347507</v>
      </c>
      <c r="T6" s="163">
        <f t="shared" si="0"/>
        <v>41.461496925744633</v>
      </c>
      <c r="U6" s="163">
        <f t="shared" si="0"/>
        <v>26.685076190941334</v>
      </c>
      <c r="V6" s="163">
        <f t="shared" si="0"/>
        <v>20.522244733616052</v>
      </c>
      <c r="W6" s="163">
        <f t="shared" si="0"/>
        <v>16.315320720141891</v>
      </c>
      <c r="X6" s="163">
        <f t="shared" si="0"/>
        <v>4.8300203129608326</v>
      </c>
      <c r="Y6" s="163">
        <f t="shared" si="0"/>
        <v>3.5508722201640763</v>
      </c>
      <c r="Z6" s="163">
        <f t="shared" si="0"/>
        <v>2.9073505969683318</v>
      </c>
      <c r="AA6" s="163">
        <f t="shared" si="0"/>
        <v>2.4171944839717061</v>
      </c>
      <c r="AB6" s="163">
        <f t="shared" si="0"/>
        <v>3.9208759355302938</v>
      </c>
      <c r="AC6" s="163">
        <f t="shared" si="0"/>
        <v>3.6934150374622758</v>
      </c>
      <c r="AD6" s="163">
        <f t="shared" si="0"/>
        <v>3.1875640483721055</v>
      </c>
      <c r="AE6" s="163">
        <f t="shared" si="0"/>
        <v>2.7388168514359328</v>
      </c>
      <c r="AF6" s="163">
        <f t="shared" si="0"/>
        <v>10.299229268292683</v>
      </c>
      <c r="AG6" s="163">
        <f t="shared" si="0"/>
        <v>14.855624175722578</v>
      </c>
      <c r="AH6" s="163">
        <f t="shared" si="0"/>
        <v>16.598714774737076</v>
      </c>
      <c r="AI6" s="163">
        <f t="shared" si="0"/>
        <v>17.826964178135032</v>
      </c>
      <c r="AJ6" s="163">
        <f t="shared" si="0"/>
        <v>15.642203167799584</v>
      </c>
      <c r="AK6" s="190"/>
      <c r="AL6" s="190"/>
      <c r="AM6" s="190"/>
      <c r="AN6" s="190"/>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row>
    <row r="7" spans="1:66" s="145" customFormat="1" ht="12.65">
      <c r="A7" s="164"/>
      <c r="B7" s="1050"/>
      <c r="C7" s="1051"/>
      <c r="D7" s="165">
        <f>IFERROR(MEDIAN(D8:D48),0)</f>
        <v>15.08</v>
      </c>
      <c r="E7" s="165">
        <f t="shared" ref="E7:AJ7" si="1">IFERROR(MEDIAN(E8:E48),0)</f>
        <v>19.91</v>
      </c>
      <c r="F7" s="165">
        <f t="shared" si="1"/>
        <v>10.8</v>
      </c>
      <c r="G7" s="165">
        <f t="shared" si="1"/>
        <v>71.558351999999999</v>
      </c>
      <c r="H7" s="165">
        <f t="shared" si="1"/>
        <v>2.2578797693000001</v>
      </c>
      <c r="I7" s="165">
        <f t="shared" si="1"/>
        <v>5.3852976190476198</v>
      </c>
      <c r="J7" s="165">
        <f t="shared" si="1"/>
        <v>6.7358357142857148</v>
      </c>
      <c r="K7" s="165">
        <f t="shared" si="1"/>
        <v>8.1293124999999993</v>
      </c>
      <c r="L7" s="165">
        <f t="shared" si="1"/>
        <v>21.672936867399997</v>
      </c>
      <c r="M7" s="165">
        <f t="shared" si="1"/>
        <v>37.19</v>
      </c>
      <c r="N7" s="165">
        <f t="shared" si="1"/>
        <v>43.49</v>
      </c>
      <c r="O7" s="165">
        <f t="shared" si="1"/>
        <v>53.09525</v>
      </c>
      <c r="P7" s="165">
        <f t="shared" si="1"/>
        <v>0.50249999999999995</v>
      </c>
      <c r="Q7" s="165">
        <f t="shared" si="1"/>
        <v>0.85790669609496795</v>
      </c>
      <c r="R7" s="165">
        <f t="shared" si="1"/>
        <v>1.082076518189925</v>
      </c>
      <c r="S7" s="165">
        <f t="shared" si="1"/>
        <v>1.3386490994073199</v>
      </c>
      <c r="T7" s="165">
        <f t="shared" si="1"/>
        <v>27.623076923076901</v>
      </c>
      <c r="U7" s="165">
        <f t="shared" si="1"/>
        <v>24.652555600339401</v>
      </c>
      <c r="V7" s="165">
        <f t="shared" si="1"/>
        <v>19.929439806769</v>
      </c>
      <c r="W7" s="165">
        <f t="shared" si="1"/>
        <v>16.5309176388301</v>
      </c>
      <c r="X7" s="165">
        <f t="shared" si="1"/>
        <v>3.2103726932102701</v>
      </c>
      <c r="Y7" s="165">
        <f t="shared" si="1"/>
        <v>2.7850435035849102</v>
      </c>
      <c r="Z7" s="165">
        <f t="shared" si="1"/>
        <v>2.3350164325997298</v>
      </c>
      <c r="AA7" s="165">
        <f t="shared" si="1"/>
        <v>1.9637822490772201</v>
      </c>
      <c r="AB7" s="165">
        <f t="shared" si="1"/>
        <v>3.9386552163954902</v>
      </c>
      <c r="AC7" s="165">
        <f t="shared" si="1"/>
        <v>3.5228401322425449</v>
      </c>
      <c r="AD7" s="165">
        <f t="shared" si="1"/>
        <v>3.0917037115966197</v>
      </c>
      <c r="AE7" s="165">
        <f t="shared" si="1"/>
        <v>2.6927491340726704</v>
      </c>
      <c r="AF7" s="165">
        <f t="shared" si="1"/>
        <v>11.32</v>
      </c>
      <c r="AG7" s="165">
        <f t="shared" si="1"/>
        <v>15.31</v>
      </c>
      <c r="AH7" s="165">
        <f t="shared" si="1"/>
        <v>17.904444444444401</v>
      </c>
      <c r="AI7" s="165">
        <f t="shared" si="1"/>
        <v>18.517041176470599</v>
      </c>
      <c r="AJ7" s="165">
        <f t="shared" si="1"/>
        <v>19.566643978430349</v>
      </c>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row>
    <row r="8" spans="1:66">
      <c r="B8" s="166" t="s">
        <v>4246</v>
      </c>
      <c r="C8" s="167" t="s">
        <v>4247</v>
      </c>
      <c r="D8" s="168">
        <v>10.42</v>
      </c>
      <c r="E8" s="168">
        <v>12.78</v>
      </c>
      <c r="F8" s="168">
        <v>5.56</v>
      </c>
      <c r="G8" s="169">
        <v>55.951857199999999</v>
      </c>
      <c r="H8" s="170">
        <v>2.6984353641000003</v>
      </c>
      <c r="I8" s="177"/>
      <c r="J8" s="177"/>
      <c r="K8" s="178"/>
      <c r="L8" s="179">
        <v>49.412445621300002</v>
      </c>
      <c r="M8" s="177"/>
      <c r="N8" s="177"/>
      <c r="O8" s="178"/>
      <c r="P8" s="180">
        <v>0.50249999999999995</v>
      </c>
      <c r="Q8" s="177"/>
      <c r="R8" s="177"/>
      <c r="S8" s="178"/>
      <c r="T8" s="180">
        <v>20.736318407960201</v>
      </c>
      <c r="U8" s="177"/>
      <c r="V8" s="177"/>
      <c r="W8" s="178"/>
      <c r="X8" s="180">
        <v>1.1323434105815899</v>
      </c>
      <c r="Y8" s="177"/>
      <c r="Z8" s="177"/>
      <c r="AA8" s="178"/>
      <c r="AB8" s="180">
        <v>1.6885545681133201</v>
      </c>
      <c r="AC8" s="177"/>
      <c r="AD8" s="177"/>
      <c r="AE8" s="178"/>
      <c r="AF8" s="180">
        <v>8.39</v>
      </c>
      <c r="AG8" s="177"/>
      <c r="AH8" s="177"/>
      <c r="AI8" s="178"/>
      <c r="AJ8" s="191">
        <v>8.9307590993623691</v>
      </c>
    </row>
    <row r="9" spans="1:66">
      <c r="B9" s="166" t="s">
        <v>4248</v>
      </c>
      <c r="C9" s="167" t="s">
        <v>4249</v>
      </c>
      <c r="D9" s="171">
        <v>15.99</v>
      </c>
      <c r="E9" s="171">
        <v>16.59</v>
      </c>
      <c r="F9" s="171">
        <v>4.26</v>
      </c>
      <c r="G9" s="172">
        <v>275.84679401369999</v>
      </c>
      <c r="H9" s="173">
        <v>5.7044802099999998</v>
      </c>
      <c r="I9" s="181">
        <v>8.1604299999999999</v>
      </c>
      <c r="J9" s="181">
        <v>10.439135</v>
      </c>
      <c r="K9" s="182">
        <v>13.2962333333333</v>
      </c>
      <c r="L9" s="183">
        <v>54.968852259999998</v>
      </c>
      <c r="M9" s="181">
        <v>66.8333736842105</v>
      </c>
      <c r="N9" s="181">
        <v>82.609089473684193</v>
      </c>
      <c r="O9" s="182">
        <v>102.065682352941</v>
      </c>
      <c r="P9" s="184">
        <v>0.3407</v>
      </c>
      <c r="Q9" s="181">
        <v>0.47214441608069702</v>
      </c>
      <c r="R9" s="181">
        <v>0.60354947991093399</v>
      </c>
      <c r="S9" s="182">
        <v>0.76832877617230799</v>
      </c>
      <c r="T9" s="184">
        <v>46.9327854417376</v>
      </c>
      <c r="U9" s="181">
        <v>33.866756558796297</v>
      </c>
      <c r="V9" s="181">
        <v>26.493271110696099</v>
      </c>
      <c r="W9" s="182">
        <v>20.8114032636649</v>
      </c>
      <c r="X9" s="184">
        <v>5.0182381962235301</v>
      </c>
      <c r="Y9" s="181">
        <v>4.1273809596547304</v>
      </c>
      <c r="Z9" s="181">
        <v>3.3391821138710598</v>
      </c>
      <c r="AA9" s="182">
        <v>2.7026399829457599</v>
      </c>
      <c r="AB9" s="184">
        <v>6.8561863645443903</v>
      </c>
      <c r="AC9" s="181">
        <v>5.8520990312163601</v>
      </c>
      <c r="AD9" s="181">
        <v>4.9102239884393102</v>
      </c>
      <c r="AE9" s="182">
        <v>4.0742313572277897</v>
      </c>
      <c r="AF9" s="184">
        <v>15.34</v>
      </c>
      <c r="AG9" s="181">
        <v>17.178947368421099</v>
      </c>
      <c r="AH9" s="181">
        <v>18.4447368421053</v>
      </c>
      <c r="AI9" s="182">
        <v>18.517041176470599</v>
      </c>
      <c r="AJ9" s="192">
        <v>27.749739655224801</v>
      </c>
    </row>
    <row r="10" spans="1:66">
      <c r="B10" s="166" t="s">
        <v>4250</v>
      </c>
      <c r="C10" s="167" t="s">
        <v>4251</v>
      </c>
      <c r="D10" s="171">
        <v>5.07</v>
      </c>
      <c r="E10" s="171">
        <v>6.89</v>
      </c>
      <c r="F10" s="171">
        <v>2.2799999999999998</v>
      </c>
      <c r="G10" s="172">
        <v>47.2343378208</v>
      </c>
      <c r="H10" s="173">
        <v>0.34514698960000001</v>
      </c>
      <c r="I10" s="181">
        <v>1.1599999999999999</v>
      </c>
      <c r="J10" s="181">
        <v>1.75</v>
      </c>
      <c r="K10" s="182">
        <v>2.5099999999999998</v>
      </c>
      <c r="L10" s="183">
        <v>13.9342907224</v>
      </c>
      <c r="M10" s="181">
        <v>16.96</v>
      </c>
      <c r="N10" s="181">
        <v>21.25</v>
      </c>
      <c r="O10" s="182">
        <v>27.08</v>
      </c>
      <c r="P10" s="184">
        <v>3.6999999999999998E-2</v>
      </c>
      <c r="Q10" s="181">
        <v>0.119999999958621</v>
      </c>
      <c r="R10" s="181">
        <v>0.18784004199785601</v>
      </c>
      <c r="S10" s="182">
        <v>0.269416288808354</v>
      </c>
      <c r="T10" s="184">
        <v>137.027027027027</v>
      </c>
      <c r="U10" s="181">
        <v>42.250000014568997</v>
      </c>
      <c r="V10" s="181">
        <v>26.9910501833143</v>
      </c>
      <c r="W10" s="182">
        <v>18.8184612831873</v>
      </c>
      <c r="X10" s="184">
        <v>3.3897913257162502</v>
      </c>
      <c r="Y10" s="181">
        <v>2.7850435035849102</v>
      </c>
      <c r="Z10" s="181">
        <v>2.2227923680376498</v>
      </c>
      <c r="AA10" s="182">
        <v>1.74425176590842</v>
      </c>
      <c r="AB10" s="184">
        <v>3.0464396197058901</v>
      </c>
      <c r="AC10" s="181">
        <v>2.83240223463687</v>
      </c>
      <c r="AD10" s="181">
        <v>2.5606060606060601</v>
      </c>
      <c r="AE10" s="182">
        <v>2.2533333333333299</v>
      </c>
      <c r="AF10" s="184">
        <v>2.04</v>
      </c>
      <c r="AG10" s="181">
        <v>6.94</v>
      </c>
      <c r="AH10" s="181">
        <v>9.52</v>
      </c>
      <c r="AI10" s="182">
        <v>11.99</v>
      </c>
      <c r="AJ10" s="192">
        <v>32.179948892547401</v>
      </c>
    </row>
    <row r="11" spans="1:66">
      <c r="B11" s="166" t="s">
        <v>4252</v>
      </c>
      <c r="C11" s="167" t="s">
        <v>4253</v>
      </c>
      <c r="D11" s="171">
        <v>6.49</v>
      </c>
      <c r="E11" s="171">
        <v>7.37</v>
      </c>
      <c r="F11" s="171">
        <v>3.02</v>
      </c>
      <c r="G11" s="172">
        <v>96.565197009599984</v>
      </c>
      <c r="H11" s="173">
        <v>2.1472081625000001</v>
      </c>
      <c r="I11" s="181">
        <v>2.8492714285714298</v>
      </c>
      <c r="J11" s="181">
        <v>3.7158285714285704</v>
      </c>
      <c r="K11" s="182">
        <v>5.0087428571428605</v>
      </c>
      <c r="L11" s="183">
        <v>34.732586034800001</v>
      </c>
      <c r="M11" s="181">
        <v>43.018900000000002</v>
      </c>
      <c r="N11" s="181">
        <v>55.427457142857101</v>
      </c>
      <c r="O11" s="182">
        <v>71.066871428571389</v>
      </c>
      <c r="P11" s="184">
        <v>0.14000000000000001</v>
      </c>
      <c r="Q11" s="181">
        <v>0.191495198519506</v>
      </c>
      <c r="R11" s="181">
        <v>0.24973518591976701</v>
      </c>
      <c r="S11" s="182">
        <v>0.336629988334467</v>
      </c>
      <c r="T11" s="184">
        <v>46.357142857142897</v>
      </c>
      <c r="U11" s="181">
        <v>33.891189179549698</v>
      </c>
      <c r="V11" s="181">
        <v>25.987527452719601</v>
      </c>
      <c r="W11" s="182">
        <v>19.279328119608</v>
      </c>
      <c r="X11" s="184">
        <v>2.78024783161402</v>
      </c>
      <c r="Y11" s="181">
        <v>2.24471562521589</v>
      </c>
      <c r="Z11" s="181">
        <v>1.7421906395726501</v>
      </c>
      <c r="AA11" s="182">
        <v>1.35879341623553</v>
      </c>
      <c r="AB11" s="184">
        <v>3.7969027753365401</v>
      </c>
      <c r="AC11" s="181">
        <v>3.50810810810811</v>
      </c>
      <c r="AD11" s="181">
        <v>3.1751467710371801</v>
      </c>
      <c r="AE11" s="182">
        <v>2.7617021276595701</v>
      </c>
      <c r="AF11" s="184">
        <v>8.66</v>
      </c>
      <c r="AG11" s="181">
        <v>10.501666666666701</v>
      </c>
      <c r="AH11" s="181">
        <v>12.3633333333333</v>
      </c>
      <c r="AI11" s="182">
        <v>14.4166666666667</v>
      </c>
      <c r="AJ11" s="192">
        <v>20.509384564215701</v>
      </c>
    </row>
    <row r="12" spans="1:66">
      <c r="B12" s="166" t="s">
        <v>4254</v>
      </c>
      <c r="C12" s="167" t="s">
        <v>4255</v>
      </c>
      <c r="D12" s="171">
        <v>8.32</v>
      </c>
      <c r="E12" s="171">
        <v>10.84</v>
      </c>
      <c r="F12" s="171">
        <v>6.52</v>
      </c>
      <c r="G12" s="172">
        <v>60.569600000000001</v>
      </c>
      <c r="H12" s="173">
        <v>2.9298552239999998</v>
      </c>
      <c r="I12" s="181"/>
      <c r="J12" s="181"/>
      <c r="K12" s="182"/>
      <c r="L12" s="183">
        <v>36.832190176799998</v>
      </c>
      <c r="M12" s="181"/>
      <c r="N12" s="181"/>
      <c r="O12" s="182"/>
      <c r="P12" s="184">
        <v>0.40200000000000002</v>
      </c>
      <c r="Q12" s="181"/>
      <c r="R12" s="181"/>
      <c r="S12" s="182"/>
      <c r="T12" s="184">
        <v>20.6965174129353</v>
      </c>
      <c r="U12" s="181"/>
      <c r="V12" s="181"/>
      <c r="W12" s="182"/>
      <c r="X12" s="184">
        <v>1.6444745671994201</v>
      </c>
      <c r="Y12" s="181"/>
      <c r="Z12" s="181"/>
      <c r="AA12" s="182"/>
      <c r="AB12" s="184">
        <v>2.4086584879573998</v>
      </c>
      <c r="AC12" s="181"/>
      <c r="AD12" s="181"/>
      <c r="AE12" s="182"/>
      <c r="AF12" s="184">
        <v>12.37</v>
      </c>
      <c r="AG12" s="181"/>
      <c r="AH12" s="181"/>
      <c r="AI12" s="182"/>
      <c r="AJ12" s="192">
        <v>13.185656598381</v>
      </c>
    </row>
    <row r="13" spans="1:66">
      <c r="B13" s="166" t="s">
        <v>4256</v>
      </c>
      <c r="C13" s="167" t="s">
        <v>4257</v>
      </c>
      <c r="D13" s="171">
        <v>13.06</v>
      </c>
      <c r="E13" s="171">
        <v>22.41</v>
      </c>
      <c r="F13" s="171">
        <v>12.3</v>
      </c>
      <c r="G13" s="172">
        <v>71.558351999999999</v>
      </c>
      <c r="H13" s="173">
        <v>0.25415213780000001</v>
      </c>
      <c r="I13" s="181"/>
      <c r="J13" s="181"/>
      <c r="K13" s="182"/>
      <c r="L13" s="183">
        <v>3.4358659045</v>
      </c>
      <c r="M13" s="181"/>
      <c r="N13" s="181"/>
      <c r="O13" s="182"/>
      <c r="P13" s="184">
        <v>0.05</v>
      </c>
      <c r="Q13" s="181"/>
      <c r="R13" s="181"/>
      <c r="S13" s="182"/>
      <c r="T13" s="184">
        <v>261.2</v>
      </c>
      <c r="U13" s="181"/>
      <c r="V13" s="181"/>
      <c r="W13" s="182"/>
      <c r="X13" s="184">
        <v>20.826875666561701</v>
      </c>
      <c r="Y13" s="181"/>
      <c r="Z13" s="181"/>
      <c r="AA13" s="182"/>
      <c r="AB13" s="184">
        <v>4.1703158218500498</v>
      </c>
      <c r="AC13" s="181"/>
      <c r="AD13" s="181"/>
      <c r="AE13" s="182"/>
      <c r="AF13" s="184">
        <v>1.4</v>
      </c>
      <c r="AG13" s="181"/>
      <c r="AH13" s="181"/>
      <c r="AI13" s="182"/>
      <c r="AJ13" s="192">
        <v>36.071892178078599</v>
      </c>
    </row>
    <row r="14" spans="1:66">
      <c r="B14" s="166" t="s">
        <v>4258</v>
      </c>
      <c r="C14" s="167" t="s">
        <v>4259</v>
      </c>
      <c r="D14" s="171">
        <v>7.44</v>
      </c>
      <c r="E14" s="171">
        <v>8.8000000000000007</v>
      </c>
      <c r="F14" s="171">
        <v>5.05</v>
      </c>
      <c r="G14" s="172">
        <v>18.291222739200002</v>
      </c>
      <c r="H14" s="173">
        <v>-0.59257230670000005</v>
      </c>
      <c r="I14" s="181"/>
      <c r="J14" s="181"/>
      <c r="K14" s="182"/>
      <c r="L14" s="183">
        <v>3.9236389071</v>
      </c>
      <c r="M14" s="181"/>
      <c r="N14" s="181"/>
      <c r="O14" s="182"/>
      <c r="P14" s="184">
        <v>-0.24</v>
      </c>
      <c r="Q14" s="181"/>
      <c r="R14" s="181"/>
      <c r="S14" s="182"/>
      <c r="T14" s="184">
        <v>-31</v>
      </c>
      <c r="U14" s="181"/>
      <c r="V14" s="181"/>
      <c r="W14" s="182"/>
      <c r="X14" s="184">
        <v>4.66180073454293</v>
      </c>
      <c r="Y14" s="181"/>
      <c r="Z14" s="181"/>
      <c r="AA14" s="182"/>
      <c r="AB14" s="184">
        <v>4.83240714016108</v>
      </c>
      <c r="AC14" s="181"/>
      <c r="AD14" s="181"/>
      <c r="AE14" s="182"/>
      <c r="AF14" s="184">
        <v>-14.52</v>
      </c>
      <c r="AG14" s="181"/>
      <c r="AH14" s="181"/>
      <c r="AI14" s="182"/>
      <c r="AJ14" s="192">
        <v>-71.692583203802599</v>
      </c>
    </row>
    <row r="15" spans="1:66">
      <c r="B15" s="166" t="s">
        <v>4260</v>
      </c>
      <c r="C15" s="167" t="s">
        <v>4261</v>
      </c>
      <c r="D15" s="171">
        <v>10.26</v>
      </c>
      <c r="E15" s="171">
        <v>12.7</v>
      </c>
      <c r="F15" s="171">
        <v>7.18</v>
      </c>
      <c r="G15" s="172">
        <v>38.208720167999999</v>
      </c>
      <c r="H15" s="173">
        <v>0.81557970859999995</v>
      </c>
      <c r="I15" s="181"/>
      <c r="J15" s="181"/>
      <c r="K15" s="182"/>
      <c r="L15" s="183">
        <v>17.6133724084</v>
      </c>
      <c r="M15" s="181"/>
      <c r="N15" s="181"/>
      <c r="O15" s="182"/>
      <c r="P15" s="184">
        <v>0.22</v>
      </c>
      <c r="Q15" s="181"/>
      <c r="R15" s="181"/>
      <c r="S15" s="182"/>
      <c r="T15" s="184">
        <v>46.636363636363598</v>
      </c>
      <c r="U15" s="181"/>
      <c r="V15" s="181"/>
      <c r="W15" s="182"/>
      <c r="X15" s="184">
        <v>2.16930178287594</v>
      </c>
      <c r="Y15" s="181"/>
      <c r="Z15" s="181"/>
      <c r="AA15" s="182"/>
      <c r="AB15" s="184">
        <v>3.7850225506464201</v>
      </c>
      <c r="AC15" s="181"/>
      <c r="AD15" s="181"/>
      <c r="AE15" s="182"/>
      <c r="AF15" s="184">
        <v>8.07</v>
      </c>
      <c r="AG15" s="181"/>
      <c r="AH15" s="181"/>
      <c r="AI15" s="182"/>
      <c r="AJ15" s="192">
        <v>19.3502682517883</v>
      </c>
    </row>
    <row r="16" spans="1:66">
      <c r="B16" s="166" t="s">
        <v>4262</v>
      </c>
      <c r="C16" s="167" t="s">
        <v>4263</v>
      </c>
      <c r="D16" s="171">
        <v>10.18</v>
      </c>
      <c r="E16" s="171">
        <v>12.57</v>
      </c>
      <c r="F16" s="171">
        <v>7.38</v>
      </c>
      <c r="G16" s="172">
        <v>101.55606897780001</v>
      </c>
      <c r="H16" s="173">
        <v>6.5401030561000004</v>
      </c>
      <c r="I16" s="181">
        <v>7.125</v>
      </c>
      <c r="J16" s="181">
        <v>8.4849999999999994</v>
      </c>
      <c r="K16" s="182">
        <v>9.1</v>
      </c>
      <c r="L16" s="183">
        <v>33.286162243</v>
      </c>
      <c r="M16" s="181">
        <v>37.19</v>
      </c>
      <c r="N16" s="181">
        <v>43.49</v>
      </c>
      <c r="O16" s="182">
        <v>49.61</v>
      </c>
      <c r="P16" s="184">
        <v>0.66</v>
      </c>
      <c r="Q16" s="181">
        <v>0.71421137830625803</v>
      </c>
      <c r="R16" s="181">
        <v>0.85053804139348799</v>
      </c>
      <c r="S16" s="182">
        <v>0.91218576036308097</v>
      </c>
      <c r="T16" s="184">
        <v>15.424242424242401</v>
      </c>
      <c r="U16" s="181">
        <v>14.2534833653053</v>
      </c>
      <c r="V16" s="181">
        <v>11.968894399269301</v>
      </c>
      <c r="W16" s="182">
        <v>11.160007579978</v>
      </c>
      <c r="X16" s="184">
        <v>3.0509996387209499</v>
      </c>
      <c r="Y16" s="181">
        <v>2.7307359230384498</v>
      </c>
      <c r="Z16" s="181">
        <v>2.3351590935341502</v>
      </c>
      <c r="AA16" s="182">
        <v>2.0470886711912901</v>
      </c>
      <c r="AB16" s="184">
        <v>2.2732043143164802</v>
      </c>
      <c r="AC16" s="181">
        <v>2.17870518994114</v>
      </c>
      <c r="AD16" s="181">
        <v>2.1673408558654499</v>
      </c>
      <c r="AE16" s="182">
        <v>2.3785046728972001</v>
      </c>
      <c r="AF16" s="184">
        <v>13.87</v>
      </c>
      <c r="AG16" s="181">
        <v>15.31</v>
      </c>
      <c r="AH16" s="181">
        <v>18.170000000000002</v>
      </c>
      <c r="AI16" s="182">
        <v>21.3</v>
      </c>
      <c r="AJ16" s="192">
        <v>9.1688791840569106</v>
      </c>
    </row>
    <row r="17" spans="2:36">
      <c r="B17" s="166" t="s">
        <v>4264</v>
      </c>
      <c r="C17" s="167" t="s">
        <v>4265</v>
      </c>
      <c r="D17" s="171">
        <v>41.23</v>
      </c>
      <c r="E17" s="171">
        <v>69.59</v>
      </c>
      <c r="F17" s="171">
        <v>34.299999999999997</v>
      </c>
      <c r="G17" s="172">
        <v>248.357814803</v>
      </c>
      <c r="H17" s="173">
        <v>8.0265874818</v>
      </c>
      <c r="I17" s="181">
        <v>10.42951875</v>
      </c>
      <c r="J17" s="181">
        <v>13.26251875</v>
      </c>
      <c r="K17" s="182">
        <v>16.551200000000001</v>
      </c>
      <c r="L17" s="183">
        <v>49.855591045099999</v>
      </c>
      <c r="M17" s="181">
        <v>64.469687500000006</v>
      </c>
      <c r="N17" s="181">
        <v>81.539924999999997</v>
      </c>
      <c r="O17" s="182">
        <v>101.78834999999999</v>
      </c>
      <c r="P17" s="184">
        <v>1.97</v>
      </c>
      <c r="Q17" s="181">
        <v>1.73140941187451</v>
      </c>
      <c r="R17" s="181">
        <v>2.2017171011761301</v>
      </c>
      <c r="S17" s="182">
        <v>2.7476726534306599</v>
      </c>
      <c r="T17" s="184">
        <v>20.9289340101523</v>
      </c>
      <c r="U17" s="181">
        <v>23.812969778974701</v>
      </c>
      <c r="V17" s="181">
        <v>18.726293209048201</v>
      </c>
      <c r="W17" s="182">
        <v>15.005426482853199</v>
      </c>
      <c r="X17" s="184">
        <v>4.9815438869901696</v>
      </c>
      <c r="Y17" s="181">
        <v>3.8523191973437099</v>
      </c>
      <c r="Z17" s="181">
        <v>3.0458430615799599</v>
      </c>
      <c r="AA17" s="182">
        <v>2.4399434198805698</v>
      </c>
      <c r="AB17" s="184">
        <v>4.3631067221928603</v>
      </c>
      <c r="AC17" s="181">
        <v>3.3820216116895598</v>
      </c>
      <c r="AD17" s="181">
        <v>2.7810254427066901</v>
      </c>
      <c r="AE17" s="182">
        <v>2.2860128377369802</v>
      </c>
      <c r="AF17" s="184">
        <v>21.97</v>
      </c>
      <c r="AG17" s="181">
        <v>20.2886666666667</v>
      </c>
      <c r="AH17" s="181">
        <v>21.044</v>
      </c>
      <c r="AI17" s="182">
        <v>21.45</v>
      </c>
      <c r="AJ17" s="192">
        <v>22.529076143438498</v>
      </c>
    </row>
    <row r="18" spans="2:36">
      <c r="B18" s="166" t="s">
        <v>4266</v>
      </c>
      <c r="C18" s="167" t="s">
        <v>4267</v>
      </c>
      <c r="D18" s="171">
        <v>14.7</v>
      </c>
      <c r="E18" s="171">
        <v>21.62</v>
      </c>
      <c r="F18" s="171">
        <v>11.13</v>
      </c>
      <c r="G18" s="172">
        <v>46.310627601000007</v>
      </c>
      <c r="H18" s="173">
        <v>1.2473774729</v>
      </c>
      <c r="I18" s="181">
        <v>2.1474000000000002</v>
      </c>
      <c r="J18" s="181">
        <v>2.7103999999999999</v>
      </c>
      <c r="K18" s="182">
        <v>3.2461000000000002</v>
      </c>
      <c r="L18" s="183">
        <v>19.4905183067</v>
      </c>
      <c r="M18" s="181">
        <v>25.506</v>
      </c>
      <c r="N18" s="181">
        <v>31.871500000000001</v>
      </c>
      <c r="O18" s="182">
        <v>38.203400000000002</v>
      </c>
      <c r="P18" s="184">
        <v>0.68</v>
      </c>
      <c r="Q18" s="181">
        <v>0.68163144477269799</v>
      </c>
      <c r="R18" s="181">
        <v>0.86033988447048504</v>
      </c>
      <c r="S18" s="182">
        <v>1.0303827106625001</v>
      </c>
      <c r="T18" s="184">
        <v>21.617647058823501</v>
      </c>
      <c r="U18" s="181">
        <v>21.565906492036898</v>
      </c>
      <c r="V18" s="181">
        <v>17.0862705139463</v>
      </c>
      <c r="W18" s="182">
        <v>14.266543729706401</v>
      </c>
      <c r="X18" s="184">
        <v>2.3760593162409802</v>
      </c>
      <c r="Y18" s="181">
        <v>1.8156758253352201</v>
      </c>
      <c r="Z18" s="181">
        <v>1.4530419842492499</v>
      </c>
      <c r="AA18" s="182">
        <v>1.21221220103446</v>
      </c>
      <c r="AB18" s="184">
        <v>1.4548646431047101</v>
      </c>
      <c r="AC18" s="181"/>
      <c r="AD18" s="181"/>
      <c r="AE18" s="182"/>
      <c r="AF18" s="184">
        <v>8.91</v>
      </c>
      <c r="AG18" s="181">
        <v>8.6300000000000008</v>
      </c>
      <c r="AH18" s="181">
        <v>9.82</v>
      </c>
      <c r="AI18" s="182">
        <v>10.53</v>
      </c>
      <c r="AJ18" s="192">
        <v>18.567145584671302</v>
      </c>
    </row>
    <row r="19" spans="2:36">
      <c r="B19" s="166" t="s">
        <v>4268</v>
      </c>
      <c r="C19" s="167" t="s">
        <v>4269</v>
      </c>
      <c r="D19" s="171">
        <v>11.9</v>
      </c>
      <c r="E19" s="171">
        <v>16.3</v>
      </c>
      <c r="F19" s="171">
        <v>10.119999999999999</v>
      </c>
      <c r="G19" s="172">
        <v>92.718847025000002</v>
      </c>
      <c r="H19" s="173">
        <v>3.8049176566000003</v>
      </c>
      <c r="I19" s="181">
        <v>5.6647285714285696</v>
      </c>
      <c r="J19" s="181">
        <v>7.5217714285714301</v>
      </c>
      <c r="K19" s="182">
        <v>9.6459200000000003</v>
      </c>
      <c r="L19" s="183">
        <v>33.039493165100005</v>
      </c>
      <c r="M19" s="181">
        <v>45.143333333333302</v>
      </c>
      <c r="N19" s="181">
        <v>58.76</v>
      </c>
      <c r="O19" s="182">
        <v>74.010000000000005</v>
      </c>
      <c r="P19" s="184">
        <v>0.49</v>
      </c>
      <c r="Q19" s="181">
        <v>0.72703956275280301</v>
      </c>
      <c r="R19" s="181">
        <v>0.96538171981221299</v>
      </c>
      <c r="S19" s="182">
        <v>1.23800555855758</v>
      </c>
      <c r="T19" s="184">
        <v>24.285714285714299</v>
      </c>
      <c r="U19" s="181">
        <v>16.3677475197399</v>
      </c>
      <c r="V19" s="181">
        <v>12.3267301998579</v>
      </c>
      <c r="W19" s="182">
        <v>9.6122347090790701</v>
      </c>
      <c r="X19" s="184">
        <v>2.80630355198487</v>
      </c>
      <c r="Y19" s="181">
        <v>2.0538768446799098</v>
      </c>
      <c r="Z19" s="181">
        <v>1.57792455794758</v>
      </c>
      <c r="AA19" s="182">
        <v>1.2527880965410101</v>
      </c>
      <c r="AB19" s="184">
        <v>3.0779665205771298</v>
      </c>
      <c r="AC19" s="181">
        <v>2.6741573033707899</v>
      </c>
      <c r="AD19" s="181">
        <v>2.2502363693665299</v>
      </c>
      <c r="AE19" s="182">
        <v>1.9469895287958101</v>
      </c>
      <c r="AF19" s="184">
        <v>13.59</v>
      </c>
      <c r="AG19" s="181">
        <v>16.786666666666701</v>
      </c>
      <c r="AH19" s="181">
        <v>18.641666666666701</v>
      </c>
      <c r="AI19" s="182">
        <v>21.125</v>
      </c>
      <c r="AJ19" s="192">
        <v>17.569244062118202</v>
      </c>
    </row>
    <row r="20" spans="2:36">
      <c r="B20" s="166" t="s">
        <v>4270</v>
      </c>
      <c r="C20" s="167" t="s">
        <v>4271</v>
      </c>
      <c r="D20" s="171">
        <v>47</v>
      </c>
      <c r="E20" s="171">
        <v>61.36</v>
      </c>
      <c r="F20" s="171">
        <v>33.03</v>
      </c>
      <c r="G20" s="172">
        <v>69.550418579999999</v>
      </c>
      <c r="H20" s="173">
        <v>2.3888540486999998</v>
      </c>
      <c r="I20" s="181">
        <v>2.96</v>
      </c>
      <c r="J20" s="181">
        <v>4.13</v>
      </c>
      <c r="K20" s="182">
        <v>5.68</v>
      </c>
      <c r="L20" s="183">
        <v>22.348653323200001</v>
      </c>
      <c r="M20" s="181">
        <v>27.187000000000001</v>
      </c>
      <c r="N20" s="181">
        <v>34.994</v>
      </c>
      <c r="O20" s="182">
        <v>45.951000000000001</v>
      </c>
      <c r="P20" s="184">
        <v>1.66</v>
      </c>
      <c r="Q20" s="181">
        <v>2.0002755244381198</v>
      </c>
      <c r="R20" s="181">
        <v>2.79092497159778</v>
      </c>
      <c r="S20" s="182">
        <v>3.8383665468947599</v>
      </c>
      <c r="T20" s="184">
        <v>28.3132530120482</v>
      </c>
      <c r="U20" s="181">
        <v>23.4967630337838</v>
      </c>
      <c r="V20" s="181">
        <v>16.840295055690099</v>
      </c>
      <c r="W20" s="182">
        <v>12.2447920035211</v>
      </c>
      <c r="X20" s="184">
        <v>3.1120630659119</v>
      </c>
      <c r="Y20" s="181">
        <v>2.5582233633721998</v>
      </c>
      <c r="Z20" s="181">
        <v>1.9874955300908701</v>
      </c>
      <c r="AA20" s="182">
        <v>1.51357791081805</v>
      </c>
      <c r="AB20" s="184">
        <v>3.1819060226132301</v>
      </c>
      <c r="AC20" s="181">
        <v>2.0046918319471101</v>
      </c>
      <c r="AD20" s="181">
        <v>2.1185485688528298</v>
      </c>
      <c r="AE20" s="182">
        <v>1.8014564967420501</v>
      </c>
      <c r="AF20" s="184">
        <v>11.57</v>
      </c>
      <c r="AG20" s="181">
        <v>10.55</v>
      </c>
      <c r="AH20" s="181">
        <v>13.4</v>
      </c>
      <c r="AI20" s="182">
        <v>15.95</v>
      </c>
      <c r="AJ20" s="192">
        <v>17.806524544485999</v>
      </c>
    </row>
    <row r="21" spans="2:36">
      <c r="B21" s="166" t="s">
        <v>4272</v>
      </c>
      <c r="C21" s="167" t="s">
        <v>4273</v>
      </c>
      <c r="D21" s="171">
        <v>17.39</v>
      </c>
      <c r="E21" s="171">
        <v>17.88</v>
      </c>
      <c r="F21" s="171">
        <v>8.64</v>
      </c>
      <c r="G21" s="172">
        <v>378.58435221779996</v>
      </c>
      <c r="H21" s="173">
        <v>10.0046863058</v>
      </c>
      <c r="I21" s="181">
        <v>12.094906249999999</v>
      </c>
      <c r="J21" s="181">
        <v>14.751037500000001</v>
      </c>
      <c r="K21" s="182">
        <v>18.1906307692308</v>
      </c>
      <c r="L21" s="183">
        <v>119.81081734450001</v>
      </c>
      <c r="M21" s="181">
        <v>134.82502857142902</v>
      </c>
      <c r="N21" s="181">
        <v>156.48124999999999</v>
      </c>
      <c r="O21" s="182">
        <v>182.118009090909</v>
      </c>
      <c r="P21" s="184">
        <v>0.47</v>
      </c>
      <c r="Q21" s="181">
        <v>0.55548851473661798</v>
      </c>
      <c r="R21" s="181">
        <v>0.67757830090511395</v>
      </c>
      <c r="S21" s="182">
        <v>0.83557354450543997</v>
      </c>
      <c r="T21" s="184">
        <v>37</v>
      </c>
      <c r="U21" s="181">
        <v>31.3057777769633</v>
      </c>
      <c r="V21" s="181">
        <v>25.664930498468301</v>
      </c>
      <c r="W21" s="182">
        <v>20.812051930500999</v>
      </c>
      <c r="X21" s="184">
        <v>3.1598511771206002</v>
      </c>
      <c r="Y21" s="181">
        <v>2.8079678990554102</v>
      </c>
      <c r="Z21" s="181">
        <v>2.41935920257411</v>
      </c>
      <c r="AA21" s="182">
        <v>2.0787859152842998</v>
      </c>
      <c r="AB21" s="184">
        <v>6.0285569802525396</v>
      </c>
      <c r="AC21" s="181">
        <v>5.0360882156382303</v>
      </c>
      <c r="AD21" s="181">
        <v>4.4722057368941597</v>
      </c>
      <c r="AE21" s="182">
        <v>3.9958639705882302</v>
      </c>
      <c r="AF21" s="184">
        <v>16.39</v>
      </c>
      <c r="AG21" s="181">
        <v>16.8846666666667</v>
      </c>
      <c r="AH21" s="181">
        <v>19.681999999999999</v>
      </c>
      <c r="AI21" s="182">
        <v>20.829166666666701</v>
      </c>
      <c r="AJ21" s="192">
        <v>23.070714460061499</v>
      </c>
    </row>
    <row r="22" spans="2:36">
      <c r="B22" s="166" t="s">
        <v>4274</v>
      </c>
      <c r="C22" s="167" t="s">
        <v>4275</v>
      </c>
      <c r="D22" s="171">
        <v>13.6</v>
      </c>
      <c r="E22" s="171">
        <v>15.68</v>
      </c>
      <c r="F22" s="171">
        <v>10.89</v>
      </c>
      <c r="G22" s="172">
        <v>55.665072000000002</v>
      </c>
      <c r="H22" s="173">
        <v>2.2578797693000001</v>
      </c>
      <c r="I22" s="181"/>
      <c r="J22" s="181"/>
      <c r="K22" s="182"/>
      <c r="L22" s="183">
        <v>21.672936867399997</v>
      </c>
      <c r="M22" s="181"/>
      <c r="N22" s="181"/>
      <c r="O22" s="182"/>
      <c r="P22" s="184">
        <v>0.56000000000000005</v>
      </c>
      <c r="Q22" s="181"/>
      <c r="R22" s="181"/>
      <c r="S22" s="182"/>
      <c r="T22" s="184">
        <v>24.285714285714299</v>
      </c>
      <c r="U22" s="181"/>
      <c r="V22" s="181"/>
      <c r="W22" s="182"/>
      <c r="X22" s="184">
        <v>2.5684138859708598</v>
      </c>
      <c r="Y22" s="181"/>
      <c r="Z22" s="181"/>
      <c r="AA22" s="182"/>
      <c r="AB22" s="184">
        <v>2.32665073790379</v>
      </c>
      <c r="AC22" s="181"/>
      <c r="AD22" s="181"/>
      <c r="AE22" s="182"/>
      <c r="AF22" s="184">
        <v>9.61</v>
      </c>
      <c r="AG22" s="181"/>
      <c r="AH22" s="181"/>
      <c r="AI22" s="182"/>
      <c r="AJ22" s="192">
        <v>12.9555659398976</v>
      </c>
    </row>
    <row r="23" spans="2:36">
      <c r="B23" s="166" t="s">
        <v>4276</v>
      </c>
      <c r="C23" s="167" t="s">
        <v>4277</v>
      </c>
      <c r="D23" s="171">
        <v>114.3</v>
      </c>
      <c r="E23" s="171">
        <v>132.99</v>
      </c>
      <c r="F23" s="171">
        <v>57.95</v>
      </c>
      <c r="G23" s="172">
        <v>387.88848000000002</v>
      </c>
      <c r="H23" s="173">
        <v>6.9725235801999998</v>
      </c>
      <c r="I23" s="181">
        <v>9.3862333333333297</v>
      </c>
      <c r="J23" s="181">
        <v>12.569859259259299</v>
      </c>
      <c r="K23" s="182">
        <v>16.396557692307702</v>
      </c>
      <c r="L23" s="183">
        <v>76.021417014099995</v>
      </c>
      <c r="M23" s="181">
        <v>96.260374999999996</v>
      </c>
      <c r="N23" s="181">
        <v>123.709210714286</v>
      </c>
      <c r="O23" s="182">
        <v>154.920407692308</v>
      </c>
      <c r="P23" s="184">
        <v>2.4900000000000002</v>
      </c>
      <c r="Q23" s="181">
        <v>2.7656815880000698</v>
      </c>
      <c r="R23" s="181">
        <v>3.7010376831333902</v>
      </c>
      <c r="S23" s="182">
        <v>4.7315337921154796</v>
      </c>
      <c r="T23" s="184">
        <v>45.903614457831303</v>
      </c>
      <c r="U23" s="181">
        <v>41.327967939596803</v>
      </c>
      <c r="V23" s="181">
        <v>30.883230538531201</v>
      </c>
      <c r="W23" s="182">
        <v>24.157071474469198</v>
      </c>
      <c r="X23" s="184">
        <v>5.10235793063495</v>
      </c>
      <c r="Y23" s="181">
        <v>4.0295758249435396</v>
      </c>
      <c r="Z23" s="181">
        <v>3.13548585234977</v>
      </c>
      <c r="AA23" s="182">
        <v>2.5037920166747698</v>
      </c>
      <c r="AB23" s="184">
        <v>8.5975849983512802</v>
      </c>
      <c r="AC23" s="181">
        <v>7.5457238315020803</v>
      </c>
      <c r="AD23" s="181">
        <v>6.1227769445039701</v>
      </c>
      <c r="AE23" s="182">
        <v>4.93389684847486</v>
      </c>
      <c r="AF23" s="184">
        <v>20.38</v>
      </c>
      <c r="AG23" s="181">
        <v>20.83</v>
      </c>
      <c r="AH23" s="181">
        <v>22.5580769230769</v>
      </c>
      <c r="AI23" s="182">
        <v>23.692499999999999</v>
      </c>
      <c r="AJ23" s="192">
        <v>33.449426374697602</v>
      </c>
    </row>
    <row r="24" spans="2:36">
      <c r="B24" s="166" t="s">
        <v>4278</v>
      </c>
      <c r="C24" s="167" t="s">
        <v>4279</v>
      </c>
      <c r="D24" s="171">
        <v>15.5</v>
      </c>
      <c r="E24" s="171">
        <v>23.49</v>
      </c>
      <c r="F24" s="171">
        <v>13.44</v>
      </c>
      <c r="G24" s="172">
        <v>31.952196000000001</v>
      </c>
      <c r="H24" s="173">
        <v>0.68994249419999998</v>
      </c>
      <c r="I24" s="181"/>
      <c r="J24" s="181"/>
      <c r="K24" s="182"/>
      <c r="L24" s="183">
        <v>11.200729537300001</v>
      </c>
      <c r="M24" s="181"/>
      <c r="N24" s="181"/>
      <c r="O24" s="182"/>
      <c r="P24" s="184">
        <v>0.34</v>
      </c>
      <c r="Q24" s="181"/>
      <c r="R24" s="181"/>
      <c r="S24" s="182"/>
      <c r="T24" s="184">
        <v>45.588235294117602</v>
      </c>
      <c r="U24" s="181"/>
      <c r="V24" s="181"/>
      <c r="W24" s="182"/>
      <c r="X24" s="184">
        <v>2.8526888265264101</v>
      </c>
      <c r="Y24" s="181"/>
      <c r="Z24" s="181"/>
      <c r="AA24" s="182"/>
      <c r="AB24" s="184">
        <v>4.7754814928887601</v>
      </c>
      <c r="AC24" s="181"/>
      <c r="AD24" s="181"/>
      <c r="AE24" s="182"/>
      <c r="AF24" s="184">
        <v>10.9</v>
      </c>
      <c r="AG24" s="181"/>
      <c r="AH24" s="181"/>
      <c r="AI24" s="182"/>
      <c r="AJ24" s="192">
        <v>25.751327305043599</v>
      </c>
    </row>
    <row r="25" spans="2:36">
      <c r="B25" s="166" t="s">
        <v>4280</v>
      </c>
      <c r="C25" s="167" t="s">
        <v>4281</v>
      </c>
      <c r="D25" s="171">
        <v>15.08</v>
      </c>
      <c r="E25" s="171">
        <v>19.05</v>
      </c>
      <c r="F25" s="171">
        <v>12.76</v>
      </c>
      <c r="G25" s="172">
        <v>125.847211464</v>
      </c>
      <c r="H25" s="173">
        <v>5.6056955729999993</v>
      </c>
      <c r="I25" s="181">
        <v>7.0384250000000002</v>
      </c>
      <c r="J25" s="181">
        <v>9.2170000000000005</v>
      </c>
      <c r="K25" s="182">
        <v>11.983771428571401</v>
      </c>
      <c r="L25" s="183">
        <v>36.560907368800002</v>
      </c>
      <c r="M25" s="181">
        <v>45.554837499999998</v>
      </c>
      <c r="N25" s="181">
        <v>58.177437500000003</v>
      </c>
      <c r="O25" s="182">
        <v>73.462028571428604</v>
      </c>
      <c r="P25" s="184">
        <v>0.67920000000000003</v>
      </c>
      <c r="Q25" s="181">
        <v>0.84339929161133897</v>
      </c>
      <c r="R25" s="181">
        <v>1.104453236453</v>
      </c>
      <c r="S25" s="182">
        <v>1.4359894910707101</v>
      </c>
      <c r="T25" s="184">
        <v>22.202591283863399</v>
      </c>
      <c r="U25" s="181">
        <v>17.880024503209199</v>
      </c>
      <c r="V25" s="181">
        <v>13.653814849083201</v>
      </c>
      <c r="W25" s="182">
        <v>10.501469609471901</v>
      </c>
      <c r="X25" s="184">
        <v>3.44212495041615</v>
      </c>
      <c r="Y25" s="181">
        <v>2.7625433075905499</v>
      </c>
      <c r="Z25" s="181">
        <v>2.1631618179126599</v>
      </c>
      <c r="AA25" s="182">
        <v>1.7130919729726299</v>
      </c>
      <c r="AB25" s="184">
        <v>4.5540608489142196</v>
      </c>
      <c r="AC25" s="181">
        <v>3.6973730297723302</v>
      </c>
      <c r="AD25" s="181">
        <v>3.15858767205266</v>
      </c>
      <c r="AE25" s="182">
        <v>2.6533724340176001</v>
      </c>
      <c r="AF25" s="184">
        <v>20.99</v>
      </c>
      <c r="AG25" s="181">
        <v>20.7871428571429</v>
      </c>
      <c r="AH25" s="181">
        <v>22.5985714285714</v>
      </c>
      <c r="AI25" s="182">
        <v>24.18</v>
      </c>
      <c r="AJ25" s="192">
        <v>14.1053060959867</v>
      </c>
    </row>
    <row r="26" spans="2:36">
      <c r="B26" s="166" t="s">
        <v>4282</v>
      </c>
      <c r="C26" s="167" t="s">
        <v>4283</v>
      </c>
      <c r="D26" s="171">
        <v>33.79</v>
      </c>
      <c r="E26" s="171">
        <v>35.25</v>
      </c>
      <c r="F26" s="171">
        <v>12.02</v>
      </c>
      <c r="G26" s="172">
        <v>43.707365000000003</v>
      </c>
      <c r="H26" s="173">
        <v>0.75080301589999998</v>
      </c>
      <c r="I26" s="181">
        <v>1.1986250000000001</v>
      </c>
      <c r="J26" s="181">
        <v>1.745625</v>
      </c>
      <c r="K26" s="182">
        <v>2.3291249999999999</v>
      </c>
      <c r="L26" s="183">
        <v>16.776341321099999</v>
      </c>
      <c r="M26" s="181">
        <v>20.264875</v>
      </c>
      <c r="N26" s="181">
        <v>25.096125000000001</v>
      </c>
      <c r="O26" s="182">
        <v>31.0745</v>
      </c>
      <c r="P26" s="184">
        <v>0.57999999999999996</v>
      </c>
      <c r="Q26" s="181">
        <v>0.90217596303073999</v>
      </c>
      <c r="R26" s="181">
        <v>1.3136885975041499</v>
      </c>
      <c r="S26" s="182">
        <v>1.75545888862418</v>
      </c>
      <c r="T26" s="184">
        <v>58.258620689655203</v>
      </c>
      <c r="U26" s="181">
        <v>37.453890798073402</v>
      </c>
      <c r="V26" s="181">
        <v>25.721468591717201</v>
      </c>
      <c r="W26" s="182">
        <v>19.248528244647499</v>
      </c>
      <c r="X26" s="184">
        <v>2.6052977918986602</v>
      </c>
      <c r="Y26" s="181">
        <v>2.1568040760182301</v>
      </c>
      <c r="Z26" s="181">
        <v>1.7415981550936599</v>
      </c>
      <c r="AA26" s="182">
        <v>1.40653477932066</v>
      </c>
      <c r="AB26" s="184">
        <v>6.55164173522871</v>
      </c>
      <c r="AC26" s="181">
        <v>5.3116999775432303</v>
      </c>
      <c r="AD26" s="181">
        <v>4.2826362484157201</v>
      </c>
      <c r="AE26" s="182">
        <v>3.5067457375834001</v>
      </c>
      <c r="AF26" s="184">
        <v>11.67</v>
      </c>
      <c r="AG26" s="181">
        <v>14.8533333333333</v>
      </c>
      <c r="AH26" s="181">
        <v>17.904444444444401</v>
      </c>
      <c r="AI26" s="182">
        <v>19.497777777777799</v>
      </c>
      <c r="AJ26" s="192">
        <v>36.467251790037203</v>
      </c>
    </row>
    <row r="27" spans="2:36">
      <c r="B27" s="166" t="s">
        <v>4284</v>
      </c>
      <c r="C27" s="167" t="s">
        <v>4285</v>
      </c>
      <c r="D27" s="171">
        <v>25.5</v>
      </c>
      <c r="E27" s="171">
        <v>52.88</v>
      </c>
      <c r="F27" s="171">
        <v>19.420000000000002</v>
      </c>
      <c r="G27" s="172">
        <v>45.084000000000003</v>
      </c>
      <c r="H27" s="173">
        <v>1.1794367612000001</v>
      </c>
      <c r="I27" s="181">
        <v>1.8269599999999999</v>
      </c>
      <c r="J27" s="181">
        <v>2.7393399999999999</v>
      </c>
      <c r="K27" s="182">
        <v>3.7428499999999998</v>
      </c>
      <c r="L27" s="183">
        <v>22.488724873899997</v>
      </c>
      <c r="M27" s="181">
        <v>31.31636</v>
      </c>
      <c r="N27" s="181">
        <v>41.791420000000002</v>
      </c>
      <c r="O27" s="182">
        <v>53.09525</v>
      </c>
      <c r="P27" s="184">
        <v>1.1299999999999999</v>
      </c>
      <c r="Q27" s="181">
        <v>1.0333484162895901</v>
      </c>
      <c r="R27" s="181">
        <v>1.54940045248869</v>
      </c>
      <c r="S27" s="182">
        <v>2.11699660633484</v>
      </c>
      <c r="T27" s="184">
        <v>22.566371681415902</v>
      </c>
      <c r="U27" s="181">
        <v>24.677059158383301</v>
      </c>
      <c r="V27" s="181">
        <v>16.4579789292311</v>
      </c>
      <c r="W27" s="182">
        <v>12.045366498790999</v>
      </c>
      <c r="X27" s="184">
        <v>2.0047379410258901</v>
      </c>
      <c r="Y27" s="181">
        <v>1.4396309149594699</v>
      </c>
      <c r="Z27" s="181">
        <v>1.0787860283283</v>
      </c>
      <c r="AA27" s="182">
        <v>0.84911550468262198</v>
      </c>
      <c r="AB27" s="184">
        <v>4.4458529493705896</v>
      </c>
      <c r="AC27" s="181">
        <v>3.9704165044764501</v>
      </c>
      <c r="AD27" s="181">
        <v>3.04114490161002</v>
      </c>
      <c r="AE27" s="182">
        <v>2.4975514201763001</v>
      </c>
      <c r="AF27" s="184">
        <v>21.25</v>
      </c>
      <c r="AG27" s="181">
        <v>23.198</v>
      </c>
      <c r="AH27" s="181">
        <v>27.251999999999999</v>
      </c>
      <c r="AI27" s="182">
        <v>29.24</v>
      </c>
      <c r="AJ27" s="192">
        <v>21.5067422863826</v>
      </c>
    </row>
    <row r="28" spans="2:36">
      <c r="B28" s="166" t="s">
        <v>4286</v>
      </c>
      <c r="C28" s="167" t="s">
        <v>4287</v>
      </c>
      <c r="D28" s="171">
        <v>17.96</v>
      </c>
      <c r="E28" s="171">
        <v>28.99</v>
      </c>
      <c r="F28" s="171">
        <v>14.78</v>
      </c>
      <c r="G28" s="172">
        <v>49.785119999999999</v>
      </c>
      <c r="H28" s="173">
        <v>1.2125774727</v>
      </c>
      <c r="I28" s="181"/>
      <c r="J28" s="181"/>
      <c r="K28" s="182"/>
      <c r="L28" s="183">
        <v>11.314027550799999</v>
      </c>
      <c r="M28" s="181"/>
      <c r="N28" s="181"/>
      <c r="O28" s="182"/>
      <c r="P28" s="184">
        <v>0.67</v>
      </c>
      <c r="Q28" s="181"/>
      <c r="R28" s="181"/>
      <c r="S28" s="182"/>
      <c r="T28" s="184">
        <v>26.805970149253699</v>
      </c>
      <c r="U28" s="181"/>
      <c r="V28" s="181"/>
      <c r="W28" s="182"/>
      <c r="X28" s="184">
        <v>4.40030040376557</v>
      </c>
      <c r="Y28" s="181"/>
      <c r="Z28" s="181"/>
      <c r="AA28" s="182"/>
      <c r="AB28" s="184">
        <v>2.64776616964954</v>
      </c>
      <c r="AC28" s="181"/>
      <c r="AD28" s="181"/>
      <c r="AE28" s="182"/>
      <c r="AF28" s="184">
        <v>10.51</v>
      </c>
      <c r="AG28" s="181"/>
      <c r="AH28" s="181"/>
      <c r="AI28" s="182"/>
      <c r="AJ28" s="192">
        <v>25.990378470663401</v>
      </c>
    </row>
    <row r="29" spans="2:36">
      <c r="B29" s="166" t="s">
        <v>4288</v>
      </c>
      <c r="C29" s="167" t="s">
        <v>4289</v>
      </c>
      <c r="D29" s="171">
        <v>35.909999999999997</v>
      </c>
      <c r="E29" s="171">
        <v>36.42</v>
      </c>
      <c r="F29" s="171">
        <v>16.21</v>
      </c>
      <c r="G29" s="172">
        <v>830.03480602560001</v>
      </c>
      <c r="H29" s="173">
        <v>27.712215164699998</v>
      </c>
      <c r="I29" s="181">
        <v>31.319590000000002</v>
      </c>
      <c r="J29" s="181">
        <v>37.868360000000003</v>
      </c>
      <c r="K29" s="182">
        <v>45.699971428571395</v>
      </c>
      <c r="L29" s="183">
        <v>258.54780280839998</v>
      </c>
      <c r="M29" s="181">
        <v>284.36103000000003</v>
      </c>
      <c r="N29" s="181">
        <v>331.95044000000001</v>
      </c>
      <c r="O29" s="182">
        <v>376.87767142857103</v>
      </c>
      <c r="P29" s="184">
        <v>1.3</v>
      </c>
      <c r="Q29" s="181">
        <v>1.35498712672696</v>
      </c>
      <c r="R29" s="181">
        <v>1.6383081742213801</v>
      </c>
      <c r="S29" s="182">
        <v>1.9771291060165299</v>
      </c>
      <c r="T29" s="184">
        <v>27.623076923076901</v>
      </c>
      <c r="U29" s="181">
        <v>26.502096803489401</v>
      </c>
      <c r="V29" s="181">
        <v>21.9189530791827</v>
      </c>
      <c r="W29" s="182">
        <v>18.162698576801901</v>
      </c>
      <c r="X29" s="184">
        <v>3.2103726932102701</v>
      </c>
      <c r="Y29" s="181">
        <v>2.9189471075751801</v>
      </c>
      <c r="Z29" s="181">
        <v>2.50047810156721</v>
      </c>
      <c r="AA29" s="182">
        <v>2.2023984675964399</v>
      </c>
      <c r="AB29" s="184">
        <v>4.6402698865421304</v>
      </c>
      <c r="AC29" s="181">
        <v>4.22754793138244</v>
      </c>
      <c r="AD29" s="181">
        <v>3.63303945656887</v>
      </c>
      <c r="AE29" s="182">
        <v>3.0196770938445998</v>
      </c>
      <c r="AF29" s="184">
        <v>19.75</v>
      </c>
      <c r="AG29" s="181">
        <v>15.6666666666667</v>
      </c>
      <c r="AH29" s="181">
        <v>16.232222222222202</v>
      </c>
      <c r="AI29" s="182">
        <v>15.796666666666701</v>
      </c>
      <c r="AJ29" s="192">
        <v>16.0195341844545</v>
      </c>
    </row>
    <row r="30" spans="2:36">
      <c r="B30" s="166" t="s">
        <v>4290</v>
      </c>
      <c r="C30" s="167" t="s">
        <v>4291</v>
      </c>
      <c r="D30" s="171">
        <v>3.29</v>
      </c>
      <c r="E30" s="171">
        <v>4.4400000000000004</v>
      </c>
      <c r="F30" s="171">
        <v>2.27</v>
      </c>
      <c r="G30" s="172">
        <v>72.211920611599993</v>
      </c>
      <c r="H30" s="173">
        <v>0.55082752140000002</v>
      </c>
      <c r="I30" s="181"/>
      <c r="J30" s="181"/>
      <c r="K30" s="182"/>
      <c r="L30" s="183">
        <v>57.010517658500007</v>
      </c>
      <c r="M30" s="181"/>
      <c r="N30" s="181"/>
      <c r="O30" s="182"/>
      <c r="P30" s="184">
        <v>2.5100000000000001E-2</v>
      </c>
      <c r="Q30" s="181"/>
      <c r="R30" s="181"/>
      <c r="S30" s="182"/>
      <c r="T30" s="184">
        <v>131.07569721115499</v>
      </c>
      <c r="U30" s="181"/>
      <c r="V30" s="181"/>
      <c r="W30" s="182"/>
      <c r="X30" s="184">
        <v>1.26664207899599</v>
      </c>
      <c r="Y30" s="181"/>
      <c r="Z30" s="181"/>
      <c r="AA30" s="182"/>
      <c r="AB30" s="184">
        <v>2.23524896054731</v>
      </c>
      <c r="AC30" s="181"/>
      <c r="AD30" s="181"/>
      <c r="AE30" s="182"/>
      <c r="AF30" s="184">
        <v>1.78</v>
      </c>
      <c r="AG30" s="181"/>
      <c r="AH30" s="181"/>
      <c r="AI30" s="182"/>
      <c r="AJ30" s="192">
        <v>10.761847932969101</v>
      </c>
    </row>
    <row r="31" spans="2:36">
      <c r="B31" s="166" t="s">
        <v>4292</v>
      </c>
      <c r="C31" s="167" t="s">
        <v>4293</v>
      </c>
      <c r="D31" s="171">
        <v>16.13</v>
      </c>
      <c r="E31" s="171">
        <v>26.66</v>
      </c>
      <c r="F31" s="171">
        <v>9.0500000000000007</v>
      </c>
      <c r="G31" s="172">
        <v>259.14014054009999</v>
      </c>
      <c r="H31" s="173">
        <v>8.1106238874999992</v>
      </c>
      <c r="I31" s="181">
        <v>14.812692307692298</v>
      </c>
      <c r="J31" s="181">
        <v>20.0227692307692</v>
      </c>
      <c r="K31" s="182">
        <v>25.099</v>
      </c>
      <c r="L31" s="183">
        <v>198.25420035389999</v>
      </c>
      <c r="M31" s="181">
        <v>242.26230769230801</v>
      </c>
      <c r="N31" s="181">
        <v>284.366923076923</v>
      </c>
      <c r="O31" s="182">
        <v>329.96</v>
      </c>
      <c r="P31" s="184">
        <v>0.5</v>
      </c>
      <c r="Q31" s="181">
        <v>0.92106453148939504</v>
      </c>
      <c r="R31" s="181">
        <v>1.2454670203763101</v>
      </c>
      <c r="S31" s="182">
        <v>1.56227001018143</v>
      </c>
      <c r="T31" s="184">
        <v>32.26</v>
      </c>
      <c r="U31" s="181">
        <v>17.512345170774498</v>
      </c>
      <c r="V31" s="181">
        <v>12.9509651689745</v>
      </c>
      <c r="W31" s="182">
        <v>10.3247197314674</v>
      </c>
      <c r="X31" s="184">
        <v>1.30711046765977</v>
      </c>
      <c r="Y31" s="181">
        <v>1.06966759711225</v>
      </c>
      <c r="Z31" s="181">
        <v>0.91128791540217502</v>
      </c>
      <c r="AA31" s="182">
        <v>0.78536834931537103</v>
      </c>
      <c r="AB31" s="184">
        <v>3.0795838699839302</v>
      </c>
      <c r="AC31" s="181">
        <v>2.6402946392033799</v>
      </c>
      <c r="AD31" s="181">
        <v>2.2356202356202401</v>
      </c>
      <c r="AE31" s="182">
        <v>1.81159623754036</v>
      </c>
      <c r="AF31" s="184">
        <v>10.02</v>
      </c>
      <c r="AG31" s="181">
        <v>15.3608333333333</v>
      </c>
      <c r="AH31" s="181">
        <v>17.563333333333301</v>
      </c>
      <c r="AI31" s="182">
        <v>17.7088888888889</v>
      </c>
      <c r="AJ31" s="192">
        <v>15.7464470281173</v>
      </c>
    </row>
    <row r="32" spans="2:36">
      <c r="B32" s="166" t="s">
        <v>4294</v>
      </c>
      <c r="C32" s="167" t="s">
        <v>4295</v>
      </c>
      <c r="D32" s="171">
        <v>42.99</v>
      </c>
      <c r="E32" s="171">
        <v>52.8</v>
      </c>
      <c r="F32" s="171">
        <v>34.47</v>
      </c>
      <c r="G32" s="172">
        <v>96.727500000000006</v>
      </c>
      <c r="H32" s="173">
        <v>4.5185614263999998</v>
      </c>
      <c r="I32" s="181">
        <v>5.1058666666666701</v>
      </c>
      <c r="J32" s="181">
        <v>5.9499000000000004</v>
      </c>
      <c r="K32" s="182">
        <v>7.1586249999999998</v>
      </c>
      <c r="L32" s="183">
        <v>17.2142201998</v>
      </c>
      <c r="M32" s="181">
        <v>19.200966666666702</v>
      </c>
      <c r="N32" s="181">
        <v>21.972433333333303</v>
      </c>
      <c r="O32" s="182">
        <v>25.778300000000002</v>
      </c>
      <c r="P32" s="184">
        <v>2.0099999999999998</v>
      </c>
      <c r="Q32" s="181">
        <v>2.2692740740740698</v>
      </c>
      <c r="R32" s="181">
        <v>2.6444000000000001</v>
      </c>
      <c r="S32" s="182">
        <v>3.1816111111111098</v>
      </c>
      <c r="T32" s="184">
        <v>21.388059701492502</v>
      </c>
      <c r="U32" s="181">
        <v>18.944384237739602</v>
      </c>
      <c r="V32" s="181">
        <v>16.2569959158978</v>
      </c>
      <c r="W32" s="182">
        <v>13.512022210969301</v>
      </c>
      <c r="X32" s="184">
        <v>5.6190462813484796</v>
      </c>
      <c r="Y32" s="181">
        <v>5.0376369939707901</v>
      </c>
      <c r="Z32" s="181">
        <v>4.4022206613438399</v>
      </c>
      <c r="AA32" s="182">
        <v>3.7522838976969002</v>
      </c>
      <c r="AB32" s="184">
        <v>3.9386552163954902</v>
      </c>
      <c r="AC32" s="181">
        <v>3.5138497865770599</v>
      </c>
      <c r="AD32" s="181">
        <v>3.1300865625758401</v>
      </c>
      <c r="AE32" s="182">
        <v>2.7321258341277401</v>
      </c>
      <c r="AF32" s="184">
        <v>19.48</v>
      </c>
      <c r="AG32" s="181">
        <v>19.1177777777778</v>
      </c>
      <c r="AH32" s="181">
        <v>19.773333333333301</v>
      </c>
      <c r="AI32" s="182">
        <v>20.512857142857101</v>
      </c>
      <c r="AJ32" s="192">
        <v>16.455431989437301</v>
      </c>
    </row>
    <row r="33" spans="2:36">
      <c r="B33" s="166" t="s">
        <v>4296</v>
      </c>
      <c r="C33" s="167" t="s">
        <v>4297</v>
      </c>
      <c r="D33" s="171">
        <v>4.26</v>
      </c>
      <c r="E33" s="171">
        <v>5.45</v>
      </c>
      <c r="F33" s="171">
        <v>2.79</v>
      </c>
      <c r="G33" s="172">
        <v>24.042143469000003</v>
      </c>
      <c r="H33" s="173">
        <v>9.5301107300000007E-2</v>
      </c>
      <c r="I33" s="181"/>
      <c r="J33" s="181"/>
      <c r="K33" s="182"/>
      <c r="L33" s="183">
        <v>8.8537718936999994</v>
      </c>
      <c r="M33" s="181"/>
      <c r="N33" s="181"/>
      <c r="O33" s="182"/>
      <c r="P33" s="184">
        <v>1.6899999999999998E-2</v>
      </c>
      <c r="Q33" s="181"/>
      <c r="R33" s="181"/>
      <c r="S33" s="182"/>
      <c r="T33" s="184">
        <v>252.07100591715999</v>
      </c>
      <c r="U33" s="181"/>
      <c r="V33" s="181"/>
      <c r="W33" s="182"/>
      <c r="X33" s="184">
        <v>2.7154690405009698</v>
      </c>
      <c r="Y33" s="181"/>
      <c r="Z33" s="181"/>
      <c r="AA33" s="182"/>
      <c r="AB33" s="184">
        <v>1.9311016755497801</v>
      </c>
      <c r="AC33" s="181"/>
      <c r="AD33" s="181"/>
      <c r="AE33" s="182"/>
      <c r="AF33" s="184">
        <v>0.76839999999999997</v>
      </c>
      <c r="AG33" s="181"/>
      <c r="AH33" s="181"/>
      <c r="AI33" s="182"/>
      <c r="AJ33" s="192">
        <v>22.903516429599101</v>
      </c>
    </row>
    <row r="34" spans="2:36">
      <c r="B34" s="166" t="s">
        <v>4298</v>
      </c>
      <c r="C34" s="167" t="s">
        <v>4299</v>
      </c>
      <c r="D34" s="171">
        <v>15.35</v>
      </c>
      <c r="E34" s="171">
        <v>17.690000000000001</v>
      </c>
      <c r="F34" s="171">
        <v>10.8</v>
      </c>
      <c r="G34" s="172">
        <v>79.022662362999995</v>
      </c>
      <c r="H34" s="173">
        <v>2.5895743393999999</v>
      </c>
      <c r="I34" s="181">
        <v>3.20864444444444</v>
      </c>
      <c r="J34" s="181">
        <v>3.9207111111111099</v>
      </c>
      <c r="K34" s="182">
        <v>4.7378428571428604</v>
      </c>
      <c r="L34" s="183">
        <v>53.375715272200004</v>
      </c>
      <c r="M34" s="181">
        <v>44.857688888888902</v>
      </c>
      <c r="N34" s="181">
        <v>48.171066666666697</v>
      </c>
      <c r="O34" s="182">
        <v>53.615528571428605</v>
      </c>
      <c r="P34" s="184">
        <v>0.503</v>
      </c>
      <c r="Q34" s="181">
        <v>0.62327300484985104</v>
      </c>
      <c r="R34" s="181">
        <v>0.76159058371253296</v>
      </c>
      <c r="S34" s="182">
        <v>0.92031685193125801</v>
      </c>
      <c r="T34" s="184">
        <v>30.516898608349901</v>
      </c>
      <c r="U34" s="181">
        <v>24.628052042295501</v>
      </c>
      <c r="V34" s="181">
        <v>20.155186169940801</v>
      </c>
      <c r="W34" s="182">
        <v>16.679038276641901</v>
      </c>
      <c r="X34" s="184">
        <v>1.48049842442407</v>
      </c>
      <c r="Y34" s="181">
        <v>1.76163026496387</v>
      </c>
      <c r="Z34" s="181">
        <v>1.6404590521073501</v>
      </c>
      <c r="AA34" s="182">
        <v>1.47387640238822</v>
      </c>
      <c r="AB34" s="184">
        <v>1.63793286633621</v>
      </c>
      <c r="AC34" s="181">
        <v>1.5373059589384099</v>
      </c>
      <c r="AD34" s="181">
        <v>1.36717880204854</v>
      </c>
      <c r="AE34" s="182">
        <v>1.2530612244898001</v>
      </c>
      <c r="AF34" s="184">
        <v>6.03</v>
      </c>
      <c r="AG34" s="181">
        <v>6.25</v>
      </c>
      <c r="AH34" s="181">
        <v>6.9937500000000004</v>
      </c>
      <c r="AI34" s="182">
        <v>7.69166666666667</v>
      </c>
      <c r="AJ34" s="192">
        <v>13.629148250734501</v>
      </c>
    </row>
    <row r="35" spans="2:36">
      <c r="B35" s="166" t="s">
        <v>4300</v>
      </c>
      <c r="C35" s="167" t="s">
        <v>4301</v>
      </c>
      <c r="D35" s="171">
        <v>9.82</v>
      </c>
      <c r="E35" s="171">
        <v>14.8</v>
      </c>
      <c r="F35" s="171">
        <v>7.02</v>
      </c>
      <c r="G35" s="172">
        <v>33.850358988000004</v>
      </c>
      <c r="H35" s="173">
        <v>0.54669254960000002</v>
      </c>
      <c r="I35" s="181"/>
      <c r="J35" s="181"/>
      <c r="K35" s="182"/>
      <c r="L35" s="183">
        <v>5.3043198867000001</v>
      </c>
      <c r="M35" s="181"/>
      <c r="N35" s="181"/>
      <c r="O35" s="182"/>
      <c r="P35" s="184">
        <v>0.15859999999999999</v>
      </c>
      <c r="Q35" s="181"/>
      <c r="R35" s="181"/>
      <c r="S35" s="182"/>
      <c r="T35" s="184">
        <v>61.916771752837299</v>
      </c>
      <c r="U35" s="181"/>
      <c r="V35" s="181"/>
      <c r="W35" s="182"/>
      <c r="X35" s="184">
        <v>6.3816586689796102</v>
      </c>
      <c r="Y35" s="181"/>
      <c r="Z35" s="181"/>
      <c r="AA35" s="182"/>
      <c r="AB35" s="184">
        <v>4.2961557117198801</v>
      </c>
      <c r="AC35" s="181"/>
      <c r="AD35" s="181"/>
      <c r="AE35" s="182"/>
      <c r="AF35" s="184">
        <v>7.14</v>
      </c>
      <c r="AG35" s="181"/>
      <c r="AH35" s="181"/>
      <c r="AI35" s="182"/>
      <c r="AJ35" s="192">
        <v>25.207846937113501</v>
      </c>
    </row>
    <row r="36" spans="2:36">
      <c r="B36" s="166" t="s">
        <v>4302</v>
      </c>
      <c r="C36" s="167" t="s">
        <v>4303</v>
      </c>
      <c r="D36" s="171">
        <v>10.57</v>
      </c>
      <c r="E36" s="171">
        <v>21.71</v>
      </c>
      <c r="F36" s="171">
        <v>9.5</v>
      </c>
      <c r="G36" s="172">
        <v>94.626139832700005</v>
      </c>
      <c r="H36" s="173">
        <v>10.1717219871</v>
      </c>
      <c r="I36" s="181"/>
      <c r="J36" s="181"/>
      <c r="K36" s="182"/>
      <c r="L36" s="183">
        <v>45.802006014300005</v>
      </c>
      <c r="M36" s="181"/>
      <c r="N36" s="181"/>
      <c r="O36" s="182"/>
      <c r="P36" s="184">
        <v>1.1399999999999999</v>
      </c>
      <c r="Q36" s="181"/>
      <c r="R36" s="181"/>
      <c r="S36" s="182"/>
      <c r="T36" s="184">
        <v>9.2719298245614006</v>
      </c>
      <c r="U36" s="181"/>
      <c r="V36" s="181"/>
      <c r="W36" s="182"/>
      <c r="X36" s="184">
        <v>2.06598243324007</v>
      </c>
      <c r="Y36" s="181"/>
      <c r="Z36" s="181"/>
      <c r="AA36" s="182"/>
      <c r="AB36" s="184">
        <v>1.7415518311522</v>
      </c>
      <c r="AC36" s="181"/>
      <c r="AD36" s="181"/>
      <c r="AE36" s="182"/>
      <c r="AF36" s="184">
        <v>20.49</v>
      </c>
      <c r="AG36" s="181"/>
      <c r="AH36" s="181"/>
      <c r="AI36" s="182"/>
      <c r="AJ36" s="192">
        <v>5.59155306813199</v>
      </c>
    </row>
    <row r="37" spans="2:36">
      <c r="B37" s="166" t="s">
        <v>4304</v>
      </c>
      <c r="C37" s="167" t="s">
        <v>4305</v>
      </c>
      <c r="D37" s="171">
        <v>11.28</v>
      </c>
      <c r="E37" s="171">
        <v>15.6</v>
      </c>
      <c r="F37" s="171">
        <v>9.2799999999999994</v>
      </c>
      <c r="G37" s="172">
        <v>48.222000000000001</v>
      </c>
      <c r="H37" s="173">
        <v>1.5040670362999999</v>
      </c>
      <c r="I37" s="181"/>
      <c r="J37" s="181"/>
      <c r="K37" s="182"/>
      <c r="L37" s="183">
        <v>4.9132074213000001</v>
      </c>
      <c r="M37" s="181"/>
      <c r="N37" s="181"/>
      <c r="O37" s="182"/>
      <c r="P37" s="184">
        <v>0.3518</v>
      </c>
      <c r="Q37" s="181"/>
      <c r="R37" s="181"/>
      <c r="S37" s="182"/>
      <c r="T37" s="184">
        <v>32.063672541216597</v>
      </c>
      <c r="U37" s="181"/>
      <c r="V37" s="181"/>
      <c r="W37" s="182"/>
      <c r="X37" s="184">
        <v>9.8147698366947402</v>
      </c>
      <c r="Y37" s="181"/>
      <c r="Z37" s="181"/>
      <c r="AA37" s="182"/>
      <c r="AB37" s="184">
        <v>5.4943734464237899</v>
      </c>
      <c r="AC37" s="181"/>
      <c r="AD37" s="181"/>
      <c r="AE37" s="182"/>
      <c r="AF37" s="184">
        <v>18.329999999999998</v>
      </c>
      <c r="AG37" s="181"/>
      <c r="AH37" s="181"/>
      <c r="AI37" s="182"/>
      <c r="AJ37" s="192">
        <v>21.558028885943699</v>
      </c>
    </row>
    <row r="38" spans="2:36">
      <c r="B38" s="166" t="s">
        <v>4306</v>
      </c>
      <c r="C38" s="167" t="s">
        <v>4307</v>
      </c>
      <c r="D38" s="171">
        <v>21.08</v>
      </c>
      <c r="E38" s="171">
        <v>21.55</v>
      </c>
      <c r="F38" s="171">
        <v>12.99</v>
      </c>
      <c r="G38" s="172">
        <v>169.9719090232</v>
      </c>
      <c r="H38" s="173">
        <v>4.7858437068999997</v>
      </c>
      <c r="I38" s="181">
        <v>5.9118578947368396</v>
      </c>
      <c r="J38" s="181">
        <v>7.58610526315789</v>
      </c>
      <c r="K38" s="182">
        <v>9.3635722222222189</v>
      </c>
      <c r="L38" s="183">
        <v>23.620428396199998</v>
      </c>
      <c r="M38" s="181">
        <v>30.246305555555601</v>
      </c>
      <c r="N38" s="181">
        <v>39.089466666666695</v>
      </c>
      <c r="O38" s="182">
        <v>49.524870588235302</v>
      </c>
      <c r="P38" s="184">
        <v>0.59</v>
      </c>
      <c r="Q38" s="181">
        <v>0.73066776408339296</v>
      </c>
      <c r="R38" s="181">
        <v>0.93762054950486795</v>
      </c>
      <c r="S38" s="182">
        <v>1.1577763689567699</v>
      </c>
      <c r="T38" s="184">
        <v>35.728813559321999</v>
      </c>
      <c r="U38" s="181">
        <v>28.850321632081901</v>
      </c>
      <c r="V38" s="181">
        <v>22.4824424028801</v>
      </c>
      <c r="W38" s="182">
        <v>18.207315821270701</v>
      </c>
      <c r="X38" s="184">
        <v>7.1959706306827496</v>
      </c>
      <c r="Y38" s="181">
        <v>5.61959240645111</v>
      </c>
      <c r="Z38" s="181">
        <v>4.3482790510452904</v>
      </c>
      <c r="AA38" s="182">
        <v>3.4320515531761302</v>
      </c>
      <c r="AB38" s="184">
        <v>3.98247439120617</v>
      </c>
      <c r="AC38" s="181">
        <v>3.5479026411185899</v>
      </c>
      <c r="AD38" s="181">
        <v>3.16187838929272</v>
      </c>
      <c r="AE38" s="182">
        <v>2.7785588752196801</v>
      </c>
      <c r="AF38" s="184">
        <v>11.32</v>
      </c>
      <c r="AG38" s="181">
        <v>12.411578947368399</v>
      </c>
      <c r="AH38" s="181">
        <v>14.195789473684201</v>
      </c>
      <c r="AI38" s="182">
        <v>15.446666666666699</v>
      </c>
      <c r="AJ38" s="192">
        <v>21.3871770494613</v>
      </c>
    </row>
    <row r="39" spans="2:36">
      <c r="B39" s="166" t="s">
        <v>4308</v>
      </c>
      <c r="C39" s="167" t="s">
        <v>4309</v>
      </c>
      <c r="D39" s="171">
        <v>13.28</v>
      </c>
      <c r="E39" s="171">
        <v>19.91</v>
      </c>
      <c r="F39" s="171">
        <v>6.71</v>
      </c>
      <c r="G39" s="172">
        <v>32.3291458064</v>
      </c>
      <c r="H39" s="173">
        <v>-0.78628823430000006</v>
      </c>
      <c r="I39" s="181"/>
      <c r="J39" s="181"/>
      <c r="K39" s="182"/>
      <c r="L39" s="183">
        <v>1.7727957906</v>
      </c>
      <c r="M39" s="181"/>
      <c r="N39" s="181"/>
      <c r="O39" s="182"/>
      <c r="P39" s="184">
        <v>-0.32</v>
      </c>
      <c r="Q39" s="181"/>
      <c r="R39" s="181"/>
      <c r="S39" s="182"/>
      <c r="T39" s="184">
        <v>-41.5</v>
      </c>
      <c r="U39" s="181"/>
      <c r="V39" s="181"/>
      <c r="W39" s="182"/>
      <c r="X39" s="184">
        <v>18.236249193404401</v>
      </c>
      <c r="Y39" s="181"/>
      <c r="Z39" s="181"/>
      <c r="AA39" s="182"/>
      <c r="AB39" s="184">
        <v>8.4686131691075595</v>
      </c>
      <c r="AC39" s="181"/>
      <c r="AD39" s="181"/>
      <c r="AE39" s="182"/>
      <c r="AF39" s="184">
        <v>-18.670000000000002</v>
      </c>
      <c r="AG39" s="181"/>
      <c r="AH39" s="181"/>
      <c r="AI39" s="182"/>
      <c r="AJ39" s="192">
        <v>-83.652886681773793</v>
      </c>
    </row>
    <row r="40" spans="2:36">
      <c r="B40" s="166" t="s">
        <v>4310</v>
      </c>
      <c r="C40" s="167" t="s">
        <v>4311</v>
      </c>
      <c r="D40" s="171">
        <v>6.08</v>
      </c>
      <c r="E40" s="171">
        <v>8.52</v>
      </c>
      <c r="F40" s="171">
        <v>4.55</v>
      </c>
      <c r="G40" s="172">
        <v>49.561450812799997</v>
      </c>
      <c r="H40" s="173">
        <v>2.4352830947999999</v>
      </c>
      <c r="I40" s="181"/>
      <c r="J40" s="181"/>
      <c r="K40" s="182"/>
      <c r="L40" s="183">
        <v>19.606990291799999</v>
      </c>
      <c r="M40" s="181">
        <v>22.593</v>
      </c>
      <c r="N40" s="181">
        <v>25.832999999999998</v>
      </c>
      <c r="O40" s="182">
        <v>28.439</v>
      </c>
      <c r="P40" s="184">
        <v>0.29880000000000001</v>
      </c>
      <c r="Q40" s="181"/>
      <c r="R40" s="181"/>
      <c r="S40" s="182"/>
      <c r="T40" s="184">
        <v>20.348058902275799</v>
      </c>
      <c r="U40" s="181"/>
      <c r="V40" s="181"/>
      <c r="W40" s="182"/>
      <c r="X40" s="184">
        <v>2.5277439359740699</v>
      </c>
      <c r="Y40" s="181">
        <v>2.1936640026910998</v>
      </c>
      <c r="Z40" s="181">
        <v>1.91853252865714</v>
      </c>
      <c r="AA40" s="182">
        <v>1.74272832423081</v>
      </c>
      <c r="AB40" s="184">
        <v>1.52545620538503</v>
      </c>
      <c r="AC40" s="181">
        <v>1.3217391304347801</v>
      </c>
      <c r="AD40" s="181">
        <v>1.21115537848606</v>
      </c>
      <c r="AE40" s="182">
        <v>1.1115173674588701</v>
      </c>
      <c r="AF40" s="184">
        <v>7.67</v>
      </c>
      <c r="AG40" s="181">
        <v>7.8</v>
      </c>
      <c r="AH40" s="181">
        <v>8.3000000000000007</v>
      </c>
      <c r="AI40" s="182">
        <v>8.4</v>
      </c>
      <c r="AJ40" s="192">
        <v>12.4479916192064</v>
      </c>
    </row>
    <row r="41" spans="2:36">
      <c r="B41" s="166" t="s">
        <v>4312</v>
      </c>
      <c r="C41" s="167" t="s">
        <v>4313</v>
      </c>
      <c r="D41" s="171">
        <v>24.48</v>
      </c>
      <c r="E41" s="171">
        <v>25.92</v>
      </c>
      <c r="F41" s="171">
        <v>14.16</v>
      </c>
      <c r="G41" s="172">
        <v>110.81262456</v>
      </c>
      <c r="H41" s="173">
        <v>3.3317611439999997</v>
      </c>
      <c r="I41" s="181">
        <v>4.2456750000000003</v>
      </c>
      <c r="J41" s="181">
        <v>5.3884875000000001</v>
      </c>
      <c r="K41" s="182">
        <v>6.7639624999999999</v>
      </c>
      <c r="L41" s="183">
        <v>20.243469109500001</v>
      </c>
      <c r="M41" s="181">
        <v>24.251562499999999</v>
      </c>
      <c r="N41" s="181">
        <v>28.661562499999999</v>
      </c>
      <c r="O41" s="182">
        <v>34.101087499999998</v>
      </c>
      <c r="P41" s="184">
        <v>0.74</v>
      </c>
      <c r="Q41" s="181">
        <v>0.93792674266752296</v>
      </c>
      <c r="R41" s="181">
        <v>1.1903894030465501</v>
      </c>
      <c r="S41" s="182">
        <v>1.49425034067617</v>
      </c>
      <c r="T41" s="184">
        <v>33.081081081081102</v>
      </c>
      <c r="U41" s="181">
        <v>26.1001194297727</v>
      </c>
      <c r="V41" s="181">
        <v>20.564699196203001</v>
      </c>
      <c r="W41" s="182">
        <v>16.3827970010183</v>
      </c>
      <c r="X41" s="184">
        <v>5.4739938081065898</v>
      </c>
      <c r="Y41" s="181">
        <v>4.5692983518072303</v>
      </c>
      <c r="Z41" s="181">
        <v>3.8662450646226998</v>
      </c>
      <c r="AA41" s="182">
        <v>3.2495334513891998</v>
      </c>
      <c r="AB41" s="184">
        <v>3.9883243562157702</v>
      </c>
      <c r="AC41" s="181">
        <v>3.5318304779080298</v>
      </c>
      <c r="AD41" s="181">
        <v>3.0533208606173998</v>
      </c>
      <c r="AE41" s="182">
        <v>2.6052946654250402</v>
      </c>
      <c r="AF41" s="184">
        <v>12.52</v>
      </c>
      <c r="AG41" s="181">
        <v>13.4025</v>
      </c>
      <c r="AH41" s="181">
        <v>14.744999999999999</v>
      </c>
      <c r="AI41" s="182">
        <v>15.797499999999999</v>
      </c>
      <c r="AJ41" s="192">
        <v>21.6516890101644</v>
      </c>
    </row>
    <row r="42" spans="2:36">
      <c r="B42" s="166" t="s">
        <v>4314</v>
      </c>
      <c r="C42" s="167" t="s">
        <v>4315</v>
      </c>
      <c r="D42" s="171">
        <v>20.88</v>
      </c>
      <c r="E42" s="171">
        <v>25.92</v>
      </c>
      <c r="F42" s="171">
        <v>14.52</v>
      </c>
      <c r="G42" s="172">
        <v>363.97243899360001</v>
      </c>
      <c r="H42" s="173">
        <v>13.1872925419</v>
      </c>
      <c r="I42" s="181">
        <v>15.207599999999999</v>
      </c>
      <c r="J42" s="181">
        <v>18.478066666666702</v>
      </c>
      <c r="K42" s="182">
        <v>21.811858333333301</v>
      </c>
      <c r="L42" s="183">
        <v>37.500728626399997</v>
      </c>
      <c r="M42" s="181">
        <v>44.9889333333333</v>
      </c>
      <c r="N42" s="181">
        <v>55.381733333333301</v>
      </c>
      <c r="O42" s="182">
        <v>64.603624999999994</v>
      </c>
      <c r="P42" s="184">
        <v>0.76</v>
      </c>
      <c r="Q42" s="181">
        <v>0.87241410057859703</v>
      </c>
      <c r="R42" s="181">
        <v>1.05969979992685</v>
      </c>
      <c r="S42" s="182">
        <v>1.2512804630462899</v>
      </c>
      <c r="T42" s="184">
        <v>27.473684210526301</v>
      </c>
      <c r="U42" s="181">
        <v>23.933588402746</v>
      </c>
      <c r="V42" s="181">
        <v>19.703693443597199</v>
      </c>
      <c r="W42" s="182">
        <v>16.686906426371301</v>
      </c>
      <c r="X42" s="184">
        <v>9.7057431235447602</v>
      </c>
      <c r="Y42" s="181">
        <v>8.0902660282439793</v>
      </c>
      <c r="Z42" s="181">
        <v>6.5720665838122301</v>
      </c>
      <c r="AA42" s="182">
        <v>5.63393213606202</v>
      </c>
      <c r="AB42" s="184">
        <v>5.2063592429685901</v>
      </c>
      <c r="AC42" s="181">
        <v>4.3765243902439002</v>
      </c>
      <c r="AD42" s="181">
        <v>3.7027244881508898</v>
      </c>
      <c r="AE42" s="182">
        <v>3.17004048582996</v>
      </c>
      <c r="AF42" s="184">
        <v>19.95</v>
      </c>
      <c r="AG42" s="181">
        <v>19.830909090909099</v>
      </c>
      <c r="AH42" s="181">
        <v>20.1681818181818</v>
      </c>
      <c r="AI42" s="182">
        <v>20.647777777777801</v>
      </c>
      <c r="AJ42" s="192">
        <v>19.783019705072402</v>
      </c>
    </row>
    <row r="43" spans="2:36">
      <c r="B43" s="166" t="s">
        <v>4316</v>
      </c>
      <c r="C43" s="167" t="s">
        <v>4317</v>
      </c>
      <c r="D43" s="171">
        <v>18.88</v>
      </c>
      <c r="E43" s="171">
        <v>23.96</v>
      </c>
      <c r="F43" s="171">
        <v>17.5</v>
      </c>
      <c r="G43" s="172">
        <v>73.632408185599999</v>
      </c>
      <c r="H43" s="173">
        <v>2.9869176669999997</v>
      </c>
      <c r="I43" s="181">
        <v>3.5708000000000002</v>
      </c>
      <c r="J43" s="181">
        <v>4.5501500000000004</v>
      </c>
      <c r="K43" s="182">
        <v>5.5614999999999997</v>
      </c>
      <c r="L43" s="183">
        <v>21.655739177800001</v>
      </c>
      <c r="M43" s="181">
        <v>26.006699999999999</v>
      </c>
      <c r="N43" s="181">
        <v>31.533999999999999</v>
      </c>
      <c r="O43" s="182">
        <v>37.495199999999997</v>
      </c>
      <c r="P43" s="184">
        <v>0.77</v>
      </c>
      <c r="Q43" s="181">
        <v>0.91558466796396898</v>
      </c>
      <c r="R43" s="181">
        <v>1.1666986605064</v>
      </c>
      <c r="S43" s="182">
        <v>1.4260177357683499</v>
      </c>
      <c r="T43" s="184">
        <v>24.519480519480499</v>
      </c>
      <c r="U43" s="181">
        <v>20.620703535790302</v>
      </c>
      <c r="V43" s="181">
        <v>16.182413367822999</v>
      </c>
      <c r="W43" s="182">
        <v>13.239667029686199</v>
      </c>
      <c r="X43" s="184">
        <v>3.4001336819332799</v>
      </c>
      <c r="Y43" s="181">
        <v>2.8312860987976198</v>
      </c>
      <c r="Z43" s="181">
        <v>2.3350164325997298</v>
      </c>
      <c r="AA43" s="182">
        <v>1.9637822490772201</v>
      </c>
      <c r="AB43" s="184">
        <v>3.8914407408415101</v>
      </c>
      <c r="AC43" s="181">
        <v>3.3035870516185502</v>
      </c>
      <c r="AD43" s="181">
        <v>3.03536977491961</v>
      </c>
      <c r="AE43" s="182">
        <v>2.7322720694645399</v>
      </c>
      <c r="AF43" s="184">
        <v>15.17</v>
      </c>
      <c r="AG43" s="181">
        <v>14.9</v>
      </c>
      <c r="AH43" s="181">
        <v>18.2</v>
      </c>
      <c r="AI43" s="182">
        <v>21.1</v>
      </c>
      <c r="AJ43" s="192">
        <v>17.247353981672902</v>
      </c>
    </row>
    <row r="44" spans="2:36">
      <c r="B44" s="166" t="s">
        <v>4318</v>
      </c>
      <c r="C44" s="167" t="s">
        <v>4319</v>
      </c>
      <c r="D44" s="171">
        <v>9.1199999999999992</v>
      </c>
      <c r="E44" s="171">
        <v>12.3</v>
      </c>
      <c r="F44" s="171">
        <v>7.6</v>
      </c>
      <c r="G44" s="172">
        <v>15.34660704</v>
      </c>
      <c r="H44" s="173">
        <v>-0.22294391320000001</v>
      </c>
      <c r="I44" s="181"/>
      <c r="J44" s="181"/>
      <c r="K44" s="182"/>
      <c r="L44" s="183">
        <v>3.1898701226999999</v>
      </c>
      <c r="M44" s="181"/>
      <c r="N44" s="181"/>
      <c r="O44" s="182"/>
      <c r="P44" s="184">
        <v>-0.13250000000000001</v>
      </c>
      <c r="Q44" s="181"/>
      <c r="R44" s="181"/>
      <c r="S44" s="182"/>
      <c r="T44" s="184">
        <v>-68.830188679245296</v>
      </c>
      <c r="U44" s="181"/>
      <c r="V44" s="181"/>
      <c r="W44" s="182"/>
      <c r="X44" s="184">
        <v>4.8110444782028203</v>
      </c>
      <c r="Y44" s="181"/>
      <c r="Z44" s="181"/>
      <c r="AA44" s="182"/>
      <c r="AB44" s="184">
        <v>2.3382126957742901</v>
      </c>
      <c r="AC44" s="181"/>
      <c r="AD44" s="181"/>
      <c r="AE44" s="182"/>
      <c r="AF44" s="184">
        <v>-3.33</v>
      </c>
      <c r="AG44" s="181"/>
      <c r="AH44" s="181"/>
      <c r="AI44" s="182"/>
      <c r="AJ44" s="192">
        <v>30.455152887594799</v>
      </c>
    </row>
    <row r="45" spans="2:36">
      <c r="B45" s="166" t="s">
        <v>4320</v>
      </c>
      <c r="C45" s="167" t="s">
        <v>4321</v>
      </c>
      <c r="D45" s="171">
        <v>6</v>
      </c>
      <c r="E45" s="171">
        <v>8.65</v>
      </c>
      <c r="F45" s="171">
        <v>5.41</v>
      </c>
      <c r="G45" s="172">
        <v>24.396783360000001</v>
      </c>
      <c r="H45" s="173">
        <v>0.2252467595</v>
      </c>
      <c r="I45" s="181"/>
      <c r="J45" s="181"/>
      <c r="K45" s="182"/>
      <c r="L45" s="183">
        <v>649.30711526319999</v>
      </c>
      <c r="M45" s="181"/>
      <c r="N45" s="181"/>
      <c r="O45" s="182"/>
      <c r="P45" s="184">
        <v>-0.23350000000000001</v>
      </c>
      <c r="Q45" s="181"/>
      <c r="R45" s="181"/>
      <c r="S45" s="182"/>
      <c r="T45" s="184">
        <v>-25.695931477516101</v>
      </c>
      <c r="U45" s="181"/>
      <c r="V45" s="181"/>
      <c r="W45" s="182"/>
      <c r="X45" s="184">
        <v>3.7573565399958098E-2</v>
      </c>
      <c r="Y45" s="181"/>
      <c r="Z45" s="181"/>
      <c r="AA45" s="182"/>
      <c r="AB45" s="184">
        <v>0.86694187941461398</v>
      </c>
      <c r="AC45" s="181"/>
      <c r="AD45" s="181"/>
      <c r="AE45" s="182"/>
      <c r="AF45" s="184">
        <v>-2.69</v>
      </c>
      <c r="AG45" s="181"/>
      <c r="AH45" s="181"/>
      <c r="AI45" s="182"/>
      <c r="AJ45" s="192">
        <v>17.365951171626001</v>
      </c>
    </row>
    <row r="46" spans="2:36">
      <c r="B46" s="166" t="s">
        <v>4322</v>
      </c>
      <c r="C46" s="167" t="s">
        <v>4323</v>
      </c>
      <c r="D46" s="171">
        <v>19.57</v>
      </c>
      <c r="E46" s="171">
        <v>31.3</v>
      </c>
      <c r="F46" s="171">
        <v>11</v>
      </c>
      <c r="G46" s="172">
        <v>31.832809169099999</v>
      </c>
      <c r="H46" s="173">
        <v>0.36358746469999997</v>
      </c>
      <c r="I46" s="181"/>
      <c r="J46" s="181"/>
      <c r="K46" s="182"/>
      <c r="L46" s="183">
        <v>6.1129958885000004</v>
      </c>
      <c r="M46" s="181"/>
      <c r="N46" s="181"/>
      <c r="O46" s="182"/>
      <c r="P46" s="184">
        <v>0.23</v>
      </c>
      <c r="Q46" s="181"/>
      <c r="R46" s="181"/>
      <c r="S46" s="182"/>
      <c r="T46" s="184">
        <v>85.086956521739097</v>
      </c>
      <c r="U46" s="181"/>
      <c r="V46" s="181"/>
      <c r="W46" s="182"/>
      <c r="X46" s="184">
        <v>5.2073990805367796</v>
      </c>
      <c r="Y46" s="181"/>
      <c r="Z46" s="181"/>
      <c r="AA46" s="182"/>
      <c r="AB46" s="184">
        <v>5.1823397610833002</v>
      </c>
      <c r="AC46" s="181"/>
      <c r="AD46" s="181"/>
      <c r="AE46" s="182"/>
      <c r="AF46" s="184">
        <v>5.8</v>
      </c>
      <c r="AG46" s="181"/>
      <c r="AH46" s="181"/>
      <c r="AI46" s="182"/>
      <c r="AJ46" s="192">
        <v>22.1943552892524</v>
      </c>
    </row>
    <row r="47" spans="2:36">
      <c r="B47" s="166" t="s">
        <v>4324</v>
      </c>
      <c r="C47" s="167" t="s">
        <v>4325</v>
      </c>
      <c r="D47" s="171">
        <v>23.78</v>
      </c>
      <c r="E47" s="171">
        <v>33.479999999999997</v>
      </c>
      <c r="F47" s="171">
        <v>15.34</v>
      </c>
      <c r="G47" s="172">
        <v>95.143780000000007</v>
      </c>
      <c r="H47" s="173">
        <v>2.2299163202000001</v>
      </c>
      <c r="I47" s="181">
        <v>2.5150000000000001</v>
      </c>
      <c r="J47" s="181">
        <v>2.93</v>
      </c>
      <c r="K47" s="182">
        <v>3.4249999999999998</v>
      </c>
      <c r="L47" s="183">
        <v>6.3631459516</v>
      </c>
      <c r="M47" s="181">
        <v>7.79</v>
      </c>
      <c r="N47" s="181">
        <v>9.39</v>
      </c>
      <c r="O47" s="182">
        <v>11.145</v>
      </c>
      <c r="P47" s="184">
        <v>0.55730000000000002</v>
      </c>
      <c r="Q47" s="181">
        <v>0.62859285178705304</v>
      </c>
      <c r="R47" s="181">
        <v>0.73231692076980703</v>
      </c>
      <c r="S47" s="182">
        <v>0.85603599100224903</v>
      </c>
      <c r="T47" s="184">
        <v>42.6700161492912</v>
      </c>
      <c r="U47" s="181">
        <v>37.830528827037803</v>
      </c>
      <c r="V47" s="181">
        <v>32.472279863481198</v>
      </c>
      <c r="W47" s="182">
        <v>27.7792058394161</v>
      </c>
      <c r="X47" s="184">
        <v>14.952317725177499</v>
      </c>
      <c r="Y47" s="181">
        <v>12.213578947368401</v>
      </c>
      <c r="Z47" s="181">
        <v>10.132457933972301</v>
      </c>
      <c r="AA47" s="182">
        <v>8.5369026469268707</v>
      </c>
      <c r="AB47" s="184">
        <v>6.1251932444030999</v>
      </c>
      <c r="AC47" s="181">
        <v>5.26106194690266</v>
      </c>
      <c r="AD47" s="181">
        <v>4.5555555555555598</v>
      </c>
      <c r="AE47" s="182">
        <v>3.95016611295681</v>
      </c>
      <c r="AF47" s="184">
        <v>15.25</v>
      </c>
      <c r="AG47" s="181">
        <v>14.2</v>
      </c>
      <c r="AH47" s="181">
        <v>14.2</v>
      </c>
      <c r="AI47" s="182">
        <v>14.2</v>
      </c>
      <c r="AJ47" s="192">
        <v>33.712319695868999</v>
      </c>
    </row>
    <row r="48" spans="2:36">
      <c r="B48" s="166" t="s">
        <v>4326</v>
      </c>
      <c r="C48" s="167" t="s">
        <v>4327</v>
      </c>
      <c r="D48" s="171">
        <v>47.67</v>
      </c>
      <c r="E48" s="171">
        <v>54.58</v>
      </c>
      <c r="F48" s="171">
        <v>29.15</v>
      </c>
      <c r="G48" s="172">
        <v>78.817577999999997</v>
      </c>
      <c r="H48" s="173">
        <v>2.1836268850999998</v>
      </c>
      <c r="I48" s="181"/>
      <c r="J48" s="181"/>
      <c r="K48" s="182"/>
      <c r="L48" s="183">
        <v>9.2343090820000011</v>
      </c>
      <c r="M48" s="181"/>
      <c r="N48" s="181"/>
      <c r="O48" s="182"/>
      <c r="P48" s="184">
        <v>1.76</v>
      </c>
      <c r="Q48" s="181"/>
      <c r="R48" s="181"/>
      <c r="S48" s="182"/>
      <c r="T48" s="184">
        <v>27.085227272727298</v>
      </c>
      <c r="U48" s="181"/>
      <c r="V48" s="181"/>
      <c r="W48" s="182"/>
      <c r="X48" s="184">
        <v>8.53529780085392</v>
      </c>
      <c r="Y48" s="181"/>
      <c r="Z48" s="181"/>
      <c r="AA48" s="182"/>
      <c r="AB48" s="184">
        <v>5.3225527420123999</v>
      </c>
      <c r="AC48" s="181"/>
      <c r="AD48" s="181"/>
      <c r="AE48" s="182"/>
      <c r="AF48" s="184">
        <v>22.13</v>
      </c>
      <c r="AG48" s="181"/>
      <c r="AH48" s="181"/>
      <c r="AI48" s="182"/>
      <c r="AJ48" s="192"/>
    </row>
    <row r="49" spans="2:36">
      <c r="B49" s="166"/>
      <c r="C49" s="167"/>
      <c r="D49" s="171"/>
      <c r="E49" s="171"/>
      <c r="F49" s="171"/>
      <c r="G49" s="172"/>
      <c r="H49" s="173"/>
      <c r="I49" s="181"/>
      <c r="J49" s="181"/>
      <c r="K49" s="182"/>
      <c r="L49" s="183"/>
      <c r="M49" s="181"/>
      <c r="N49" s="181"/>
      <c r="O49" s="182"/>
      <c r="P49" s="184"/>
      <c r="Q49" s="181"/>
      <c r="R49" s="181"/>
      <c r="S49" s="182"/>
      <c r="T49" s="184"/>
      <c r="U49" s="181"/>
      <c r="V49" s="181"/>
      <c r="W49" s="182"/>
      <c r="X49" s="184"/>
      <c r="Y49" s="181"/>
      <c r="Z49" s="181"/>
      <c r="AA49" s="182"/>
      <c r="AB49" s="184"/>
      <c r="AC49" s="181"/>
      <c r="AD49" s="181"/>
      <c r="AE49" s="182"/>
      <c r="AF49" s="184"/>
      <c r="AG49" s="181"/>
      <c r="AH49" s="181"/>
      <c r="AI49" s="182"/>
      <c r="AJ49" s="192"/>
    </row>
    <row r="50" spans="2:36">
      <c r="B50" s="166"/>
      <c r="C50" s="167"/>
      <c r="D50" s="171"/>
      <c r="E50" s="171"/>
      <c r="F50" s="171"/>
      <c r="G50" s="172"/>
      <c r="H50" s="173"/>
      <c r="I50" s="181"/>
      <c r="J50" s="181"/>
      <c r="K50" s="182"/>
      <c r="L50" s="183"/>
      <c r="M50" s="181"/>
      <c r="N50" s="181"/>
      <c r="O50" s="182"/>
      <c r="P50" s="184"/>
      <c r="Q50" s="181"/>
      <c r="R50" s="181"/>
      <c r="S50" s="182"/>
      <c r="T50" s="184"/>
      <c r="U50" s="181"/>
      <c r="V50" s="181"/>
      <c r="W50" s="182"/>
      <c r="X50" s="184"/>
      <c r="Y50" s="181"/>
      <c r="Z50" s="181"/>
      <c r="AA50" s="182"/>
      <c r="AB50" s="184"/>
      <c r="AC50" s="181"/>
      <c r="AD50" s="181"/>
      <c r="AE50" s="182"/>
      <c r="AF50" s="184"/>
      <c r="AG50" s="181"/>
      <c r="AH50" s="181"/>
      <c r="AI50" s="182"/>
      <c r="AJ50" s="192"/>
    </row>
    <row r="51" spans="2:36">
      <c r="B51" s="166"/>
      <c r="C51" s="167"/>
      <c r="D51" s="171"/>
      <c r="E51" s="171"/>
      <c r="F51" s="171"/>
      <c r="G51" s="172"/>
      <c r="H51" s="173"/>
      <c r="I51" s="181"/>
      <c r="J51" s="181"/>
      <c r="K51" s="182"/>
      <c r="L51" s="183"/>
      <c r="M51" s="181"/>
      <c r="N51" s="181"/>
      <c r="O51" s="182"/>
      <c r="P51" s="184"/>
      <c r="Q51" s="181"/>
      <c r="R51" s="181"/>
      <c r="S51" s="182"/>
      <c r="T51" s="184"/>
      <c r="U51" s="181"/>
      <c r="V51" s="181"/>
      <c r="W51" s="182"/>
      <c r="X51" s="184"/>
      <c r="Y51" s="181"/>
      <c r="Z51" s="181"/>
      <c r="AA51" s="182"/>
      <c r="AB51" s="184"/>
      <c r="AC51" s="181"/>
      <c r="AD51" s="181"/>
      <c r="AE51" s="182"/>
      <c r="AF51" s="184"/>
      <c r="AG51" s="181"/>
      <c r="AH51" s="181"/>
      <c r="AI51" s="182"/>
      <c r="AJ51" s="192"/>
    </row>
    <row r="52" spans="2:36">
      <c r="B52" s="166"/>
      <c r="C52" s="167"/>
      <c r="D52" s="171"/>
      <c r="E52" s="171"/>
      <c r="F52" s="171"/>
      <c r="G52" s="172"/>
      <c r="H52" s="173"/>
      <c r="I52" s="181"/>
      <c r="J52" s="181"/>
      <c r="K52" s="182"/>
      <c r="L52" s="183"/>
      <c r="M52" s="181"/>
      <c r="N52" s="181"/>
      <c r="O52" s="182"/>
      <c r="P52" s="184"/>
      <c r="Q52" s="181"/>
      <c r="R52" s="181"/>
      <c r="S52" s="182"/>
      <c r="T52" s="184"/>
      <c r="U52" s="181"/>
      <c r="V52" s="181"/>
      <c r="W52" s="182"/>
      <c r="X52" s="184"/>
      <c r="Y52" s="181"/>
      <c r="Z52" s="181"/>
      <c r="AA52" s="182"/>
      <c r="AB52" s="184"/>
      <c r="AC52" s="181"/>
      <c r="AD52" s="181"/>
      <c r="AE52" s="182"/>
      <c r="AF52" s="184"/>
      <c r="AG52" s="181"/>
      <c r="AH52" s="181"/>
      <c r="AI52" s="182"/>
      <c r="AJ52" s="192"/>
    </row>
    <row r="53" spans="2:36">
      <c r="B53" s="166"/>
      <c r="C53" s="167"/>
      <c r="D53" s="171"/>
      <c r="E53" s="171"/>
      <c r="F53" s="171"/>
      <c r="G53" s="172"/>
      <c r="H53" s="173"/>
      <c r="I53" s="181"/>
      <c r="J53" s="181"/>
      <c r="K53" s="182"/>
      <c r="L53" s="183"/>
      <c r="M53" s="181"/>
      <c r="N53" s="181"/>
      <c r="O53" s="182"/>
      <c r="P53" s="184"/>
      <c r="Q53" s="181"/>
      <c r="R53" s="181"/>
      <c r="S53" s="182"/>
      <c r="T53" s="184"/>
      <c r="U53" s="181"/>
      <c r="V53" s="181"/>
      <c r="W53" s="182"/>
      <c r="X53" s="184"/>
      <c r="Y53" s="181"/>
      <c r="Z53" s="181"/>
      <c r="AA53" s="182"/>
      <c r="AB53" s="184"/>
      <c r="AC53" s="181"/>
      <c r="AD53" s="181"/>
      <c r="AE53" s="182"/>
      <c r="AF53" s="184"/>
      <c r="AG53" s="181"/>
      <c r="AH53" s="181"/>
      <c r="AI53" s="182"/>
      <c r="AJ53" s="192"/>
    </row>
    <row r="54" spans="2:36">
      <c r="B54" s="166"/>
      <c r="C54" s="167"/>
      <c r="D54" s="171"/>
      <c r="E54" s="171"/>
      <c r="F54" s="171"/>
      <c r="G54" s="172"/>
      <c r="H54" s="173"/>
      <c r="I54" s="181"/>
      <c r="J54" s="181"/>
      <c r="K54" s="182"/>
      <c r="L54" s="183"/>
      <c r="M54" s="181"/>
      <c r="N54" s="181"/>
      <c r="O54" s="182"/>
      <c r="P54" s="184"/>
      <c r="Q54" s="181"/>
      <c r="R54" s="181"/>
      <c r="S54" s="182"/>
      <c r="T54" s="184"/>
      <c r="U54" s="181"/>
      <c r="V54" s="181"/>
      <c r="W54" s="182"/>
      <c r="X54" s="184"/>
      <c r="Y54" s="181"/>
      <c r="Z54" s="181"/>
      <c r="AA54" s="182"/>
      <c r="AB54" s="184"/>
      <c r="AC54" s="181"/>
      <c r="AD54" s="181"/>
      <c r="AE54" s="182"/>
      <c r="AF54" s="184"/>
      <c r="AG54" s="181"/>
      <c r="AH54" s="181"/>
      <c r="AI54" s="182"/>
      <c r="AJ54" s="192"/>
    </row>
    <row r="55" spans="2:36">
      <c r="B55" s="166"/>
      <c r="C55" s="167"/>
      <c r="D55" s="171"/>
      <c r="E55" s="171"/>
      <c r="F55" s="171"/>
      <c r="G55" s="172"/>
      <c r="H55" s="173"/>
      <c r="I55" s="181"/>
      <c r="J55" s="181"/>
      <c r="K55" s="182"/>
      <c r="L55" s="183"/>
      <c r="M55" s="181"/>
      <c r="N55" s="181"/>
      <c r="O55" s="182"/>
      <c r="P55" s="184"/>
      <c r="Q55" s="181"/>
      <c r="R55" s="181"/>
      <c r="S55" s="182"/>
      <c r="T55" s="184"/>
      <c r="U55" s="181"/>
      <c r="V55" s="181"/>
      <c r="W55" s="182"/>
      <c r="X55" s="184"/>
      <c r="Y55" s="181"/>
      <c r="Z55" s="181"/>
      <c r="AA55" s="182"/>
      <c r="AB55" s="184"/>
      <c r="AC55" s="181"/>
      <c r="AD55" s="181"/>
      <c r="AE55" s="182"/>
      <c r="AF55" s="184"/>
      <c r="AG55" s="181"/>
      <c r="AH55" s="181"/>
      <c r="AI55" s="182"/>
      <c r="AJ55" s="192"/>
    </row>
    <row r="56" spans="2:36">
      <c r="B56" s="166"/>
      <c r="C56" s="167"/>
      <c r="D56" s="171"/>
      <c r="E56" s="171"/>
      <c r="F56" s="171"/>
      <c r="G56" s="172"/>
      <c r="H56" s="173"/>
      <c r="I56" s="181"/>
      <c r="J56" s="181"/>
      <c r="K56" s="182"/>
      <c r="L56" s="183"/>
      <c r="M56" s="181"/>
      <c r="N56" s="181"/>
      <c r="O56" s="182"/>
      <c r="P56" s="184"/>
      <c r="Q56" s="181"/>
      <c r="R56" s="181"/>
      <c r="S56" s="182"/>
      <c r="T56" s="184"/>
      <c r="U56" s="181"/>
      <c r="V56" s="181"/>
      <c r="W56" s="182"/>
      <c r="X56" s="184"/>
      <c r="Y56" s="181"/>
      <c r="Z56" s="181"/>
      <c r="AA56" s="182"/>
      <c r="AB56" s="184"/>
      <c r="AC56" s="181"/>
      <c r="AD56" s="181"/>
      <c r="AE56" s="182"/>
      <c r="AF56" s="184"/>
      <c r="AG56" s="181"/>
      <c r="AH56" s="181"/>
      <c r="AI56" s="182"/>
      <c r="AJ56" s="192"/>
    </row>
    <row r="57" spans="2:36">
      <c r="B57" s="166"/>
      <c r="C57" s="167"/>
      <c r="D57" s="171"/>
      <c r="E57" s="171"/>
      <c r="F57" s="171"/>
      <c r="G57" s="172"/>
      <c r="H57" s="173"/>
      <c r="I57" s="181"/>
      <c r="J57" s="181"/>
      <c r="K57" s="182"/>
      <c r="L57" s="183"/>
      <c r="M57" s="181"/>
      <c r="N57" s="181"/>
      <c r="O57" s="182"/>
      <c r="P57" s="184"/>
      <c r="Q57" s="181"/>
      <c r="R57" s="181"/>
      <c r="S57" s="182"/>
      <c r="T57" s="184"/>
      <c r="U57" s="181"/>
      <c r="V57" s="181"/>
      <c r="W57" s="182"/>
      <c r="X57" s="184"/>
      <c r="Y57" s="181"/>
      <c r="Z57" s="181"/>
      <c r="AA57" s="182"/>
      <c r="AB57" s="184"/>
      <c r="AC57" s="181"/>
      <c r="AD57" s="181"/>
      <c r="AE57" s="182"/>
      <c r="AF57" s="184"/>
      <c r="AG57" s="181"/>
      <c r="AH57" s="181"/>
      <c r="AI57" s="182"/>
      <c r="AJ57" s="192"/>
    </row>
    <row r="58" spans="2:36">
      <c r="B58" s="166"/>
      <c r="C58" s="167"/>
      <c r="D58" s="171"/>
      <c r="E58" s="171"/>
      <c r="F58" s="171"/>
      <c r="G58" s="172"/>
      <c r="H58" s="173"/>
      <c r="I58" s="181"/>
      <c r="J58" s="181"/>
      <c r="K58" s="182"/>
      <c r="L58" s="183"/>
      <c r="M58" s="181"/>
      <c r="N58" s="181"/>
      <c r="O58" s="182"/>
      <c r="P58" s="184"/>
      <c r="Q58" s="181"/>
      <c r="R58" s="181"/>
      <c r="S58" s="182"/>
      <c r="T58" s="184"/>
      <c r="U58" s="181"/>
      <c r="V58" s="181"/>
      <c r="W58" s="182"/>
      <c r="X58" s="184"/>
      <c r="Y58" s="181"/>
      <c r="Z58" s="181"/>
      <c r="AA58" s="182"/>
      <c r="AB58" s="184"/>
      <c r="AC58" s="181"/>
      <c r="AD58" s="181"/>
      <c r="AE58" s="182"/>
      <c r="AF58" s="184"/>
      <c r="AG58" s="181"/>
      <c r="AH58" s="181"/>
      <c r="AI58" s="182"/>
      <c r="AJ58" s="192"/>
    </row>
    <row r="59" spans="2:36">
      <c r="B59" s="166"/>
      <c r="C59" s="167"/>
      <c r="D59" s="171"/>
      <c r="E59" s="171"/>
      <c r="F59" s="171"/>
      <c r="G59" s="172"/>
      <c r="H59" s="173"/>
      <c r="I59" s="181"/>
      <c r="J59" s="181"/>
      <c r="K59" s="182"/>
      <c r="L59" s="183"/>
      <c r="M59" s="181"/>
      <c r="N59" s="181"/>
      <c r="O59" s="182"/>
      <c r="P59" s="184"/>
      <c r="Q59" s="181"/>
      <c r="R59" s="181"/>
      <c r="S59" s="182"/>
      <c r="T59" s="184"/>
      <c r="U59" s="181"/>
      <c r="V59" s="181"/>
      <c r="W59" s="182"/>
      <c r="X59" s="184"/>
      <c r="Y59" s="181"/>
      <c r="Z59" s="181"/>
      <c r="AA59" s="182"/>
      <c r="AB59" s="184"/>
      <c r="AC59" s="181"/>
      <c r="AD59" s="181"/>
      <c r="AE59" s="182"/>
      <c r="AF59" s="184"/>
      <c r="AG59" s="181"/>
      <c r="AH59" s="181"/>
      <c r="AI59" s="182"/>
      <c r="AJ59" s="192"/>
    </row>
    <row r="60" spans="2:36">
      <c r="B60" s="166"/>
      <c r="C60" s="167"/>
      <c r="D60" s="171"/>
      <c r="E60" s="171"/>
      <c r="F60" s="171"/>
      <c r="G60" s="172"/>
      <c r="H60" s="173"/>
      <c r="I60" s="181"/>
      <c r="J60" s="181"/>
      <c r="K60" s="182"/>
      <c r="L60" s="183"/>
      <c r="M60" s="181"/>
      <c r="N60" s="181"/>
      <c r="O60" s="182"/>
      <c r="P60" s="184"/>
      <c r="Q60" s="181"/>
      <c r="R60" s="181"/>
      <c r="S60" s="182"/>
      <c r="T60" s="184"/>
      <c r="U60" s="181"/>
      <c r="V60" s="181"/>
      <c r="W60" s="182"/>
      <c r="X60" s="184"/>
      <c r="Y60" s="181"/>
      <c r="Z60" s="181"/>
      <c r="AA60" s="182"/>
      <c r="AB60" s="184"/>
      <c r="AC60" s="181"/>
      <c r="AD60" s="181"/>
      <c r="AE60" s="182"/>
      <c r="AF60" s="184"/>
      <c r="AG60" s="181"/>
      <c r="AH60" s="181"/>
      <c r="AI60" s="182"/>
      <c r="AJ60" s="192"/>
    </row>
    <row r="61" spans="2:36">
      <c r="B61" s="166"/>
      <c r="C61" s="167"/>
      <c r="D61" s="171"/>
      <c r="E61" s="171"/>
      <c r="F61" s="171"/>
      <c r="G61" s="172"/>
      <c r="H61" s="173"/>
      <c r="I61" s="181"/>
      <c r="J61" s="181"/>
      <c r="K61" s="182"/>
      <c r="L61" s="183"/>
      <c r="M61" s="181"/>
      <c r="N61" s="181"/>
      <c r="O61" s="182"/>
      <c r="P61" s="184"/>
      <c r="Q61" s="181"/>
      <c r="R61" s="181"/>
      <c r="S61" s="182"/>
      <c r="T61" s="184"/>
      <c r="U61" s="181"/>
      <c r="V61" s="181"/>
      <c r="W61" s="182"/>
      <c r="X61" s="184"/>
      <c r="Y61" s="181"/>
      <c r="Z61" s="181"/>
      <c r="AA61" s="182"/>
      <c r="AB61" s="184"/>
      <c r="AC61" s="181"/>
      <c r="AD61" s="181"/>
      <c r="AE61" s="182"/>
      <c r="AF61" s="184"/>
      <c r="AG61" s="181"/>
      <c r="AH61" s="181"/>
      <c r="AI61" s="182"/>
      <c r="AJ61" s="192"/>
    </row>
    <row r="62" spans="2:36">
      <c r="B62" s="166"/>
      <c r="C62" s="167"/>
      <c r="D62" s="171"/>
      <c r="E62" s="171"/>
      <c r="F62" s="171"/>
      <c r="G62" s="172"/>
      <c r="H62" s="173"/>
      <c r="I62" s="181"/>
      <c r="J62" s="181"/>
      <c r="K62" s="182"/>
      <c r="L62" s="183"/>
      <c r="M62" s="181"/>
      <c r="N62" s="181"/>
      <c r="O62" s="182"/>
      <c r="P62" s="184"/>
      <c r="Q62" s="181"/>
      <c r="R62" s="181"/>
      <c r="S62" s="182"/>
      <c r="T62" s="184"/>
      <c r="U62" s="181"/>
      <c r="V62" s="181"/>
      <c r="W62" s="182"/>
      <c r="X62" s="184"/>
      <c r="Y62" s="181"/>
      <c r="Z62" s="181"/>
      <c r="AA62" s="182"/>
      <c r="AB62" s="184"/>
      <c r="AC62" s="181"/>
      <c r="AD62" s="181"/>
      <c r="AE62" s="182"/>
      <c r="AF62" s="184"/>
      <c r="AG62" s="181"/>
      <c r="AH62" s="181"/>
      <c r="AI62" s="182"/>
      <c r="AJ62" s="192"/>
    </row>
    <row r="63" spans="2:36">
      <c r="B63" s="166"/>
      <c r="C63" s="167"/>
      <c r="D63" s="171"/>
      <c r="E63" s="171"/>
      <c r="F63" s="171"/>
      <c r="G63" s="172"/>
      <c r="H63" s="173"/>
      <c r="I63" s="181"/>
      <c r="J63" s="181"/>
      <c r="K63" s="182"/>
      <c r="L63" s="183"/>
      <c r="M63" s="181"/>
      <c r="N63" s="181"/>
      <c r="O63" s="182"/>
      <c r="P63" s="184"/>
      <c r="Q63" s="181"/>
      <c r="R63" s="181"/>
      <c r="S63" s="182"/>
      <c r="T63" s="184"/>
      <c r="U63" s="181"/>
      <c r="V63" s="181"/>
      <c r="W63" s="182"/>
      <c r="X63" s="184"/>
      <c r="Y63" s="181"/>
      <c r="Z63" s="181"/>
      <c r="AA63" s="182"/>
      <c r="AB63" s="184"/>
      <c r="AC63" s="181"/>
      <c r="AD63" s="181"/>
      <c r="AE63" s="182"/>
      <c r="AF63" s="184"/>
      <c r="AG63" s="181"/>
      <c r="AH63" s="181"/>
      <c r="AI63" s="182"/>
      <c r="AJ63" s="192"/>
    </row>
    <row r="64" spans="2:36">
      <c r="B64" s="166"/>
      <c r="C64" s="167"/>
      <c r="D64" s="171"/>
      <c r="E64" s="171"/>
      <c r="F64" s="171"/>
      <c r="G64" s="172"/>
      <c r="H64" s="173"/>
      <c r="I64" s="181"/>
      <c r="J64" s="181"/>
      <c r="K64" s="182"/>
      <c r="L64" s="183"/>
      <c r="M64" s="181"/>
      <c r="N64" s="181"/>
      <c r="O64" s="182"/>
      <c r="P64" s="184"/>
      <c r="Q64" s="181"/>
      <c r="R64" s="181"/>
      <c r="S64" s="182"/>
      <c r="T64" s="184"/>
      <c r="U64" s="181"/>
      <c r="V64" s="181"/>
      <c r="W64" s="182"/>
      <c r="X64" s="184"/>
      <c r="Y64" s="181"/>
      <c r="Z64" s="181"/>
      <c r="AA64" s="182"/>
      <c r="AB64" s="184"/>
      <c r="AC64" s="181"/>
      <c r="AD64" s="181"/>
      <c r="AE64" s="182"/>
      <c r="AF64" s="184"/>
      <c r="AG64" s="181"/>
      <c r="AH64" s="181"/>
      <c r="AI64" s="182"/>
      <c r="AJ64" s="192"/>
    </row>
    <row r="65" spans="2:36">
      <c r="B65" s="166"/>
      <c r="C65" s="167"/>
      <c r="D65" s="171"/>
      <c r="E65" s="171"/>
      <c r="F65" s="171"/>
      <c r="G65" s="172"/>
      <c r="H65" s="173"/>
      <c r="I65" s="181"/>
      <c r="J65" s="181"/>
      <c r="K65" s="182"/>
      <c r="L65" s="183"/>
      <c r="M65" s="181"/>
      <c r="N65" s="181"/>
      <c r="O65" s="182"/>
      <c r="P65" s="184"/>
      <c r="Q65" s="181"/>
      <c r="R65" s="181"/>
      <c r="S65" s="182"/>
      <c r="T65" s="184"/>
      <c r="U65" s="181"/>
      <c r="V65" s="181"/>
      <c r="W65" s="182"/>
      <c r="X65" s="184"/>
      <c r="Y65" s="181"/>
      <c r="Z65" s="181"/>
      <c r="AA65" s="182"/>
      <c r="AB65" s="184"/>
      <c r="AC65" s="181"/>
      <c r="AD65" s="181"/>
      <c r="AE65" s="182"/>
      <c r="AF65" s="184"/>
      <c r="AG65" s="181"/>
      <c r="AH65" s="181"/>
      <c r="AI65" s="182"/>
      <c r="AJ65" s="192"/>
    </row>
    <row r="66" spans="2:36">
      <c r="B66" s="166"/>
      <c r="C66" s="167"/>
      <c r="D66" s="171"/>
      <c r="E66" s="171"/>
      <c r="F66" s="171"/>
      <c r="G66" s="172"/>
      <c r="H66" s="173"/>
      <c r="I66" s="181"/>
      <c r="J66" s="181"/>
      <c r="K66" s="182"/>
      <c r="L66" s="183"/>
      <c r="M66" s="181"/>
      <c r="N66" s="181"/>
      <c r="O66" s="182"/>
      <c r="P66" s="184"/>
      <c r="Q66" s="181"/>
      <c r="R66" s="181"/>
      <c r="S66" s="182"/>
      <c r="T66" s="184"/>
      <c r="U66" s="181"/>
      <c r="V66" s="181"/>
      <c r="W66" s="182"/>
      <c r="X66" s="184"/>
      <c r="Y66" s="181"/>
      <c r="Z66" s="181"/>
      <c r="AA66" s="182"/>
      <c r="AB66" s="184"/>
      <c r="AC66" s="181"/>
      <c r="AD66" s="181"/>
      <c r="AE66" s="182"/>
      <c r="AF66" s="184"/>
      <c r="AG66" s="181"/>
      <c r="AH66" s="181"/>
      <c r="AI66" s="182"/>
      <c r="AJ66" s="192"/>
    </row>
    <row r="67" spans="2:36">
      <c r="B67" s="166"/>
      <c r="C67" s="167"/>
      <c r="D67" s="171"/>
      <c r="E67" s="171"/>
      <c r="F67" s="171"/>
      <c r="G67" s="172"/>
      <c r="H67" s="173"/>
      <c r="I67" s="181"/>
      <c r="J67" s="181"/>
      <c r="K67" s="182"/>
      <c r="L67" s="183"/>
      <c r="M67" s="181"/>
      <c r="N67" s="181"/>
      <c r="O67" s="182"/>
      <c r="P67" s="184"/>
      <c r="Q67" s="181"/>
      <c r="R67" s="181"/>
      <c r="S67" s="182"/>
      <c r="T67" s="184"/>
      <c r="U67" s="181"/>
      <c r="V67" s="181"/>
      <c r="W67" s="182"/>
      <c r="X67" s="184"/>
      <c r="Y67" s="181"/>
      <c r="Z67" s="181"/>
      <c r="AA67" s="182"/>
      <c r="AB67" s="184"/>
      <c r="AC67" s="181"/>
      <c r="AD67" s="181"/>
      <c r="AE67" s="182"/>
      <c r="AF67" s="184"/>
      <c r="AG67" s="181"/>
      <c r="AH67" s="181"/>
      <c r="AI67" s="182"/>
      <c r="AJ67" s="192"/>
    </row>
    <row r="68" spans="2:36">
      <c r="B68" s="166"/>
      <c r="C68" s="167"/>
      <c r="D68" s="171"/>
      <c r="E68" s="171"/>
      <c r="F68" s="171"/>
      <c r="G68" s="172"/>
      <c r="H68" s="173"/>
      <c r="I68" s="181"/>
      <c r="J68" s="181"/>
      <c r="K68" s="182"/>
      <c r="L68" s="183"/>
      <c r="M68" s="181"/>
      <c r="N68" s="181"/>
      <c r="O68" s="182"/>
      <c r="P68" s="184"/>
      <c r="Q68" s="181"/>
      <c r="R68" s="181"/>
      <c r="S68" s="182"/>
      <c r="T68" s="184"/>
      <c r="U68" s="181"/>
      <c r="V68" s="181"/>
      <c r="W68" s="182"/>
      <c r="X68" s="184"/>
      <c r="Y68" s="181"/>
      <c r="Z68" s="181"/>
      <c r="AA68" s="182"/>
      <c r="AB68" s="184"/>
      <c r="AC68" s="181"/>
      <c r="AD68" s="181"/>
      <c r="AE68" s="182"/>
      <c r="AF68" s="184"/>
      <c r="AG68" s="181"/>
      <c r="AH68" s="181"/>
      <c r="AI68" s="182"/>
      <c r="AJ68" s="192"/>
    </row>
    <row r="69" spans="2:36">
      <c r="B69" s="166"/>
      <c r="C69" s="167"/>
      <c r="D69" s="171"/>
      <c r="E69" s="171"/>
      <c r="F69" s="171"/>
      <c r="G69" s="172"/>
      <c r="H69" s="173"/>
      <c r="I69" s="181"/>
      <c r="J69" s="181"/>
      <c r="K69" s="182"/>
      <c r="L69" s="183"/>
      <c r="M69" s="181"/>
      <c r="N69" s="181"/>
      <c r="O69" s="182"/>
      <c r="P69" s="184"/>
      <c r="Q69" s="181"/>
      <c r="R69" s="181"/>
      <c r="S69" s="182"/>
      <c r="T69" s="184"/>
      <c r="U69" s="181"/>
      <c r="V69" s="181"/>
      <c r="W69" s="182"/>
      <c r="X69" s="184"/>
      <c r="Y69" s="181"/>
      <c r="Z69" s="181"/>
      <c r="AA69" s="182"/>
      <c r="AB69" s="184"/>
      <c r="AC69" s="181"/>
      <c r="AD69" s="181"/>
      <c r="AE69" s="182"/>
      <c r="AF69" s="184"/>
      <c r="AG69" s="181"/>
      <c r="AH69" s="181"/>
      <c r="AI69" s="182"/>
      <c r="AJ69" s="192"/>
    </row>
    <row r="70" spans="2:36">
      <c r="B70" s="166"/>
      <c r="C70" s="167"/>
      <c r="D70" s="171"/>
      <c r="E70" s="171"/>
      <c r="F70" s="171"/>
      <c r="G70" s="172"/>
      <c r="H70" s="173"/>
      <c r="I70" s="181"/>
      <c r="J70" s="181"/>
      <c r="K70" s="182"/>
      <c r="L70" s="183"/>
      <c r="M70" s="181"/>
      <c r="N70" s="181"/>
      <c r="O70" s="182"/>
      <c r="P70" s="184"/>
      <c r="Q70" s="181"/>
      <c r="R70" s="181"/>
      <c r="S70" s="182"/>
      <c r="T70" s="184"/>
      <c r="U70" s="181"/>
      <c r="V70" s="181"/>
      <c r="W70" s="182"/>
      <c r="X70" s="184"/>
      <c r="Y70" s="181"/>
      <c r="Z70" s="181"/>
      <c r="AA70" s="182"/>
      <c r="AB70" s="184"/>
      <c r="AC70" s="181"/>
      <c r="AD70" s="181"/>
      <c r="AE70" s="182"/>
      <c r="AF70" s="184"/>
      <c r="AG70" s="181"/>
      <c r="AH70" s="181"/>
      <c r="AI70" s="182"/>
      <c r="AJ70" s="192"/>
    </row>
    <row r="71" spans="2:36">
      <c r="B71" s="166"/>
      <c r="C71" s="167"/>
      <c r="D71" s="171"/>
      <c r="E71" s="171"/>
      <c r="F71" s="171"/>
      <c r="G71" s="172"/>
      <c r="H71" s="173"/>
      <c r="I71" s="181"/>
      <c r="J71" s="181"/>
      <c r="K71" s="182"/>
      <c r="L71" s="183"/>
      <c r="M71" s="181"/>
      <c r="N71" s="181"/>
      <c r="O71" s="182"/>
      <c r="P71" s="184"/>
      <c r="Q71" s="181"/>
      <c r="R71" s="181"/>
      <c r="S71" s="182"/>
      <c r="T71" s="184"/>
      <c r="U71" s="181"/>
      <c r="V71" s="181"/>
      <c r="W71" s="182"/>
      <c r="X71" s="184"/>
      <c r="Y71" s="181"/>
      <c r="Z71" s="181"/>
      <c r="AA71" s="182"/>
      <c r="AB71" s="184"/>
      <c r="AC71" s="181"/>
      <c r="AD71" s="181"/>
      <c r="AE71" s="182"/>
      <c r="AF71" s="184"/>
      <c r="AG71" s="181"/>
      <c r="AH71" s="181"/>
      <c r="AI71" s="182"/>
      <c r="AJ71" s="192"/>
    </row>
    <row r="72" spans="2:36">
      <c r="B72" s="166"/>
      <c r="C72" s="167"/>
      <c r="D72" s="171"/>
      <c r="E72" s="171"/>
      <c r="F72" s="171"/>
      <c r="G72" s="172"/>
      <c r="H72" s="173"/>
      <c r="I72" s="181"/>
      <c r="J72" s="181"/>
      <c r="K72" s="182"/>
      <c r="L72" s="183"/>
      <c r="M72" s="181"/>
      <c r="N72" s="181"/>
      <c r="O72" s="182"/>
      <c r="P72" s="184"/>
      <c r="Q72" s="181"/>
      <c r="R72" s="181"/>
      <c r="S72" s="182"/>
      <c r="T72" s="184"/>
      <c r="U72" s="181"/>
      <c r="V72" s="181"/>
      <c r="W72" s="182"/>
      <c r="X72" s="184"/>
      <c r="Y72" s="181"/>
      <c r="Z72" s="181"/>
      <c r="AA72" s="182"/>
      <c r="AB72" s="184"/>
      <c r="AC72" s="181"/>
      <c r="AD72" s="181"/>
      <c r="AE72" s="182"/>
      <c r="AF72" s="184"/>
      <c r="AG72" s="181"/>
      <c r="AH72" s="181"/>
      <c r="AI72" s="182"/>
      <c r="AJ72" s="192"/>
    </row>
    <row r="73" spans="2:36">
      <c r="B73" s="166"/>
      <c r="C73" s="167"/>
      <c r="D73" s="171"/>
      <c r="E73" s="171"/>
      <c r="F73" s="171"/>
      <c r="G73" s="172"/>
      <c r="H73" s="173"/>
      <c r="I73" s="181"/>
      <c r="J73" s="181"/>
      <c r="K73" s="182"/>
      <c r="L73" s="183"/>
      <c r="M73" s="181"/>
      <c r="N73" s="181"/>
      <c r="O73" s="182"/>
      <c r="P73" s="184"/>
      <c r="Q73" s="181"/>
      <c r="R73" s="181"/>
      <c r="S73" s="182"/>
      <c r="T73" s="184"/>
      <c r="U73" s="181"/>
      <c r="V73" s="181"/>
      <c r="W73" s="182"/>
      <c r="X73" s="184"/>
      <c r="Y73" s="181"/>
      <c r="Z73" s="181"/>
      <c r="AA73" s="182"/>
      <c r="AB73" s="184"/>
      <c r="AC73" s="181"/>
      <c r="AD73" s="181"/>
      <c r="AE73" s="182"/>
      <c r="AF73" s="184"/>
      <c r="AG73" s="181"/>
      <c r="AH73" s="181"/>
      <c r="AI73" s="182"/>
      <c r="AJ73" s="192"/>
    </row>
    <row r="74" spans="2:36">
      <c r="B74" s="166"/>
      <c r="C74" s="167"/>
      <c r="D74" s="171"/>
      <c r="E74" s="171"/>
      <c r="F74" s="171"/>
      <c r="G74" s="172"/>
      <c r="H74" s="173"/>
      <c r="I74" s="181"/>
      <c r="J74" s="181"/>
      <c r="K74" s="182"/>
      <c r="L74" s="183"/>
      <c r="M74" s="181"/>
      <c r="N74" s="181"/>
      <c r="O74" s="182"/>
      <c r="P74" s="184"/>
      <c r="Q74" s="181"/>
      <c r="R74" s="181"/>
      <c r="S74" s="182"/>
      <c r="T74" s="184"/>
      <c r="U74" s="181"/>
      <c r="V74" s="181"/>
      <c r="W74" s="182"/>
      <c r="X74" s="184"/>
      <c r="Y74" s="181"/>
      <c r="Z74" s="181"/>
      <c r="AA74" s="182"/>
      <c r="AB74" s="184"/>
      <c r="AC74" s="181"/>
      <c r="AD74" s="181"/>
      <c r="AE74" s="182"/>
      <c r="AF74" s="184"/>
      <c r="AG74" s="181"/>
      <c r="AH74" s="181"/>
      <c r="AI74" s="182"/>
      <c r="AJ74" s="192"/>
    </row>
    <row r="75" spans="2:36">
      <c r="B75" s="166"/>
      <c r="C75" s="167"/>
      <c r="D75" s="171"/>
      <c r="E75" s="171"/>
      <c r="F75" s="171"/>
      <c r="G75" s="172"/>
      <c r="H75" s="173"/>
      <c r="I75" s="181"/>
      <c r="J75" s="181"/>
      <c r="K75" s="182"/>
      <c r="L75" s="183"/>
      <c r="M75" s="181"/>
      <c r="N75" s="181"/>
      <c r="O75" s="182"/>
      <c r="P75" s="184"/>
      <c r="Q75" s="181"/>
      <c r="R75" s="181"/>
      <c r="S75" s="182"/>
      <c r="T75" s="184"/>
      <c r="U75" s="181"/>
      <c r="V75" s="181"/>
      <c r="W75" s="182"/>
      <c r="X75" s="184"/>
      <c r="Y75" s="181"/>
      <c r="Z75" s="181"/>
      <c r="AA75" s="182"/>
      <c r="AB75" s="184"/>
      <c r="AC75" s="181"/>
      <c r="AD75" s="181"/>
      <c r="AE75" s="182"/>
      <c r="AF75" s="184"/>
      <c r="AG75" s="181"/>
      <c r="AH75" s="181"/>
      <c r="AI75" s="182"/>
      <c r="AJ75" s="192"/>
    </row>
    <row r="76" spans="2:36">
      <c r="B76" s="166"/>
      <c r="C76" s="167"/>
      <c r="D76" s="171"/>
      <c r="E76" s="171"/>
      <c r="F76" s="171"/>
      <c r="G76" s="172"/>
      <c r="H76" s="173"/>
      <c r="I76" s="181"/>
      <c r="J76" s="181"/>
      <c r="K76" s="182"/>
      <c r="L76" s="183"/>
      <c r="M76" s="181"/>
      <c r="N76" s="181"/>
      <c r="O76" s="182"/>
      <c r="P76" s="184"/>
      <c r="Q76" s="181"/>
      <c r="R76" s="181"/>
      <c r="S76" s="182"/>
      <c r="T76" s="184"/>
      <c r="U76" s="181"/>
      <c r="V76" s="181"/>
      <c r="W76" s="182"/>
      <c r="X76" s="184"/>
      <c r="Y76" s="181"/>
      <c r="Z76" s="181"/>
      <c r="AA76" s="182"/>
      <c r="AB76" s="184"/>
      <c r="AC76" s="181"/>
      <c r="AD76" s="181"/>
      <c r="AE76" s="182"/>
      <c r="AF76" s="184"/>
      <c r="AG76" s="181"/>
      <c r="AH76" s="181"/>
      <c r="AI76" s="182"/>
      <c r="AJ76" s="192"/>
    </row>
    <row r="77" spans="2:36">
      <c r="B77" s="166"/>
      <c r="C77" s="167"/>
      <c r="D77" s="171"/>
      <c r="E77" s="171"/>
      <c r="F77" s="171"/>
      <c r="G77" s="172"/>
      <c r="H77" s="173"/>
      <c r="I77" s="181"/>
      <c r="J77" s="181"/>
      <c r="K77" s="182"/>
      <c r="L77" s="183"/>
      <c r="M77" s="181"/>
      <c r="N77" s="181"/>
      <c r="O77" s="182"/>
      <c r="P77" s="184"/>
      <c r="Q77" s="181"/>
      <c r="R77" s="181"/>
      <c r="S77" s="182"/>
      <c r="T77" s="184"/>
      <c r="U77" s="181"/>
      <c r="V77" s="181"/>
      <c r="W77" s="182"/>
      <c r="X77" s="184"/>
      <c r="Y77" s="181"/>
      <c r="Z77" s="181"/>
      <c r="AA77" s="182"/>
      <c r="AB77" s="184"/>
      <c r="AC77" s="181"/>
      <c r="AD77" s="181"/>
      <c r="AE77" s="182"/>
      <c r="AF77" s="184"/>
      <c r="AG77" s="181"/>
      <c r="AH77" s="181"/>
      <c r="AI77" s="182"/>
      <c r="AJ77" s="192"/>
    </row>
    <row r="78" spans="2:36">
      <c r="B78" s="166"/>
      <c r="C78" s="167"/>
      <c r="D78" s="171"/>
      <c r="E78" s="171"/>
      <c r="F78" s="171"/>
      <c r="G78" s="172"/>
      <c r="H78" s="173"/>
      <c r="I78" s="181"/>
      <c r="J78" s="181"/>
      <c r="K78" s="182"/>
      <c r="L78" s="183"/>
      <c r="M78" s="181"/>
      <c r="N78" s="181"/>
      <c r="O78" s="182"/>
      <c r="P78" s="184"/>
      <c r="Q78" s="181"/>
      <c r="R78" s="181"/>
      <c r="S78" s="182"/>
      <c r="T78" s="184"/>
      <c r="U78" s="181"/>
      <c r="V78" s="181"/>
      <c r="W78" s="182"/>
      <c r="X78" s="184"/>
      <c r="Y78" s="181"/>
      <c r="Z78" s="181"/>
      <c r="AA78" s="182"/>
      <c r="AB78" s="184"/>
      <c r="AC78" s="181"/>
      <c r="AD78" s="181"/>
      <c r="AE78" s="182"/>
      <c r="AF78" s="184"/>
      <c r="AG78" s="181"/>
      <c r="AH78" s="181"/>
      <c r="AI78" s="182"/>
      <c r="AJ78" s="192"/>
    </row>
    <row r="79" spans="2:36">
      <c r="B79" s="166"/>
      <c r="C79" s="167"/>
      <c r="D79" s="171"/>
      <c r="E79" s="171"/>
      <c r="F79" s="171"/>
      <c r="G79" s="172"/>
      <c r="H79" s="173"/>
      <c r="I79" s="181"/>
      <c r="J79" s="181"/>
      <c r="K79" s="182"/>
      <c r="L79" s="183"/>
      <c r="M79" s="181"/>
      <c r="N79" s="181"/>
      <c r="O79" s="182"/>
      <c r="P79" s="184"/>
      <c r="Q79" s="181"/>
      <c r="R79" s="181"/>
      <c r="S79" s="182"/>
      <c r="T79" s="184"/>
      <c r="U79" s="181"/>
      <c r="V79" s="181"/>
      <c r="W79" s="182"/>
      <c r="X79" s="184"/>
      <c r="Y79" s="181"/>
      <c r="Z79" s="181"/>
      <c r="AA79" s="182"/>
      <c r="AB79" s="184"/>
      <c r="AC79" s="181"/>
      <c r="AD79" s="181"/>
      <c r="AE79" s="182"/>
      <c r="AF79" s="184"/>
      <c r="AG79" s="181"/>
      <c r="AH79" s="181"/>
      <c r="AI79" s="182"/>
      <c r="AJ79" s="192"/>
    </row>
    <row r="80" spans="2:36">
      <c r="B80" s="166"/>
      <c r="C80" s="167"/>
      <c r="D80" s="171"/>
      <c r="E80" s="171"/>
      <c r="F80" s="171"/>
      <c r="G80" s="172"/>
      <c r="H80" s="173"/>
      <c r="I80" s="181"/>
      <c r="J80" s="181"/>
      <c r="K80" s="182"/>
      <c r="L80" s="183"/>
      <c r="M80" s="181"/>
      <c r="N80" s="181"/>
      <c r="O80" s="182"/>
      <c r="P80" s="184"/>
      <c r="Q80" s="181"/>
      <c r="R80" s="181"/>
      <c r="S80" s="182"/>
      <c r="T80" s="184"/>
      <c r="U80" s="181"/>
      <c r="V80" s="181"/>
      <c r="W80" s="182"/>
      <c r="X80" s="184"/>
      <c r="Y80" s="181"/>
      <c r="Z80" s="181"/>
      <c r="AA80" s="182"/>
      <c r="AB80" s="184"/>
      <c r="AC80" s="181"/>
      <c r="AD80" s="181"/>
      <c r="AE80" s="182"/>
      <c r="AF80" s="184"/>
      <c r="AG80" s="181"/>
      <c r="AH80" s="181"/>
      <c r="AI80" s="182"/>
      <c r="AJ80" s="192"/>
    </row>
    <row r="81" spans="2:36">
      <c r="B81" s="166"/>
      <c r="C81" s="167"/>
      <c r="D81" s="171"/>
      <c r="E81" s="171"/>
      <c r="F81" s="171"/>
      <c r="G81" s="172"/>
      <c r="H81" s="173"/>
      <c r="I81" s="181"/>
      <c r="J81" s="181"/>
      <c r="K81" s="182"/>
      <c r="L81" s="183"/>
      <c r="M81" s="181"/>
      <c r="N81" s="181"/>
      <c r="O81" s="182"/>
      <c r="P81" s="184"/>
      <c r="Q81" s="181"/>
      <c r="R81" s="181"/>
      <c r="S81" s="182"/>
      <c r="T81" s="184"/>
      <c r="U81" s="181"/>
      <c r="V81" s="181"/>
      <c r="W81" s="182"/>
      <c r="X81" s="184"/>
      <c r="Y81" s="181"/>
      <c r="Z81" s="181"/>
      <c r="AA81" s="182"/>
      <c r="AB81" s="184"/>
      <c r="AC81" s="181"/>
      <c r="AD81" s="181"/>
      <c r="AE81" s="182"/>
      <c r="AF81" s="184"/>
      <c r="AG81" s="181"/>
      <c r="AH81" s="181"/>
      <c r="AI81" s="182"/>
      <c r="AJ81" s="192"/>
    </row>
    <row r="82" spans="2:36">
      <c r="B82" s="166"/>
      <c r="C82" s="167"/>
      <c r="D82" s="171"/>
      <c r="E82" s="171"/>
      <c r="F82" s="171"/>
      <c r="G82" s="172"/>
      <c r="H82" s="173"/>
      <c r="I82" s="181"/>
      <c r="J82" s="181"/>
      <c r="K82" s="182"/>
      <c r="L82" s="183"/>
      <c r="M82" s="181"/>
      <c r="N82" s="181"/>
      <c r="O82" s="182"/>
      <c r="P82" s="184"/>
      <c r="Q82" s="181"/>
      <c r="R82" s="181"/>
      <c r="S82" s="182"/>
      <c r="T82" s="184"/>
      <c r="U82" s="181"/>
      <c r="V82" s="181"/>
      <c r="W82" s="182"/>
      <c r="X82" s="184"/>
      <c r="Y82" s="181"/>
      <c r="Z82" s="181"/>
      <c r="AA82" s="182"/>
      <c r="AB82" s="184"/>
      <c r="AC82" s="181"/>
      <c r="AD82" s="181"/>
      <c r="AE82" s="182"/>
      <c r="AF82" s="184"/>
      <c r="AG82" s="181"/>
      <c r="AH82" s="181"/>
      <c r="AI82" s="182"/>
      <c r="AJ82" s="192"/>
    </row>
    <row r="83" spans="2:36">
      <c r="B83" s="166"/>
      <c r="C83" s="167"/>
      <c r="D83" s="171"/>
      <c r="E83" s="171"/>
      <c r="F83" s="171"/>
      <c r="G83" s="172"/>
      <c r="H83" s="173"/>
      <c r="I83" s="181"/>
      <c r="J83" s="181"/>
      <c r="K83" s="182"/>
      <c r="L83" s="183"/>
      <c r="M83" s="181"/>
      <c r="N83" s="181"/>
      <c r="O83" s="182"/>
      <c r="P83" s="184"/>
      <c r="Q83" s="181"/>
      <c r="R83" s="181"/>
      <c r="S83" s="182"/>
      <c r="T83" s="184"/>
      <c r="U83" s="181"/>
      <c r="V83" s="181"/>
      <c r="W83" s="182"/>
      <c r="X83" s="184"/>
      <c r="Y83" s="181"/>
      <c r="Z83" s="181"/>
      <c r="AA83" s="182"/>
      <c r="AB83" s="184"/>
      <c r="AC83" s="181"/>
      <c r="AD83" s="181"/>
      <c r="AE83" s="182"/>
      <c r="AF83" s="184"/>
      <c r="AG83" s="181"/>
      <c r="AH83" s="181"/>
      <c r="AI83" s="182"/>
      <c r="AJ83" s="192"/>
    </row>
    <row r="84" spans="2:36">
      <c r="B84" s="166"/>
      <c r="C84" s="167"/>
      <c r="D84" s="171"/>
      <c r="E84" s="171"/>
      <c r="F84" s="171"/>
      <c r="G84" s="172"/>
      <c r="H84" s="173"/>
      <c r="I84" s="181"/>
      <c r="J84" s="181"/>
      <c r="K84" s="182"/>
      <c r="L84" s="183"/>
      <c r="M84" s="181"/>
      <c r="N84" s="181"/>
      <c r="O84" s="182"/>
      <c r="P84" s="184"/>
      <c r="Q84" s="181"/>
      <c r="R84" s="181"/>
      <c r="S84" s="182"/>
      <c r="T84" s="184"/>
      <c r="U84" s="181"/>
      <c r="V84" s="181"/>
      <c r="W84" s="182"/>
      <c r="X84" s="184"/>
      <c r="Y84" s="181"/>
      <c r="Z84" s="181"/>
      <c r="AA84" s="182"/>
      <c r="AB84" s="184"/>
      <c r="AC84" s="181"/>
      <c r="AD84" s="181"/>
      <c r="AE84" s="182"/>
      <c r="AF84" s="184"/>
      <c r="AG84" s="181"/>
      <c r="AH84" s="181"/>
      <c r="AI84" s="182"/>
      <c r="AJ84" s="192"/>
    </row>
    <row r="85" spans="2:36">
      <c r="B85" s="166"/>
      <c r="C85" s="167"/>
      <c r="D85" s="171"/>
      <c r="E85" s="171"/>
      <c r="F85" s="171"/>
      <c r="G85" s="172"/>
      <c r="H85" s="173"/>
      <c r="I85" s="181"/>
      <c r="J85" s="181"/>
      <c r="K85" s="182"/>
      <c r="L85" s="183"/>
      <c r="M85" s="181"/>
      <c r="N85" s="181"/>
      <c r="O85" s="182"/>
      <c r="P85" s="184"/>
      <c r="Q85" s="181"/>
      <c r="R85" s="181"/>
      <c r="S85" s="182"/>
      <c r="T85" s="184"/>
      <c r="U85" s="181"/>
      <c r="V85" s="181"/>
      <c r="W85" s="182"/>
      <c r="X85" s="184"/>
      <c r="Y85" s="181"/>
      <c r="Z85" s="181"/>
      <c r="AA85" s="182"/>
      <c r="AB85" s="184"/>
      <c r="AC85" s="181"/>
      <c r="AD85" s="181"/>
      <c r="AE85" s="182"/>
      <c r="AF85" s="184"/>
      <c r="AG85" s="181"/>
      <c r="AH85" s="181"/>
      <c r="AI85" s="182"/>
      <c r="AJ85" s="192"/>
    </row>
    <row r="86" spans="2:36">
      <c r="B86" s="166"/>
      <c r="C86" s="167"/>
      <c r="D86" s="171"/>
      <c r="E86" s="171"/>
      <c r="F86" s="171"/>
      <c r="G86" s="172"/>
      <c r="H86" s="173"/>
      <c r="I86" s="181"/>
      <c r="J86" s="181"/>
      <c r="K86" s="182"/>
      <c r="L86" s="183"/>
      <c r="M86" s="181"/>
      <c r="N86" s="181"/>
      <c r="O86" s="182"/>
      <c r="P86" s="184"/>
      <c r="Q86" s="181"/>
      <c r="R86" s="181"/>
      <c r="S86" s="182"/>
      <c r="T86" s="184"/>
      <c r="U86" s="181"/>
      <c r="V86" s="181"/>
      <c r="W86" s="182"/>
      <c r="X86" s="184"/>
      <c r="Y86" s="181"/>
      <c r="Z86" s="181"/>
      <c r="AA86" s="182"/>
      <c r="AB86" s="184"/>
      <c r="AC86" s="181"/>
      <c r="AD86" s="181"/>
      <c r="AE86" s="182"/>
      <c r="AF86" s="184"/>
      <c r="AG86" s="181"/>
      <c r="AH86" s="181"/>
      <c r="AI86" s="182"/>
      <c r="AJ86" s="192"/>
    </row>
    <row r="87" spans="2:36">
      <c r="B87" s="166"/>
      <c r="C87" s="167"/>
      <c r="D87" s="171"/>
      <c r="E87" s="171"/>
      <c r="F87" s="171"/>
      <c r="G87" s="172"/>
      <c r="H87" s="173"/>
      <c r="I87" s="181"/>
      <c r="J87" s="181"/>
      <c r="K87" s="182"/>
      <c r="L87" s="183"/>
      <c r="M87" s="181"/>
      <c r="N87" s="181"/>
      <c r="O87" s="182"/>
      <c r="P87" s="184"/>
      <c r="Q87" s="181"/>
      <c r="R87" s="181"/>
      <c r="S87" s="182"/>
      <c r="T87" s="184"/>
      <c r="U87" s="181"/>
      <c r="V87" s="181"/>
      <c r="W87" s="182"/>
      <c r="X87" s="184"/>
      <c r="Y87" s="181"/>
      <c r="Z87" s="181"/>
      <c r="AA87" s="182"/>
      <c r="AB87" s="184"/>
      <c r="AC87" s="181"/>
      <c r="AD87" s="181"/>
      <c r="AE87" s="182"/>
      <c r="AF87" s="184"/>
      <c r="AG87" s="181"/>
      <c r="AH87" s="181"/>
      <c r="AI87" s="182"/>
      <c r="AJ87" s="192"/>
    </row>
    <row r="88" spans="2:36">
      <c r="B88" s="166"/>
      <c r="C88" s="167"/>
      <c r="D88" s="171"/>
      <c r="E88" s="171"/>
      <c r="F88" s="171"/>
      <c r="G88" s="172"/>
      <c r="H88" s="173"/>
      <c r="I88" s="181"/>
      <c r="J88" s="181"/>
      <c r="K88" s="182"/>
      <c r="L88" s="183"/>
      <c r="M88" s="181"/>
      <c r="N88" s="181"/>
      <c r="O88" s="182"/>
      <c r="P88" s="184"/>
      <c r="Q88" s="181"/>
      <c r="R88" s="181"/>
      <c r="S88" s="182"/>
      <c r="T88" s="184"/>
      <c r="U88" s="181"/>
      <c r="V88" s="181"/>
      <c r="W88" s="182"/>
      <c r="X88" s="184"/>
      <c r="Y88" s="181"/>
      <c r="Z88" s="181"/>
      <c r="AA88" s="182"/>
      <c r="AB88" s="184"/>
      <c r="AC88" s="181"/>
      <c r="AD88" s="181"/>
      <c r="AE88" s="182"/>
      <c r="AF88" s="184"/>
      <c r="AG88" s="181"/>
      <c r="AH88" s="181"/>
      <c r="AI88" s="182"/>
      <c r="AJ88" s="192"/>
    </row>
    <row r="89" spans="2:36">
      <c r="B89" s="166"/>
      <c r="C89" s="167"/>
      <c r="D89" s="171"/>
      <c r="E89" s="171"/>
      <c r="F89" s="171"/>
      <c r="G89" s="172"/>
      <c r="H89" s="173"/>
      <c r="I89" s="181"/>
      <c r="J89" s="181"/>
      <c r="K89" s="182"/>
      <c r="L89" s="183"/>
      <c r="M89" s="181"/>
      <c r="N89" s="181"/>
      <c r="O89" s="182"/>
      <c r="P89" s="184"/>
      <c r="Q89" s="181"/>
      <c r="R89" s="181"/>
      <c r="S89" s="182"/>
      <c r="T89" s="184"/>
      <c r="U89" s="181"/>
      <c r="V89" s="181"/>
      <c r="W89" s="182"/>
      <c r="X89" s="184"/>
      <c r="Y89" s="181"/>
      <c r="Z89" s="181"/>
      <c r="AA89" s="182"/>
      <c r="AB89" s="184"/>
      <c r="AC89" s="181"/>
      <c r="AD89" s="181"/>
      <c r="AE89" s="182"/>
      <c r="AF89" s="184"/>
      <c r="AG89" s="181"/>
      <c r="AH89" s="181"/>
      <c r="AI89" s="182"/>
      <c r="AJ89" s="192"/>
    </row>
    <row r="90" spans="2:36">
      <c r="B90" s="166"/>
      <c r="C90" s="167"/>
      <c r="D90" s="171"/>
      <c r="E90" s="171"/>
      <c r="F90" s="171"/>
      <c r="G90" s="172"/>
      <c r="H90" s="173"/>
      <c r="I90" s="181"/>
      <c r="J90" s="181"/>
      <c r="K90" s="182"/>
      <c r="L90" s="183"/>
      <c r="M90" s="181"/>
      <c r="N90" s="181"/>
      <c r="O90" s="182"/>
      <c r="P90" s="184"/>
      <c r="Q90" s="181"/>
      <c r="R90" s="181"/>
      <c r="S90" s="182"/>
      <c r="T90" s="184"/>
      <c r="U90" s="181"/>
      <c r="V90" s="181"/>
      <c r="W90" s="182"/>
      <c r="X90" s="184"/>
      <c r="Y90" s="181"/>
      <c r="Z90" s="181"/>
      <c r="AA90" s="182"/>
      <c r="AB90" s="184"/>
      <c r="AC90" s="181"/>
      <c r="AD90" s="181"/>
      <c r="AE90" s="182"/>
      <c r="AF90" s="184"/>
      <c r="AG90" s="181"/>
      <c r="AH90" s="181"/>
      <c r="AI90" s="182"/>
      <c r="AJ90" s="192"/>
    </row>
    <row r="91" spans="2:36">
      <c r="B91" s="166"/>
      <c r="C91" s="167"/>
      <c r="D91" s="171"/>
      <c r="E91" s="171"/>
      <c r="F91" s="171"/>
      <c r="G91" s="172"/>
      <c r="H91" s="173"/>
      <c r="I91" s="181"/>
      <c r="J91" s="181"/>
      <c r="K91" s="182"/>
      <c r="L91" s="183"/>
      <c r="M91" s="181"/>
      <c r="N91" s="181"/>
      <c r="O91" s="182"/>
      <c r="P91" s="184"/>
      <c r="Q91" s="181"/>
      <c r="R91" s="181"/>
      <c r="S91" s="182"/>
      <c r="T91" s="184"/>
      <c r="U91" s="181"/>
      <c r="V91" s="181"/>
      <c r="W91" s="182"/>
      <c r="X91" s="184"/>
      <c r="Y91" s="181"/>
      <c r="Z91" s="181"/>
      <c r="AA91" s="182"/>
      <c r="AB91" s="184"/>
      <c r="AC91" s="181"/>
      <c r="AD91" s="181"/>
      <c r="AE91" s="182"/>
      <c r="AF91" s="184"/>
      <c r="AG91" s="181"/>
      <c r="AH91" s="181"/>
      <c r="AI91" s="182"/>
      <c r="AJ91" s="192"/>
    </row>
    <row r="92" spans="2:36">
      <c r="B92" s="166"/>
      <c r="C92" s="167"/>
      <c r="D92" s="171"/>
      <c r="E92" s="171"/>
      <c r="F92" s="171"/>
      <c r="G92" s="172"/>
      <c r="H92" s="173"/>
      <c r="I92" s="181"/>
      <c r="J92" s="181"/>
      <c r="K92" s="182"/>
      <c r="L92" s="183"/>
      <c r="M92" s="181"/>
      <c r="N92" s="181"/>
      <c r="O92" s="182"/>
      <c r="P92" s="184"/>
      <c r="Q92" s="181"/>
      <c r="R92" s="181"/>
      <c r="S92" s="182"/>
      <c r="T92" s="184"/>
      <c r="U92" s="181"/>
      <c r="V92" s="181"/>
      <c r="W92" s="182"/>
      <c r="X92" s="184"/>
      <c r="Y92" s="181"/>
      <c r="Z92" s="181"/>
      <c r="AA92" s="182"/>
      <c r="AB92" s="184"/>
      <c r="AC92" s="181"/>
      <c r="AD92" s="181"/>
      <c r="AE92" s="182"/>
      <c r="AF92" s="184"/>
      <c r="AG92" s="181"/>
      <c r="AH92" s="181"/>
      <c r="AI92" s="182"/>
      <c r="AJ92" s="192"/>
    </row>
    <row r="93" spans="2:36">
      <c r="B93" s="166"/>
      <c r="C93" s="167"/>
      <c r="D93" s="171"/>
      <c r="E93" s="171"/>
      <c r="F93" s="171"/>
      <c r="G93" s="172"/>
      <c r="H93" s="173"/>
      <c r="I93" s="181"/>
      <c r="J93" s="181"/>
      <c r="K93" s="182"/>
      <c r="L93" s="183"/>
      <c r="M93" s="181"/>
      <c r="N93" s="181"/>
      <c r="O93" s="182"/>
      <c r="P93" s="184"/>
      <c r="Q93" s="181"/>
      <c r="R93" s="181"/>
      <c r="S93" s="182"/>
      <c r="T93" s="184"/>
      <c r="U93" s="181"/>
      <c r="V93" s="181"/>
      <c r="W93" s="182"/>
      <c r="X93" s="184"/>
      <c r="Y93" s="181"/>
      <c r="Z93" s="181"/>
      <c r="AA93" s="182"/>
      <c r="AB93" s="184"/>
      <c r="AC93" s="181"/>
      <c r="AD93" s="181"/>
      <c r="AE93" s="182"/>
      <c r="AF93" s="184"/>
      <c r="AG93" s="181"/>
      <c r="AH93" s="181"/>
      <c r="AI93" s="182"/>
      <c r="AJ93" s="192"/>
    </row>
    <row r="94" spans="2:36">
      <c r="B94" s="166"/>
      <c r="C94" s="167"/>
      <c r="D94" s="171"/>
      <c r="E94" s="171"/>
      <c r="F94" s="171"/>
      <c r="G94" s="172"/>
      <c r="H94" s="173"/>
      <c r="I94" s="181"/>
      <c r="J94" s="181"/>
      <c r="K94" s="182"/>
      <c r="L94" s="183"/>
      <c r="M94" s="181"/>
      <c r="N94" s="181"/>
      <c r="O94" s="182"/>
      <c r="P94" s="184"/>
      <c r="Q94" s="181"/>
      <c r="R94" s="181"/>
      <c r="S94" s="182"/>
      <c r="T94" s="184"/>
      <c r="U94" s="181"/>
      <c r="V94" s="181"/>
      <c r="W94" s="182"/>
      <c r="X94" s="184"/>
      <c r="Y94" s="181"/>
      <c r="Z94" s="181"/>
      <c r="AA94" s="182"/>
      <c r="AB94" s="184"/>
      <c r="AC94" s="181"/>
      <c r="AD94" s="181"/>
      <c r="AE94" s="182"/>
      <c r="AF94" s="184"/>
      <c r="AG94" s="181"/>
      <c r="AH94" s="181"/>
      <c r="AI94" s="182"/>
      <c r="AJ94" s="192"/>
    </row>
    <row r="95" spans="2:36">
      <c r="B95" s="166"/>
      <c r="C95" s="167"/>
      <c r="D95" s="171"/>
      <c r="E95" s="171"/>
      <c r="F95" s="171"/>
      <c r="G95" s="172"/>
      <c r="H95" s="173"/>
      <c r="I95" s="181"/>
      <c r="J95" s="181"/>
      <c r="K95" s="182"/>
      <c r="L95" s="183"/>
      <c r="M95" s="181"/>
      <c r="N95" s="181"/>
      <c r="O95" s="182"/>
      <c r="P95" s="184"/>
      <c r="Q95" s="181"/>
      <c r="R95" s="181"/>
      <c r="S95" s="182"/>
      <c r="T95" s="184"/>
      <c r="U95" s="181"/>
      <c r="V95" s="181"/>
      <c r="W95" s="182"/>
      <c r="X95" s="184"/>
      <c r="Y95" s="181"/>
      <c r="Z95" s="181"/>
      <c r="AA95" s="182"/>
      <c r="AB95" s="184"/>
      <c r="AC95" s="181"/>
      <c r="AD95" s="181"/>
      <c r="AE95" s="182"/>
      <c r="AF95" s="184"/>
      <c r="AG95" s="181"/>
      <c r="AH95" s="181"/>
      <c r="AI95" s="182"/>
      <c r="AJ95" s="192"/>
    </row>
    <row r="96" spans="2:36">
      <c r="B96" s="166"/>
      <c r="C96" s="167"/>
      <c r="D96" s="171"/>
      <c r="E96" s="171"/>
      <c r="F96" s="171"/>
      <c r="G96" s="172"/>
      <c r="H96" s="173"/>
      <c r="I96" s="181"/>
      <c r="J96" s="181"/>
      <c r="K96" s="182"/>
      <c r="L96" s="183"/>
      <c r="M96" s="181"/>
      <c r="N96" s="181"/>
      <c r="O96" s="182"/>
      <c r="P96" s="184"/>
      <c r="Q96" s="181"/>
      <c r="R96" s="181"/>
      <c r="S96" s="182"/>
      <c r="T96" s="184"/>
      <c r="U96" s="181"/>
      <c r="V96" s="181"/>
      <c r="W96" s="182"/>
      <c r="X96" s="184"/>
      <c r="Y96" s="181"/>
      <c r="Z96" s="181"/>
      <c r="AA96" s="182"/>
      <c r="AB96" s="184"/>
      <c r="AC96" s="181"/>
      <c r="AD96" s="181"/>
      <c r="AE96" s="182"/>
      <c r="AF96" s="184"/>
      <c r="AG96" s="181"/>
      <c r="AH96" s="181"/>
      <c r="AI96" s="182"/>
      <c r="AJ96" s="192"/>
    </row>
    <row r="97" spans="2:36">
      <c r="B97" s="166"/>
      <c r="C97" s="167"/>
      <c r="D97" s="171"/>
      <c r="E97" s="171"/>
      <c r="F97" s="171"/>
      <c r="G97" s="172"/>
      <c r="H97" s="173"/>
      <c r="I97" s="181"/>
      <c r="J97" s="181"/>
      <c r="K97" s="182"/>
      <c r="L97" s="183"/>
      <c r="M97" s="181"/>
      <c r="N97" s="181"/>
      <c r="O97" s="182"/>
      <c r="P97" s="184"/>
      <c r="Q97" s="181"/>
      <c r="R97" s="181"/>
      <c r="S97" s="182"/>
      <c r="T97" s="184"/>
      <c r="U97" s="181"/>
      <c r="V97" s="181"/>
      <c r="W97" s="182"/>
      <c r="X97" s="184"/>
      <c r="Y97" s="181"/>
      <c r="Z97" s="181"/>
      <c r="AA97" s="182"/>
      <c r="AB97" s="184"/>
      <c r="AC97" s="181"/>
      <c r="AD97" s="181"/>
      <c r="AE97" s="182"/>
      <c r="AF97" s="184"/>
      <c r="AG97" s="181"/>
      <c r="AH97" s="181"/>
      <c r="AI97" s="182"/>
      <c r="AJ97" s="192"/>
    </row>
    <row r="98" spans="2:36">
      <c r="B98" s="166"/>
      <c r="C98" s="167"/>
      <c r="D98" s="171"/>
      <c r="E98" s="171"/>
      <c r="F98" s="171"/>
      <c r="G98" s="172"/>
      <c r="H98" s="173"/>
      <c r="I98" s="181"/>
      <c r="J98" s="181"/>
      <c r="K98" s="182"/>
      <c r="L98" s="183"/>
      <c r="M98" s="181"/>
      <c r="N98" s="181"/>
      <c r="O98" s="182"/>
      <c r="P98" s="184"/>
      <c r="Q98" s="181"/>
      <c r="R98" s="181"/>
      <c r="S98" s="182"/>
      <c r="T98" s="184"/>
      <c r="U98" s="181"/>
      <c r="V98" s="181"/>
      <c r="W98" s="182"/>
      <c r="X98" s="184"/>
      <c r="Y98" s="181"/>
      <c r="Z98" s="181"/>
      <c r="AA98" s="182"/>
      <c r="AB98" s="184"/>
      <c r="AC98" s="181"/>
      <c r="AD98" s="181"/>
      <c r="AE98" s="182"/>
      <c r="AF98" s="184"/>
      <c r="AG98" s="181"/>
      <c r="AH98" s="181"/>
      <c r="AI98" s="182"/>
      <c r="AJ98" s="192"/>
    </row>
    <row r="99" spans="2:36">
      <c r="B99" s="166"/>
      <c r="C99" s="167"/>
      <c r="D99" s="171"/>
      <c r="E99" s="171"/>
      <c r="F99" s="171"/>
      <c r="G99" s="172"/>
      <c r="H99" s="173"/>
      <c r="I99" s="181"/>
      <c r="J99" s="181"/>
      <c r="K99" s="182"/>
      <c r="L99" s="183"/>
      <c r="M99" s="181"/>
      <c r="N99" s="181"/>
      <c r="O99" s="182"/>
      <c r="P99" s="184"/>
      <c r="Q99" s="181"/>
      <c r="R99" s="181"/>
      <c r="S99" s="182"/>
      <c r="T99" s="184"/>
      <c r="U99" s="181"/>
      <c r="V99" s="181"/>
      <c r="W99" s="182"/>
      <c r="X99" s="184"/>
      <c r="Y99" s="181"/>
      <c r="Z99" s="181"/>
      <c r="AA99" s="182"/>
      <c r="AB99" s="184"/>
      <c r="AC99" s="181"/>
      <c r="AD99" s="181"/>
      <c r="AE99" s="182"/>
      <c r="AF99" s="184"/>
      <c r="AG99" s="181"/>
      <c r="AH99" s="181"/>
      <c r="AI99" s="182"/>
      <c r="AJ99" s="192"/>
    </row>
    <row r="100" spans="2:36">
      <c r="B100" s="166"/>
      <c r="C100" s="167"/>
      <c r="D100" s="171"/>
      <c r="E100" s="171"/>
      <c r="F100" s="171"/>
      <c r="G100" s="172"/>
      <c r="H100" s="173"/>
      <c r="I100" s="181"/>
      <c r="J100" s="181"/>
      <c r="K100" s="182"/>
      <c r="L100" s="183"/>
      <c r="M100" s="181"/>
      <c r="N100" s="181"/>
      <c r="O100" s="182"/>
      <c r="P100" s="184"/>
      <c r="Q100" s="181"/>
      <c r="R100" s="181"/>
      <c r="S100" s="182"/>
      <c r="T100" s="184"/>
      <c r="U100" s="181"/>
      <c r="V100" s="181"/>
      <c r="W100" s="182"/>
      <c r="X100" s="184"/>
      <c r="Y100" s="181"/>
      <c r="Z100" s="181"/>
      <c r="AA100" s="182"/>
      <c r="AB100" s="184"/>
      <c r="AC100" s="181"/>
      <c r="AD100" s="181"/>
      <c r="AE100" s="182"/>
      <c r="AF100" s="184"/>
      <c r="AG100" s="181"/>
      <c r="AH100" s="181"/>
      <c r="AI100" s="182"/>
      <c r="AJ100" s="192"/>
    </row>
    <row r="101" spans="2:36">
      <c r="B101" s="166"/>
      <c r="C101" s="167"/>
      <c r="D101" s="171"/>
      <c r="E101" s="171"/>
      <c r="F101" s="171"/>
      <c r="G101" s="172"/>
      <c r="H101" s="173"/>
      <c r="I101" s="181"/>
      <c r="J101" s="181"/>
      <c r="K101" s="182"/>
      <c r="L101" s="183"/>
      <c r="M101" s="181"/>
      <c r="N101" s="181"/>
      <c r="O101" s="182"/>
      <c r="P101" s="184"/>
      <c r="Q101" s="181"/>
      <c r="R101" s="181"/>
      <c r="S101" s="182"/>
      <c r="T101" s="184"/>
      <c r="U101" s="181"/>
      <c r="V101" s="181"/>
      <c r="W101" s="182"/>
      <c r="X101" s="184"/>
      <c r="Y101" s="181"/>
      <c r="Z101" s="181"/>
      <c r="AA101" s="182"/>
      <c r="AB101" s="184"/>
      <c r="AC101" s="181"/>
      <c r="AD101" s="181"/>
      <c r="AE101" s="182"/>
      <c r="AF101" s="184"/>
      <c r="AG101" s="181"/>
      <c r="AH101" s="181"/>
      <c r="AI101" s="182"/>
      <c r="AJ101" s="192"/>
    </row>
    <row r="102" spans="2:36">
      <c r="B102" s="166"/>
      <c r="C102" s="167"/>
      <c r="D102" s="171"/>
      <c r="E102" s="171"/>
      <c r="F102" s="171"/>
      <c r="G102" s="172"/>
      <c r="H102" s="173"/>
      <c r="I102" s="181"/>
      <c r="J102" s="181"/>
      <c r="K102" s="182"/>
      <c r="L102" s="183"/>
      <c r="M102" s="181"/>
      <c r="N102" s="181"/>
      <c r="O102" s="182"/>
      <c r="P102" s="184"/>
      <c r="Q102" s="181"/>
      <c r="R102" s="181"/>
      <c r="S102" s="182"/>
      <c r="T102" s="184"/>
      <c r="U102" s="181"/>
      <c r="V102" s="181"/>
      <c r="W102" s="182"/>
      <c r="X102" s="184"/>
      <c r="Y102" s="181"/>
      <c r="Z102" s="181"/>
      <c r="AA102" s="182"/>
      <c r="AB102" s="184"/>
      <c r="AC102" s="181"/>
      <c r="AD102" s="181"/>
      <c r="AE102" s="182"/>
      <c r="AF102" s="184"/>
      <c r="AG102" s="181"/>
      <c r="AH102" s="181"/>
      <c r="AI102" s="182"/>
      <c r="AJ102" s="192"/>
    </row>
    <row r="103" spans="2:36">
      <c r="B103" s="166"/>
      <c r="C103" s="167"/>
      <c r="D103" s="171"/>
      <c r="E103" s="171"/>
      <c r="F103" s="171"/>
      <c r="G103" s="172"/>
      <c r="H103" s="173"/>
      <c r="I103" s="181"/>
      <c r="J103" s="181"/>
      <c r="K103" s="182"/>
      <c r="L103" s="183"/>
      <c r="M103" s="181"/>
      <c r="N103" s="181"/>
      <c r="O103" s="182"/>
      <c r="P103" s="184"/>
      <c r="Q103" s="181"/>
      <c r="R103" s="181"/>
      <c r="S103" s="182"/>
      <c r="T103" s="184"/>
      <c r="U103" s="181"/>
      <c r="V103" s="181"/>
      <c r="W103" s="182"/>
      <c r="X103" s="184"/>
      <c r="Y103" s="181"/>
      <c r="Z103" s="181"/>
      <c r="AA103" s="182"/>
      <c r="AB103" s="184"/>
      <c r="AC103" s="181"/>
      <c r="AD103" s="181"/>
      <c r="AE103" s="182"/>
      <c r="AF103" s="184"/>
      <c r="AG103" s="181"/>
      <c r="AH103" s="181"/>
      <c r="AI103" s="182"/>
      <c r="AJ103" s="192"/>
    </row>
    <row r="104" spans="2:36">
      <c r="B104" s="166"/>
      <c r="C104" s="167"/>
      <c r="D104" s="171"/>
      <c r="E104" s="171"/>
      <c r="F104" s="171"/>
      <c r="G104" s="172"/>
      <c r="H104" s="173"/>
      <c r="I104" s="181"/>
      <c r="J104" s="181"/>
      <c r="K104" s="182"/>
      <c r="L104" s="183"/>
      <c r="M104" s="181"/>
      <c r="N104" s="181"/>
      <c r="O104" s="182"/>
      <c r="P104" s="184"/>
      <c r="Q104" s="181"/>
      <c r="R104" s="181"/>
      <c r="S104" s="182"/>
      <c r="T104" s="184"/>
      <c r="U104" s="181"/>
      <c r="V104" s="181"/>
      <c r="W104" s="182"/>
      <c r="X104" s="184"/>
      <c r="Y104" s="181"/>
      <c r="Z104" s="181"/>
      <c r="AA104" s="182"/>
      <c r="AB104" s="184"/>
      <c r="AC104" s="181"/>
      <c r="AD104" s="181"/>
      <c r="AE104" s="182"/>
      <c r="AF104" s="184"/>
      <c r="AG104" s="181"/>
      <c r="AH104" s="181"/>
      <c r="AI104" s="182"/>
      <c r="AJ104" s="192"/>
    </row>
    <row r="105" spans="2:36">
      <c r="B105" s="166"/>
      <c r="C105" s="167"/>
      <c r="D105" s="171"/>
      <c r="E105" s="171"/>
      <c r="F105" s="171"/>
      <c r="G105" s="172"/>
      <c r="H105" s="173"/>
      <c r="I105" s="181"/>
      <c r="J105" s="181"/>
      <c r="K105" s="182"/>
      <c r="L105" s="183"/>
      <c r="M105" s="181"/>
      <c r="N105" s="181"/>
      <c r="O105" s="182"/>
      <c r="P105" s="184"/>
      <c r="Q105" s="181"/>
      <c r="R105" s="181"/>
      <c r="S105" s="182"/>
      <c r="T105" s="184"/>
      <c r="U105" s="181"/>
      <c r="V105" s="181"/>
      <c r="W105" s="182"/>
      <c r="X105" s="184"/>
      <c r="Y105" s="181"/>
      <c r="Z105" s="181"/>
      <c r="AA105" s="182"/>
      <c r="AB105" s="184"/>
      <c r="AC105" s="181"/>
      <c r="AD105" s="181"/>
      <c r="AE105" s="182"/>
      <c r="AF105" s="184"/>
      <c r="AG105" s="181"/>
      <c r="AH105" s="181"/>
      <c r="AI105" s="182"/>
      <c r="AJ105" s="192"/>
    </row>
    <row r="106" spans="2:36">
      <c r="B106" s="166"/>
      <c r="C106" s="167"/>
      <c r="D106" s="171"/>
      <c r="E106" s="171"/>
      <c r="F106" s="171"/>
      <c r="G106" s="172"/>
      <c r="H106" s="173"/>
      <c r="I106" s="181"/>
      <c r="J106" s="181"/>
      <c r="K106" s="182"/>
      <c r="L106" s="183"/>
      <c r="M106" s="181"/>
      <c r="N106" s="181"/>
      <c r="O106" s="182"/>
      <c r="P106" s="184"/>
      <c r="Q106" s="181"/>
      <c r="R106" s="181"/>
      <c r="S106" s="182"/>
      <c r="T106" s="184"/>
      <c r="U106" s="181"/>
      <c r="V106" s="181"/>
      <c r="W106" s="182"/>
      <c r="X106" s="184"/>
      <c r="Y106" s="181"/>
      <c r="Z106" s="181"/>
      <c r="AA106" s="182"/>
      <c r="AB106" s="184"/>
      <c r="AC106" s="181"/>
      <c r="AD106" s="181"/>
      <c r="AE106" s="182"/>
      <c r="AF106" s="184"/>
      <c r="AG106" s="181"/>
      <c r="AH106" s="181"/>
      <c r="AI106" s="182"/>
      <c r="AJ106" s="192"/>
    </row>
    <row r="107" spans="2:36">
      <c r="B107" s="166"/>
      <c r="C107" s="167"/>
      <c r="D107" s="171"/>
      <c r="E107" s="171"/>
      <c r="F107" s="171"/>
      <c r="G107" s="172"/>
      <c r="H107" s="173"/>
      <c r="I107" s="181"/>
      <c r="J107" s="181"/>
      <c r="K107" s="182"/>
      <c r="L107" s="183"/>
      <c r="M107" s="181"/>
      <c r="N107" s="181"/>
      <c r="O107" s="182"/>
      <c r="P107" s="184"/>
      <c r="Q107" s="181"/>
      <c r="R107" s="181"/>
      <c r="S107" s="182"/>
      <c r="T107" s="184"/>
      <c r="U107" s="181"/>
      <c r="V107" s="181"/>
      <c r="W107" s="182"/>
      <c r="X107" s="184"/>
      <c r="Y107" s="181"/>
      <c r="Z107" s="181"/>
      <c r="AA107" s="182"/>
      <c r="AB107" s="184"/>
      <c r="AC107" s="181"/>
      <c r="AD107" s="181"/>
      <c r="AE107" s="182"/>
      <c r="AF107" s="184"/>
      <c r="AG107" s="181"/>
      <c r="AH107" s="181"/>
      <c r="AI107" s="182"/>
      <c r="AJ107" s="192"/>
    </row>
    <row r="108" spans="2:36">
      <c r="B108" s="166"/>
      <c r="C108" s="167"/>
      <c r="D108" s="171"/>
      <c r="E108" s="171"/>
      <c r="F108" s="171"/>
      <c r="G108" s="172"/>
      <c r="H108" s="173"/>
      <c r="I108" s="181"/>
      <c r="J108" s="181"/>
      <c r="K108" s="182"/>
      <c r="L108" s="183"/>
      <c r="M108" s="181"/>
      <c r="N108" s="181"/>
      <c r="O108" s="182"/>
      <c r="P108" s="184"/>
      <c r="Q108" s="181"/>
      <c r="R108" s="181"/>
      <c r="S108" s="182"/>
      <c r="T108" s="184"/>
      <c r="U108" s="181"/>
      <c r="V108" s="181"/>
      <c r="W108" s="182"/>
      <c r="X108" s="184"/>
      <c r="Y108" s="181"/>
      <c r="Z108" s="181"/>
      <c r="AA108" s="182"/>
      <c r="AB108" s="184"/>
      <c r="AC108" s="181"/>
      <c r="AD108" s="181"/>
      <c r="AE108" s="182"/>
      <c r="AF108" s="184"/>
      <c r="AG108" s="181"/>
      <c r="AH108" s="181"/>
      <c r="AI108" s="182"/>
      <c r="AJ108" s="192"/>
    </row>
    <row r="109" spans="2:36">
      <c r="B109" s="166"/>
      <c r="C109" s="167"/>
      <c r="D109" s="171"/>
      <c r="E109" s="171"/>
      <c r="F109" s="171"/>
      <c r="G109" s="172"/>
      <c r="H109" s="173"/>
      <c r="I109" s="181"/>
      <c r="J109" s="181"/>
      <c r="K109" s="182"/>
      <c r="L109" s="183"/>
      <c r="M109" s="181"/>
      <c r="N109" s="181"/>
      <c r="O109" s="182"/>
      <c r="P109" s="184"/>
      <c r="Q109" s="181"/>
      <c r="R109" s="181"/>
      <c r="S109" s="182"/>
      <c r="T109" s="184"/>
      <c r="U109" s="181"/>
      <c r="V109" s="181"/>
      <c r="W109" s="182"/>
      <c r="X109" s="184"/>
      <c r="Y109" s="181"/>
      <c r="Z109" s="181"/>
      <c r="AA109" s="182"/>
      <c r="AB109" s="184"/>
      <c r="AC109" s="181"/>
      <c r="AD109" s="181"/>
      <c r="AE109" s="182"/>
      <c r="AF109" s="184"/>
      <c r="AG109" s="181"/>
      <c r="AH109" s="181"/>
      <c r="AI109" s="182"/>
      <c r="AJ109" s="192"/>
    </row>
    <row r="110" spans="2:36">
      <c r="B110" s="166"/>
      <c r="C110" s="167"/>
      <c r="D110" s="171"/>
      <c r="E110" s="171"/>
      <c r="F110" s="171"/>
      <c r="G110" s="172"/>
      <c r="H110" s="173"/>
      <c r="I110" s="181"/>
      <c r="J110" s="181"/>
      <c r="K110" s="182"/>
      <c r="L110" s="183"/>
      <c r="M110" s="181"/>
      <c r="N110" s="181"/>
      <c r="O110" s="182"/>
      <c r="P110" s="184"/>
      <c r="Q110" s="181"/>
      <c r="R110" s="181"/>
      <c r="S110" s="182"/>
      <c r="T110" s="184"/>
      <c r="U110" s="181"/>
      <c r="V110" s="181"/>
      <c r="W110" s="182"/>
      <c r="X110" s="184"/>
      <c r="Y110" s="181"/>
      <c r="Z110" s="181"/>
      <c r="AA110" s="182"/>
      <c r="AB110" s="184"/>
      <c r="AC110" s="181"/>
      <c r="AD110" s="181"/>
      <c r="AE110" s="182"/>
      <c r="AF110" s="184"/>
      <c r="AG110" s="181"/>
      <c r="AH110" s="181"/>
      <c r="AI110" s="182"/>
      <c r="AJ110" s="192"/>
    </row>
    <row r="111" spans="2:36">
      <c r="B111" s="166"/>
      <c r="C111" s="167"/>
      <c r="D111" s="171"/>
      <c r="E111" s="171"/>
      <c r="F111" s="171"/>
      <c r="G111" s="172"/>
      <c r="H111" s="173"/>
      <c r="I111" s="181"/>
      <c r="J111" s="181"/>
      <c r="K111" s="182"/>
      <c r="L111" s="183"/>
      <c r="M111" s="181"/>
      <c r="N111" s="181"/>
      <c r="O111" s="182"/>
      <c r="P111" s="184"/>
      <c r="Q111" s="181"/>
      <c r="R111" s="181"/>
      <c r="S111" s="182"/>
      <c r="T111" s="184"/>
      <c r="U111" s="181"/>
      <c r="V111" s="181"/>
      <c r="W111" s="182"/>
      <c r="X111" s="184"/>
      <c r="Y111" s="181"/>
      <c r="Z111" s="181"/>
      <c r="AA111" s="182"/>
      <c r="AB111" s="184"/>
      <c r="AC111" s="181"/>
      <c r="AD111" s="181"/>
      <c r="AE111" s="182"/>
      <c r="AF111" s="184"/>
      <c r="AG111" s="181"/>
      <c r="AH111" s="181"/>
      <c r="AI111" s="182"/>
      <c r="AJ111" s="192"/>
    </row>
    <row r="112" spans="2:36">
      <c r="B112" s="166"/>
      <c r="C112" s="167"/>
      <c r="D112" s="171"/>
      <c r="E112" s="171"/>
      <c r="F112" s="171"/>
      <c r="G112" s="172"/>
      <c r="H112" s="173"/>
      <c r="I112" s="181"/>
      <c r="J112" s="181"/>
      <c r="K112" s="182"/>
      <c r="L112" s="183"/>
      <c r="M112" s="181"/>
      <c r="N112" s="181"/>
      <c r="O112" s="182"/>
      <c r="P112" s="184"/>
      <c r="Q112" s="181"/>
      <c r="R112" s="181"/>
      <c r="S112" s="182"/>
      <c r="T112" s="184"/>
      <c r="U112" s="181"/>
      <c r="V112" s="181"/>
      <c r="W112" s="182"/>
      <c r="X112" s="184"/>
      <c r="Y112" s="181"/>
      <c r="Z112" s="181"/>
      <c r="AA112" s="182"/>
      <c r="AB112" s="184"/>
      <c r="AC112" s="181"/>
      <c r="AD112" s="181"/>
      <c r="AE112" s="182"/>
      <c r="AF112" s="184"/>
      <c r="AG112" s="181"/>
      <c r="AH112" s="181"/>
      <c r="AI112" s="182"/>
      <c r="AJ112" s="192"/>
    </row>
    <row r="113" spans="2:36">
      <c r="B113" s="166"/>
      <c r="C113" s="167"/>
      <c r="D113" s="171"/>
      <c r="E113" s="171"/>
      <c r="F113" s="171"/>
      <c r="G113" s="172"/>
      <c r="H113" s="173"/>
      <c r="I113" s="181"/>
      <c r="J113" s="181"/>
      <c r="K113" s="182"/>
      <c r="L113" s="183"/>
      <c r="M113" s="181"/>
      <c r="N113" s="181"/>
      <c r="O113" s="182"/>
      <c r="P113" s="184"/>
      <c r="Q113" s="181"/>
      <c r="R113" s="181"/>
      <c r="S113" s="182"/>
      <c r="T113" s="184"/>
      <c r="U113" s="181"/>
      <c r="V113" s="181"/>
      <c r="W113" s="182"/>
      <c r="X113" s="184"/>
      <c r="Y113" s="181"/>
      <c r="Z113" s="181"/>
      <c r="AA113" s="182"/>
      <c r="AB113" s="184"/>
      <c r="AC113" s="181"/>
      <c r="AD113" s="181"/>
      <c r="AE113" s="182"/>
      <c r="AF113" s="184"/>
      <c r="AG113" s="181"/>
      <c r="AH113" s="181"/>
      <c r="AI113" s="182"/>
      <c r="AJ113" s="192"/>
    </row>
    <row r="114" spans="2:36">
      <c r="B114" s="166"/>
      <c r="C114" s="167"/>
      <c r="D114" s="171"/>
      <c r="E114" s="171"/>
      <c r="F114" s="171"/>
      <c r="G114" s="172"/>
      <c r="H114" s="173"/>
      <c r="I114" s="181"/>
      <c r="J114" s="181"/>
      <c r="K114" s="182"/>
      <c r="L114" s="183"/>
      <c r="M114" s="181"/>
      <c r="N114" s="181"/>
      <c r="O114" s="182"/>
      <c r="P114" s="184"/>
      <c r="Q114" s="181"/>
      <c r="R114" s="181"/>
      <c r="S114" s="182"/>
      <c r="T114" s="184"/>
      <c r="U114" s="181"/>
      <c r="V114" s="181"/>
      <c r="W114" s="182"/>
      <c r="X114" s="184"/>
      <c r="Y114" s="181"/>
      <c r="Z114" s="181"/>
      <c r="AA114" s="182"/>
      <c r="AB114" s="184"/>
      <c r="AC114" s="181"/>
      <c r="AD114" s="181"/>
      <c r="AE114" s="182"/>
      <c r="AF114" s="184"/>
      <c r="AG114" s="181"/>
      <c r="AH114" s="181"/>
      <c r="AI114" s="182"/>
      <c r="AJ114" s="192"/>
    </row>
    <row r="115" spans="2:36">
      <c r="B115" s="166"/>
      <c r="C115" s="167"/>
      <c r="D115" s="171"/>
      <c r="E115" s="171"/>
      <c r="F115" s="171"/>
      <c r="G115" s="172"/>
      <c r="H115" s="173"/>
      <c r="I115" s="181"/>
      <c r="J115" s="181"/>
      <c r="K115" s="182"/>
      <c r="L115" s="183"/>
      <c r="M115" s="181"/>
      <c r="N115" s="181"/>
      <c r="O115" s="182"/>
      <c r="P115" s="184"/>
      <c r="Q115" s="181"/>
      <c r="R115" s="181"/>
      <c r="S115" s="182"/>
      <c r="T115" s="184"/>
      <c r="U115" s="181"/>
      <c r="V115" s="181"/>
      <c r="W115" s="182"/>
      <c r="X115" s="184"/>
      <c r="Y115" s="181"/>
      <c r="Z115" s="181"/>
      <c r="AA115" s="182"/>
      <c r="AB115" s="184"/>
      <c r="AC115" s="181"/>
      <c r="AD115" s="181"/>
      <c r="AE115" s="182"/>
      <c r="AF115" s="184"/>
      <c r="AG115" s="181"/>
      <c r="AH115" s="181"/>
      <c r="AI115" s="182"/>
      <c r="AJ115" s="192"/>
    </row>
    <row r="116" spans="2:36">
      <c r="B116" s="166"/>
      <c r="C116" s="167"/>
      <c r="D116" s="171"/>
      <c r="E116" s="171"/>
      <c r="F116" s="171"/>
      <c r="G116" s="172"/>
      <c r="H116" s="173"/>
      <c r="I116" s="181"/>
      <c r="J116" s="181"/>
      <c r="K116" s="182"/>
      <c r="L116" s="183"/>
      <c r="M116" s="181"/>
      <c r="N116" s="181"/>
      <c r="O116" s="182"/>
      <c r="P116" s="184"/>
      <c r="Q116" s="181"/>
      <c r="R116" s="181"/>
      <c r="S116" s="182"/>
      <c r="T116" s="184"/>
      <c r="U116" s="181"/>
      <c r="V116" s="181"/>
      <c r="W116" s="182"/>
      <c r="X116" s="184"/>
      <c r="Y116" s="181"/>
      <c r="Z116" s="181"/>
      <c r="AA116" s="182"/>
      <c r="AB116" s="184"/>
      <c r="AC116" s="181"/>
      <c r="AD116" s="181"/>
      <c r="AE116" s="182"/>
      <c r="AF116" s="184"/>
      <c r="AG116" s="181"/>
      <c r="AH116" s="181"/>
      <c r="AI116" s="182"/>
      <c r="AJ116" s="192"/>
    </row>
    <row r="117" spans="2:36">
      <c r="B117" s="166"/>
      <c r="C117" s="167"/>
      <c r="D117" s="171"/>
      <c r="E117" s="171"/>
      <c r="F117" s="171"/>
      <c r="G117" s="172"/>
      <c r="H117" s="173"/>
      <c r="I117" s="181"/>
      <c r="J117" s="181"/>
      <c r="K117" s="182"/>
      <c r="L117" s="183"/>
      <c r="M117" s="181"/>
      <c r="N117" s="181"/>
      <c r="O117" s="182"/>
      <c r="P117" s="184"/>
      <c r="Q117" s="181"/>
      <c r="R117" s="181"/>
      <c r="S117" s="182"/>
      <c r="T117" s="184"/>
      <c r="U117" s="181"/>
      <c r="V117" s="181"/>
      <c r="W117" s="182"/>
      <c r="X117" s="184"/>
      <c r="Y117" s="181"/>
      <c r="Z117" s="181"/>
      <c r="AA117" s="182"/>
      <c r="AB117" s="184"/>
      <c r="AC117" s="181"/>
      <c r="AD117" s="181"/>
      <c r="AE117" s="182"/>
      <c r="AF117" s="184"/>
      <c r="AG117" s="181"/>
      <c r="AH117" s="181"/>
      <c r="AI117" s="182"/>
      <c r="AJ117" s="192"/>
    </row>
    <row r="118" spans="2:36">
      <c r="B118" s="166"/>
      <c r="C118" s="167"/>
      <c r="D118" s="171"/>
      <c r="E118" s="171"/>
      <c r="F118" s="171"/>
      <c r="G118" s="172"/>
      <c r="H118" s="173"/>
      <c r="I118" s="181"/>
      <c r="J118" s="181"/>
      <c r="K118" s="182"/>
      <c r="L118" s="183"/>
      <c r="M118" s="181"/>
      <c r="N118" s="181"/>
      <c r="O118" s="182"/>
      <c r="P118" s="184"/>
      <c r="Q118" s="181"/>
      <c r="R118" s="181"/>
      <c r="S118" s="182"/>
      <c r="T118" s="184"/>
      <c r="U118" s="181"/>
      <c r="V118" s="181"/>
      <c r="W118" s="182"/>
      <c r="X118" s="184"/>
      <c r="Y118" s="181"/>
      <c r="Z118" s="181"/>
      <c r="AA118" s="182"/>
      <c r="AB118" s="184"/>
      <c r="AC118" s="181"/>
      <c r="AD118" s="181"/>
      <c r="AE118" s="182"/>
      <c r="AF118" s="184"/>
      <c r="AG118" s="181"/>
      <c r="AH118" s="181"/>
      <c r="AI118" s="182"/>
      <c r="AJ118" s="192"/>
    </row>
    <row r="119" spans="2:36">
      <c r="B119" s="166"/>
      <c r="C119" s="167"/>
      <c r="D119" s="171"/>
      <c r="E119" s="171"/>
      <c r="F119" s="171"/>
      <c r="G119" s="172"/>
      <c r="H119" s="173"/>
      <c r="I119" s="181"/>
      <c r="J119" s="181"/>
      <c r="K119" s="182"/>
      <c r="L119" s="183"/>
      <c r="M119" s="181"/>
      <c r="N119" s="181"/>
      <c r="O119" s="182"/>
      <c r="P119" s="184"/>
      <c r="Q119" s="181"/>
      <c r="R119" s="181"/>
      <c r="S119" s="182"/>
      <c r="T119" s="184"/>
      <c r="U119" s="181"/>
      <c r="V119" s="181"/>
      <c r="W119" s="182"/>
      <c r="X119" s="184"/>
      <c r="Y119" s="181"/>
      <c r="Z119" s="181"/>
      <c r="AA119" s="182"/>
      <c r="AB119" s="184"/>
      <c r="AC119" s="181"/>
      <c r="AD119" s="181"/>
      <c r="AE119" s="182"/>
      <c r="AF119" s="184"/>
      <c r="AG119" s="181"/>
      <c r="AH119" s="181"/>
      <c r="AI119" s="182"/>
      <c r="AJ119" s="192"/>
    </row>
    <row r="120" spans="2:36">
      <c r="B120" s="166"/>
      <c r="C120" s="167"/>
      <c r="D120" s="171"/>
      <c r="E120" s="171"/>
      <c r="F120" s="171"/>
      <c r="G120" s="172"/>
      <c r="H120" s="173"/>
      <c r="I120" s="181"/>
      <c r="J120" s="181"/>
      <c r="K120" s="182"/>
      <c r="L120" s="183"/>
      <c r="M120" s="181"/>
      <c r="N120" s="181"/>
      <c r="O120" s="182"/>
      <c r="P120" s="184"/>
      <c r="Q120" s="181"/>
      <c r="R120" s="181"/>
      <c r="S120" s="182"/>
      <c r="T120" s="184"/>
      <c r="U120" s="181"/>
      <c r="V120" s="181"/>
      <c r="W120" s="182"/>
      <c r="X120" s="184"/>
      <c r="Y120" s="181"/>
      <c r="Z120" s="181"/>
      <c r="AA120" s="182"/>
      <c r="AB120" s="184"/>
      <c r="AC120" s="181"/>
      <c r="AD120" s="181"/>
      <c r="AE120" s="182"/>
      <c r="AF120" s="184"/>
      <c r="AG120" s="181"/>
      <c r="AH120" s="181"/>
      <c r="AI120" s="182"/>
      <c r="AJ120" s="192"/>
    </row>
    <row r="121" spans="2:36">
      <c r="B121" s="166"/>
      <c r="C121" s="167"/>
      <c r="D121" s="171"/>
      <c r="E121" s="171"/>
      <c r="F121" s="171"/>
      <c r="G121" s="172"/>
      <c r="H121" s="173"/>
      <c r="I121" s="181"/>
      <c r="J121" s="181"/>
      <c r="K121" s="182"/>
      <c r="L121" s="183"/>
      <c r="M121" s="181"/>
      <c r="N121" s="181"/>
      <c r="O121" s="182"/>
      <c r="P121" s="184"/>
      <c r="Q121" s="181"/>
      <c r="R121" s="181"/>
      <c r="S121" s="182"/>
      <c r="T121" s="184"/>
      <c r="U121" s="181"/>
      <c r="V121" s="181"/>
      <c r="W121" s="182"/>
      <c r="X121" s="184"/>
      <c r="Y121" s="181"/>
      <c r="Z121" s="181"/>
      <c r="AA121" s="182"/>
      <c r="AB121" s="184"/>
      <c r="AC121" s="181"/>
      <c r="AD121" s="181"/>
      <c r="AE121" s="182"/>
      <c r="AF121" s="184"/>
      <c r="AG121" s="181"/>
      <c r="AH121" s="181"/>
      <c r="AI121" s="182"/>
      <c r="AJ121" s="192"/>
    </row>
    <row r="122" spans="2:36">
      <c r="B122" s="166"/>
      <c r="C122" s="167"/>
      <c r="D122" s="171"/>
      <c r="E122" s="171"/>
      <c r="F122" s="171"/>
      <c r="G122" s="172"/>
      <c r="H122" s="173"/>
      <c r="I122" s="181"/>
      <c r="J122" s="181"/>
      <c r="K122" s="182"/>
      <c r="L122" s="183"/>
      <c r="M122" s="181"/>
      <c r="N122" s="181"/>
      <c r="O122" s="182"/>
      <c r="P122" s="184"/>
      <c r="Q122" s="181"/>
      <c r="R122" s="181"/>
      <c r="S122" s="182"/>
      <c r="T122" s="184"/>
      <c r="U122" s="181"/>
      <c r="V122" s="181"/>
      <c r="W122" s="182"/>
      <c r="X122" s="184"/>
      <c r="Y122" s="181"/>
      <c r="Z122" s="181"/>
      <c r="AA122" s="182"/>
      <c r="AB122" s="184"/>
      <c r="AC122" s="181"/>
      <c r="AD122" s="181"/>
      <c r="AE122" s="182"/>
      <c r="AF122" s="184"/>
      <c r="AG122" s="181"/>
      <c r="AH122" s="181"/>
      <c r="AI122" s="182"/>
      <c r="AJ122" s="192"/>
    </row>
    <row r="123" spans="2:36">
      <c r="B123" s="166"/>
      <c r="C123" s="167"/>
      <c r="D123" s="171"/>
      <c r="E123" s="171"/>
      <c r="F123" s="171"/>
      <c r="G123" s="172"/>
      <c r="H123" s="173"/>
      <c r="I123" s="181"/>
      <c r="J123" s="181"/>
      <c r="K123" s="182"/>
      <c r="L123" s="183"/>
      <c r="M123" s="181"/>
      <c r="N123" s="181"/>
      <c r="O123" s="182"/>
      <c r="P123" s="184"/>
      <c r="Q123" s="181"/>
      <c r="R123" s="181"/>
      <c r="S123" s="182"/>
      <c r="T123" s="184"/>
      <c r="U123" s="181"/>
      <c r="V123" s="181"/>
      <c r="W123" s="182"/>
      <c r="X123" s="184"/>
      <c r="Y123" s="181"/>
      <c r="Z123" s="181"/>
      <c r="AA123" s="182"/>
      <c r="AB123" s="184"/>
      <c r="AC123" s="181"/>
      <c r="AD123" s="181"/>
      <c r="AE123" s="182"/>
      <c r="AF123" s="184"/>
      <c r="AG123" s="181"/>
      <c r="AH123" s="181"/>
      <c r="AI123" s="182"/>
      <c r="AJ123" s="192"/>
    </row>
    <row r="124" spans="2:36">
      <c r="B124" s="166"/>
      <c r="C124" s="167"/>
      <c r="D124" s="171"/>
      <c r="E124" s="171"/>
      <c r="F124" s="171"/>
      <c r="G124" s="172"/>
      <c r="H124" s="173"/>
      <c r="I124" s="181"/>
      <c r="J124" s="181"/>
      <c r="K124" s="182"/>
      <c r="L124" s="183"/>
      <c r="M124" s="181"/>
      <c r="N124" s="181"/>
      <c r="O124" s="182"/>
      <c r="P124" s="184"/>
      <c r="Q124" s="181"/>
      <c r="R124" s="181"/>
      <c r="S124" s="182"/>
      <c r="T124" s="184"/>
      <c r="U124" s="181"/>
      <c r="V124" s="181"/>
      <c r="W124" s="182"/>
      <c r="X124" s="184"/>
      <c r="Y124" s="181"/>
      <c r="Z124" s="181"/>
      <c r="AA124" s="182"/>
      <c r="AB124" s="184"/>
      <c r="AC124" s="181"/>
      <c r="AD124" s="181"/>
      <c r="AE124" s="182"/>
      <c r="AF124" s="184"/>
      <c r="AG124" s="181"/>
      <c r="AH124" s="181"/>
      <c r="AI124" s="182"/>
      <c r="AJ124" s="192"/>
    </row>
    <row r="125" spans="2:36">
      <c r="B125" s="166"/>
      <c r="C125" s="167"/>
      <c r="D125" s="171"/>
      <c r="E125" s="171"/>
      <c r="F125" s="171"/>
      <c r="G125" s="172"/>
      <c r="H125" s="173"/>
      <c r="I125" s="181"/>
      <c r="J125" s="181"/>
      <c r="K125" s="182"/>
      <c r="L125" s="183"/>
      <c r="M125" s="181"/>
      <c r="N125" s="181"/>
      <c r="O125" s="182"/>
      <c r="P125" s="184"/>
      <c r="Q125" s="181"/>
      <c r="R125" s="181"/>
      <c r="S125" s="182"/>
      <c r="T125" s="184"/>
      <c r="U125" s="181"/>
      <c r="V125" s="181"/>
      <c r="W125" s="182"/>
      <c r="X125" s="184"/>
      <c r="Y125" s="181"/>
      <c r="Z125" s="181"/>
      <c r="AA125" s="182"/>
      <c r="AB125" s="184"/>
      <c r="AC125" s="181"/>
      <c r="AD125" s="181"/>
      <c r="AE125" s="182"/>
      <c r="AF125" s="184"/>
      <c r="AG125" s="181"/>
      <c r="AH125" s="181"/>
      <c r="AI125" s="182"/>
      <c r="AJ125" s="192"/>
    </row>
    <row r="126" spans="2:36">
      <c r="B126" s="166"/>
      <c r="C126" s="167"/>
      <c r="D126" s="171"/>
      <c r="E126" s="171"/>
      <c r="F126" s="171"/>
      <c r="G126" s="172"/>
      <c r="H126" s="173"/>
      <c r="I126" s="181"/>
      <c r="J126" s="181"/>
      <c r="K126" s="182"/>
      <c r="L126" s="183"/>
      <c r="M126" s="181"/>
      <c r="N126" s="181"/>
      <c r="O126" s="182"/>
      <c r="P126" s="184"/>
      <c r="Q126" s="181"/>
      <c r="R126" s="181"/>
      <c r="S126" s="182"/>
      <c r="T126" s="184"/>
      <c r="U126" s="181"/>
      <c r="V126" s="181"/>
      <c r="W126" s="182"/>
      <c r="X126" s="184"/>
      <c r="Y126" s="181"/>
      <c r="Z126" s="181"/>
      <c r="AA126" s="182"/>
      <c r="AB126" s="184"/>
      <c r="AC126" s="181"/>
      <c r="AD126" s="181"/>
      <c r="AE126" s="182"/>
      <c r="AF126" s="184"/>
      <c r="AG126" s="181"/>
      <c r="AH126" s="181"/>
      <c r="AI126" s="182"/>
      <c r="AJ126" s="192"/>
    </row>
    <row r="127" spans="2:36">
      <c r="B127" s="166"/>
      <c r="C127" s="167"/>
      <c r="D127" s="171"/>
      <c r="E127" s="171"/>
      <c r="F127" s="171"/>
      <c r="G127" s="172"/>
      <c r="H127" s="173"/>
      <c r="I127" s="181"/>
      <c r="J127" s="181"/>
      <c r="K127" s="182"/>
      <c r="L127" s="183"/>
      <c r="M127" s="181"/>
      <c r="N127" s="181"/>
      <c r="O127" s="182"/>
      <c r="P127" s="184"/>
      <c r="Q127" s="181"/>
      <c r="R127" s="181"/>
      <c r="S127" s="182"/>
      <c r="T127" s="184"/>
      <c r="U127" s="181"/>
      <c r="V127" s="181"/>
      <c r="W127" s="182"/>
      <c r="X127" s="184"/>
      <c r="Y127" s="181"/>
      <c r="Z127" s="181"/>
      <c r="AA127" s="182"/>
      <c r="AB127" s="184"/>
      <c r="AC127" s="181"/>
      <c r="AD127" s="181"/>
      <c r="AE127" s="182"/>
      <c r="AF127" s="184"/>
      <c r="AG127" s="181"/>
      <c r="AH127" s="181"/>
      <c r="AI127" s="182"/>
      <c r="AJ127" s="192"/>
    </row>
    <row r="128" spans="2:36">
      <c r="B128" s="166"/>
      <c r="C128" s="167"/>
      <c r="D128" s="171"/>
      <c r="E128" s="171"/>
      <c r="F128" s="171"/>
      <c r="G128" s="172"/>
      <c r="H128" s="173"/>
      <c r="I128" s="181"/>
      <c r="J128" s="181"/>
      <c r="K128" s="182"/>
      <c r="L128" s="183"/>
      <c r="M128" s="181"/>
      <c r="N128" s="181"/>
      <c r="O128" s="182"/>
      <c r="P128" s="184"/>
      <c r="Q128" s="181"/>
      <c r="R128" s="181"/>
      <c r="S128" s="182"/>
      <c r="T128" s="184"/>
      <c r="U128" s="181"/>
      <c r="V128" s="181"/>
      <c r="W128" s="182"/>
      <c r="X128" s="184"/>
      <c r="Y128" s="181"/>
      <c r="Z128" s="181"/>
      <c r="AA128" s="182"/>
      <c r="AB128" s="184"/>
      <c r="AC128" s="181"/>
      <c r="AD128" s="181"/>
      <c r="AE128" s="182"/>
      <c r="AF128" s="184"/>
      <c r="AG128" s="181"/>
      <c r="AH128" s="181"/>
      <c r="AI128" s="182"/>
      <c r="AJ128" s="192"/>
    </row>
    <row r="129" spans="2:36">
      <c r="B129" s="166"/>
      <c r="C129" s="167"/>
      <c r="D129" s="171"/>
      <c r="E129" s="171"/>
      <c r="F129" s="171"/>
      <c r="G129" s="172"/>
      <c r="H129" s="173"/>
      <c r="I129" s="181"/>
      <c r="J129" s="181"/>
      <c r="K129" s="182"/>
      <c r="L129" s="183"/>
      <c r="M129" s="181"/>
      <c r="N129" s="181"/>
      <c r="O129" s="182"/>
      <c r="P129" s="184"/>
      <c r="Q129" s="181"/>
      <c r="R129" s="181"/>
      <c r="S129" s="182"/>
      <c r="T129" s="184"/>
      <c r="U129" s="181"/>
      <c r="V129" s="181"/>
      <c r="W129" s="182"/>
      <c r="X129" s="184"/>
      <c r="Y129" s="181"/>
      <c r="Z129" s="181"/>
      <c r="AA129" s="182"/>
      <c r="AB129" s="184"/>
      <c r="AC129" s="181"/>
      <c r="AD129" s="181"/>
      <c r="AE129" s="182"/>
      <c r="AF129" s="184"/>
      <c r="AG129" s="181"/>
      <c r="AH129" s="181"/>
      <c r="AI129" s="182"/>
      <c r="AJ129" s="192"/>
    </row>
    <row r="130" spans="2:36">
      <c r="B130" s="166"/>
      <c r="C130" s="167"/>
      <c r="D130" s="171"/>
      <c r="E130" s="171"/>
      <c r="F130" s="171"/>
      <c r="G130" s="172"/>
      <c r="H130" s="173"/>
      <c r="I130" s="181"/>
      <c r="J130" s="181"/>
      <c r="K130" s="182"/>
      <c r="L130" s="183"/>
      <c r="M130" s="181"/>
      <c r="N130" s="181"/>
      <c r="O130" s="182"/>
      <c r="P130" s="184"/>
      <c r="Q130" s="181"/>
      <c r="R130" s="181"/>
      <c r="S130" s="182"/>
      <c r="T130" s="184"/>
      <c r="U130" s="181"/>
      <c r="V130" s="181"/>
      <c r="W130" s="182"/>
      <c r="X130" s="184"/>
      <c r="Y130" s="181"/>
      <c r="Z130" s="181"/>
      <c r="AA130" s="182"/>
      <c r="AB130" s="184"/>
      <c r="AC130" s="181"/>
      <c r="AD130" s="181"/>
      <c r="AE130" s="182"/>
      <c r="AF130" s="184"/>
      <c r="AG130" s="181"/>
      <c r="AH130" s="181"/>
      <c r="AI130" s="182"/>
      <c r="AJ130" s="192"/>
    </row>
    <row r="131" spans="2:36">
      <c r="B131" s="166"/>
      <c r="C131" s="167"/>
      <c r="D131" s="171"/>
      <c r="E131" s="171"/>
      <c r="F131" s="171"/>
      <c r="G131" s="172"/>
      <c r="H131" s="173"/>
      <c r="I131" s="181"/>
      <c r="J131" s="181"/>
      <c r="K131" s="182"/>
      <c r="L131" s="183"/>
      <c r="M131" s="181"/>
      <c r="N131" s="181"/>
      <c r="O131" s="182"/>
      <c r="P131" s="184"/>
      <c r="Q131" s="181"/>
      <c r="R131" s="181"/>
      <c r="S131" s="182"/>
      <c r="T131" s="184"/>
      <c r="U131" s="181"/>
      <c r="V131" s="181"/>
      <c r="W131" s="182"/>
      <c r="X131" s="184"/>
      <c r="Y131" s="181"/>
      <c r="Z131" s="181"/>
      <c r="AA131" s="182"/>
      <c r="AB131" s="184"/>
      <c r="AC131" s="181"/>
      <c r="AD131" s="181"/>
      <c r="AE131" s="182"/>
      <c r="AF131" s="184"/>
      <c r="AG131" s="181"/>
      <c r="AH131" s="181"/>
      <c r="AI131" s="182"/>
      <c r="AJ131" s="192"/>
    </row>
    <row r="132" spans="2:36">
      <c r="B132" s="166"/>
      <c r="C132" s="167"/>
      <c r="D132" s="171"/>
      <c r="E132" s="171"/>
      <c r="F132" s="171"/>
      <c r="G132" s="172"/>
      <c r="H132" s="173"/>
      <c r="I132" s="181"/>
      <c r="J132" s="181"/>
      <c r="K132" s="182"/>
      <c r="L132" s="183"/>
      <c r="M132" s="181"/>
      <c r="N132" s="181"/>
      <c r="O132" s="182"/>
      <c r="P132" s="184"/>
      <c r="Q132" s="181"/>
      <c r="R132" s="181"/>
      <c r="S132" s="182"/>
      <c r="T132" s="184"/>
      <c r="U132" s="181"/>
      <c r="V132" s="181"/>
      <c r="W132" s="182"/>
      <c r="X132" s="184"/>
      <c r="Y132" s="181"/>
      <c r="Z132" s="181"/>
      <c r="AA132" s="182"/>
      <c r="AB132" s="184"/>
      <c r="AC132" s="181"/>
      <c r="AD132" s="181"/>
      <c r="AE132" s="182"/>
      <c r="AF132" s="184"/>
      <c r="AG132" s="181"/>
      <c r="AH132" s="181"/>
      <c r="AI132" s="182"/>
      <c r="AJ132" s="192"/>
    </row>
    <row r="133" spans="2:36">
      <c r="B133" s="166"/>
      <c r="C133" s="167"/>
      <c r="D133" s="171"/>
      <c r="E133" s="171"/>
      <c r="F133" s="171"/>
      <c r="G133" s="172"/>
      <c r="H133" s="173"/>
      <c r="I133" s="181"/>
      <c r="J133" s="181"/>
      <c r="K133" s="182"/>
      <c r="L133" s="183"/>
      <c r="M133" s="181"/>
      <c r="N133" s="181"/>
      <c r="O133" s="182"/>
      <c r="P133" s="184"/>
      <c r="Q133" s="181"/>
      <c r="R133" s="181"/>
      <c r="S133" s="182"/>
      <c r="T133" s="184"/>
      <c r="U133" s="181"/>
      <c r="V133" s="181"/>
      <c r="W133" s="182"/>
      <c r="X133" s="184"/>
      <c r="Y133" s="181"/>
      <c r="Z133" s="181"/>
      <c r="AA133" s="182"/>
      <c r="AB133" s="184"/>
      <c r="AC133" s="181"/>
      <c r="AD133" s="181"/>
      <c r="AE133" s="182"/>
      <c r="AF133" s="184"/>
      <c r="AG133" s="181"/>
      <c r="AH133" s="181"/>
      <c r="AI133" s="182"/>
      <c r="AJ133" s="192"/>
    </row>
    <row r="134" spans="2:36">
      <c r="B134" s="166"/>
      <c r="C134" s="167"/>
      <c r="D134" s="171"/>
      <c r="E134" s="171"/>
      <c r="F134" s="171"/>
      <c r="G134" s="172"/>
      <c r="H134" s="173"/>
      <c r="I134" s="181"/>
      <c r="J134" s="181"/>
      <c r="K134" s="182"/>
      <c r="L134" s="183"/>
      <c r="M134" s="181"/>
      <c r="N134" s="181"/>
      <c r="O134" s="182"/>
      <c r="P134" s="184"/>
      <c r="Q134" s="181"/>
      <c r="R134" s="181"/>
      <c r="S134" s="182"/>
      <c r="T134" s="184"/>
      <c r="U134" s="181"/>
      <c r="V134" s="181"/>
      <c r="W134" s="182"/>
      <c r="X134" s="184"/>
      <c r="Y134" s="181"/>
      <c r="Z134" s="181"/>
      <c r="AA134" s="182"/>
      <c r="AB134" s="184"/>
      <c r="AC134" s="181"/>
      <c r="AD134" s="181"/>
      <c r="AE134" s="182"/>
      <c r="AF134" s="184"/>
      <c r="AG134" s="181"/>
      <c r="AH134" s="181"/>
      <c r="AI134" s="182"/>
      <c r="AJ134" s="192"/>
    </row>
    <row r="135" spans="2:36">
      <c r="B135" s="166"/>
      <c r="C135" s="167"/>
      <c r="D135" s="171"/>
      <c r="E135" s="171"/>
      <c r="F135" s="171"/>
      <c r="G135" s="172"/>
      <c r="H135" s="173"/>
      <c r="I135" s="181"/>
      <c r="J135" s="181"/>
      <c r="K135" s="182"/>
      <c r="L135" s="183"/>
      <c r="M135" s="181"/>
      <c r="N135" s="181"/>
      <c r="O135" s="182"/>
      <c r="P135" s="184"/>
      <c r="Q135" s="181"/>
      <c r="R135" s="181"/>
      <c r="S135" s="182"/>
      <c r="T135" s="184"/>
      <c r="U135" s="181"/>
      <c r="V135" s="181"/>
      <c r="W135" s="182"/>
      <c r="X135" s="184"/>
      <c r="Y135" s="181"/>
      <c r="Z135" s="181"/>
      <c r="AA135" s="182"/>
      <c r="AB135" s="184"/>
      <c r="AC135" s="181"/>
      <c r="AD135" s="181"/>
      <c r="AE135" s="182"/>
      <c r="AF135" s="184"/>
      <c r="AG135" s="181"/>
      <c r="AH135" s="181"/>
      <c r="AI135" s="182"/>
      <c r="AJ135" s="192"/>
    </row>
    <row r="136" spans="2:36">
      <c r="B136" s="166"/>
      <c r="C136" s="167"/>
      <c r="D136" s="171"/>
      <c r="E136" s="171"/>
      <c r="F136" s="171"/>
      <c r="G136" s="172"/>
      <c r="H136" s="173"/>
      <c r="I136" s="181"/>
      <c r="J136" s="181"/>
      <c r="K136" s="182"/>
      <c r="L136" s="183"/>
      <c r="M136" s="181"/>
      <c r="N136" s="181"/>
      <c r="O136" s="182"/>
      <c r="P136" s="184"/>
      <c r="Q136" s="181"/>
      <c r="R136" s="181"/>
      <c r="S136" s="182"/>
      <c r="T136" s="184"/>
      <c r="U136" s="181"/>
      <c r="V136" s="181"/>
      <c r="W136" s="182"/>
      <c r="X136" s="184"/>
      <c r="Y136" s="181"/>
      <c r="Z136" s="181"/>
      <c r="AA136" s="182"/>
      <c r="AB136" s="184"/>
      <c r="AC136" s="181"/>
      <c r="AD136" s="181"/>
      <c r="AE136" s="182"/>
      <c r="AF136" s="184"/>
      <c r="AG136" s="181"/>
      <c r="AH136" s="181"/>
      <c r="AI136" s="182"/>
      <c r="AJ136" s="192"/>
    </row>
    <row r="137" spans="2:36">
      <c r="B137" s="166"/>
      <c r="C137" s="167"/>
      <c r="D137" s="171"/>
      <c r="E137" s="171"/>
      <c r="F137" s="171"/>
      <c r="G137" s="172"/>
      <c r="H137" s="173"/>
      <c r="I137" s="181"/>
      <c r="J137" s="181"/>
      <c r="K137" s="182"/>
      <c r="L137" s="183"/>
      <c r="M137" s="181"/>
      <c r="N137" s="181"/>
      <c r="O137" s="182"/>
      <c r="P137" s="184"/>
      <c r="Q137" s="181"/>
      <c r="R137" s="181"/>
      <c r="S137" s="182"/>
      <c r="T137" s="184"/>
      <c r="U137" s="181"/>
      <c r="V137" s="181"/>
      <c r="W137" s="182"/>
      <c r="X137" s="184"/>
      <c r="Y137" s="181"/>
      <c r="Z137" s="181"/>
      <c r="AA137" s="182"/>
      <c r="AB137" s="184"/>
      <c r="AC137" s="181"/>
      <c r="AD137" s="181"/>
      <c r="AE137" s="182"/>
      <c r="AF137" s="184"/>
      <c r="AG137" s="181"/>
      <c r="AH137" s="181"/>
      <c r="AI137" s="182"/>
      <c r="AJ137" s="192"/>
    </row>
    <row r="138" spans="2:36">
      <c r="B138" s="166"/>
      <c r="C138" s="167"/>
      <c r="D138" s="171"/>
      <c r="E138" s="171"/>
      <c r="F138" s="171"/>
      <c r="G138" s="172"/>
      <c r="H138" s="173"/>
      <c r="I138" s="181"/>
      <c r="J138" s="181"/>
      <c r="K138" s="182"/>
      <c r="L138" s="183"/>
      <c r="M138" s="181"/>
      <c r="N138" s="181"/>
      <c r="O138" s="182"/>
      <c r="P138" s="184"/>
      <c r="Q138" s="181"/>
      <c r="R138" s="181"/>
      <c r="S138" s="182"/>
      <c r="T138" s="184"/>
      <c r="U138" s="181"/>
      <c r="V138" s="181"/>
      <c r="W138" s="182"/>
      <c r="X138" s="184"/>
      <c r="Y138" s="181"/>
      <c r="Z138" s="181"/>
      <c r="AA138" s="182"/>
      <c r="AB138" s="184"/>
      <c r="AC138" s="181"/>
      <c r="AD138" s="181"/>
      <c r="AE138" s="182"/>
      <c r="AF138" s="184"/>
      <c r="AG138" s="181"/>
      <c r="AH138" s="181"/>
      <c r="AI138" s="182"/>
      <c r="AJ138" s="192"/>
    </row>
    <row r="139" spans="2:36">
      <c r="B139" s="166"/>
      <c r="C139" s="167"/>
      <c r="D139" s="171"/>
      <c r="E139" s="171"/>
      <c r="F139" s="171"/>
      <c r="G139" s="172"/>
      <c r="H139" s="173"/>
      <c r="I139" s="181"/>
      <c r="J139" s="181"/>
      <c r="K139" s="182"/>
      <c r="L139" s="183"/>
      <c r="M139" s="181"/>
      <c r="N139" s="181"/>
      <c r="O139" s="182"/>
      <c r="P139" s="184"/>
      <c r="Q139" s="181"/>
      <c r="R139" s="181"/>
      <c r="S139" s="182"/>
      <c r="T139" s="184"/>
      <c r="U139" s="181"/>
      <c r="V139" s="181"/>
      <c r="W139" s="182"/>
      <c r="X139" s="184"/>
      <c r="Y139" s="181"/>
      <c r="Z139" s="181"/>
      <c r="AA139" s="182"/>
      <c r="AB139" s="184"/>
      <c r="AC139" s="181"/>
      <c r="AD139" s="181"/>
      <c r="AE139" s="182"/>
      <c r="AF139" s="184"/>
      <c r="AG139" s="181"/>
      <c r="AH139" s="181"/>
      <c r="AI139" s="182"/>
      <c r="AJ139" s="192"/>
    </row>
    <row r="140" spans="2:36">
      <c r="B140" s="166"/>
      <c r="C140" s="167"/>
      <c r="D140" s="171"/>
      <c r="E140" s="171"/>
      <c r="F140" s="171"/>
      <c r="G140" s="172"/>
      <c r="H140" s="173"/>
      <c r="I140" s="181"/>
      <c r="J140" s="181"/>
      <c r="K140" s="182"/>
      <c r="L140" s="183"/>
      <c r="M140" s="181"/>
      <c r="N140" s="181"/>
      <c r="O140" s="182"/>
      <c r="P140" s="184"/>
      <c r="Q140" s="181"/>
      <c r="R140" s="181"/>
      <c r="S140" s="182"/>
      <c r="T140" s="184"/>
      <c r="U140" s="181"/>
      <c r="V140" s="181"/>
      <c r="W140" s="182"/>
      <c r="X140" s="184"/>
      <c r="Y140" s="181"/>
      <c r="Z140" s="181"/>
      <c r="AA140" s="182"/>
      <c r="AB140" s="184"/>
      <c r="AC140" s="181"/>
      <c r="AD140" s="181"/>
      <c r="AE140" s="182"/>
      <c r="AF140" s="184"/>
      <c r="AG140" s="181"/>
      <c r="AH140" s="181"/>
      <c r="AI140" s="182"/>
      <c r="AJ140" s="192"/>
    </row>
    <row r="141" spans="2:36">
      <c r="B141" s="166"/>
      <c r="C141" s="167"/>
      <c r="D141" s="171"/>
      <c r="E141" s="171"/>
      <c r="F141" s="171"/>
      <c r="G141" s="172"/>
      <c r="H141" s="173"/>
      <c r="I141" s="181"/>
      <c r="J141" s="181"/>
      <c r="K141" s="182"/>
      <c r="L141" s="183"/>
      <c r="M141" s="181"/>
      <c r="N141" s="181"/>
      <c r="O141" s="182"/>
      <c r="P141" s="184"/>
      <c r="Q141" s="181"/>
      <c r="R141" s="181"/>
      <c r="S141" s="182"/>
      <c r="T141" s="184"/>
      <c r="U141" s="181"/>
      <c r="V141" s="181"/>
      <c r="W141" s="182"/>
      <c r="X141" s="184"/>
      <c r="Y141" s="181"/>
      <c r="Z141" s="181"/>
      <c r="AA141" s="182"/>
      <c r="AB141" s="184"/>
      <c r="AC141" s="181"/>
      <c r="AD141" s="181"/>
      <c r="AE141" s="182"/>
      <c r="AF141" s="184"/>
      <c r="AG141" s="181"/>
      <c r="AH141" s="181"/>
      <c r="AI141" s="182"/>
      <c r="AJ141" s="192"/>
    </row>
    <row r="142" spans="2:36">
      <c r="B142" s="166"/>
      <c r="C142" s="167"/>
      <c r="D142" s="171"/>
      <c r="E142" s="171"/>
      <c r="F142" s="171"/>
      <c r="G142" s="172"/>
      <c r="H142" s="173"/>
      <c r="I142" s="181"/>
      <c r="J142" s="181"/>
      <c r="K142" s="182"/>
      <c r="L142" s="183"/>
      <c r="M142" s="181"/>
      <c r="N142" s="181"/>
      <c r="O142" s="182"/>
      <c r="P142" s="184"/>
      <c r="Q142" s="181"/>
      <c r="R142" s="181"/>
      <c r="S142" s="182"/>
      <c r="T142" s="184"/>
      <c r="U142" s="181"/>
      <c r="V142" s="181"/>
      <c r="W142" s="182"/>
      <c r="X142" s="184"/>
      <c r="Y142" s="181"/>
      <c r="Z142" s="181"/>
      <c r="AA142" s="182"/>
      <c r="AB142" s="184"/>
      <c r="AC142" s="181"/>
      <c r="AD142" s="181"/>
      <c r="AE142" s="182"/>
      <c r="AF142" s="184"/>
      <c r="AG142" s="181"/>
      <c r="AH142" s="181"/>
      <c r="AI142" s="182"/>
      <c r="AJ142" s="192"/>
    </row>
    <row r="143" spans="2:36">
      <c r="B143" s="166"/>
      <c r="C143" s="167"/>
      <c r="D143" s="171"/>
      <c r="E143" s="171"/>
      <c r="F143" s="171"/>
      <c r="G143" s="172"/>
      <c r="H143" s="173"/>
      <c r="I143" s="181"/>
      <c r="J143" s="181"/>
      <c r="K143" s="182"/>
      <c r="L143" s="183"/>
      <c r="M143" s="181"/>
      <c r="N143" s="181"/>
      <c r="O143" s="182"/>
      <c r="P143" s="184"/>
      <c r="Q143" s="181"/>
      <c r="R143" s="181"/>
      <c r="S143" s="182"/>
      <c r="T143" s="184"/>
      <c r="U143" s="181"/>
      <c r="V143" s="181"/>
      <c r="W143" s="182"/>
      <c r="X143" s="184"/>
      <c r="Y143" s="181"/>
      <c r="Z143" s="181"/>
      <c r="AA143" s="182"/>
      <c r="AB143" s="184"/>
      <c r="AC143" s="181"/>
      <c r="AD143" s="181"/>
      <c r="AE143" s="182"/>
      <c r="AF143" s="184"/>
      <c r="AG143" s="181"/>
      <c r="AH143" s="181"/>
      <c r="AI143" s="182"/>
      <c r="AJ143" s="192"/>
    </row>
    <row r="144" spans="2:36">
      <c r="B144" s="166"/>
      <c r="C144" s="167"/>
      <c r="D144" s="171"/>
      <c r="E144" s="171"/>
      <c r="F144" s="171"/>
      <c r="G144" s="172"/>
      <c r="H144" s="173"/>
      <c r="I144" s="181"/>
      <c r="J144" s="181"/>
      <c r="K144" s="182"/>
      <c r="L144" s="183"/>
      <c r="M144" s="181"/>
      <c r="N144" s="181"/>
      <c r="O144" s="182"/>
      <c r="P144" s="184"/>
      <c r="Q144" s="181"/>
      <c r="R144" s="181"/>
      <c r="S144" s="182"/>
      <c r="T144" s="184"/>
      <c r="U144" s="181"/>
      <c r="V144" s="181"/>
      <c r="W144" s="182"/>
      <c r="X144" s="184"/>
      <c r="Y144" s="181"/>
      <c r="Z144" s="181"/>
      <c r="AA144" s="182"/>
      <c r="AB144" s="184"/>
      <c r="AC144" s="181"/>
      <c r="AD144" s="181"/>
      <c r="AE144" s="182"/>
      <c r="AF144" s="184"/>
      <c r="AG144" s="181"/>
      <c r="AH144" s="181"/>
      <c r="AI144" s="182"/>
      <c r="AJ144" s="192"/>
    </row>
    <row r="145" spans="2:36">
      <c r="B145" s="166"/>
      <c r="C145" s="167"/>
      <c r="D145" s="171"/>
      <c r="E145" s="171"/>
      <c r="F145" s="171"/>
      <c r="G145" s="172"/>
      <c r="H145" s="173"/>
      <c r="I145" s="181"/>
      <c r="J145" s="181"/>
      <c r="K145" s="182"/>
      <c r="L145" s="183"/>
      <c r="M145" s="181"/>
      <c r="N145" s="181"/>
      <c r="O145" s="182"/>
      <c r="P145" s="184"/>
      <c r="Q145" s="181"/>
      <c r="R145" s="181"/>
      <c r="S145" s="182"/>
      <c r="T145" s="184"/>
      <c r="U145" s="181"/>
      <c r="V145" s="181"/>
      <c r="W145" s="182"/>
      <c r="X145" s="184"/>
      <c r="Y145" s="181"/>
      <c r="Z145" s="181"/>
      <c r="AA145" s="182"/>
      <c r="AB145" s="184"/>
      <c r="AC145" s="181"/>
      <c r="AD145" s="181"/>
      <c r="AE145" s="182"/>
      <c r="AF145" s="184"/>
      <c r="AG145" s="181"/>
      <c r="AH145" s="181"/>
      <c r="AI145" s="182"/>
      <c r="AJ145" s="192"/>
    </row>
    <row r="146" spans="2:36">
      <c r="B146" s="166"/>
      <c r="C146" s="167"/>
      <c r="D146" s="171"/>
      <c r="E146" s="171"/>
      <c r="F146" s="171"/>
      <c r="G146" s="172"/>
      <c r="H146" s="173"/>
      <c r="I146" s="181"/>
      <c r="J146" s="181"/>
      <c r="K146" s="182"/>
      <c r="L146" s="183"/>
      <c r="M146" s="181"/>
      <c r="N146" s="181"/>
      <c r="O146" s="182"/>
      <c r="P146" s="184"/>
      <c r="Q146" s="181"/>
      <c r="R146" s="181"/>
      <c r="S146" s="182"/>
      <c r="T146" s="184"/>
      <c r="U146" s="181"/>
      <c r="V146" s="181"/>
      <c r="W146" s="182"/>
      <c r="X146" s="184"/>
      <c r="Y146" s="181"/>
      <c r="Z146" s="181"/>
      <c r="AA146" s="182"/>
      <c r="AB146" s="184"/>
      <c r="AC146" s="181"/>
      <c r="AD146" s="181"/>
      <c r="AE146" s="182"/>
      <c r="AF146" s="184"/>
      <c r="AG146" s="181"/>
      <c r="AH146" s="181"/>
      <c r="AI146" s="182"/>
      <c r="AJ146" s="192"/>
    </row>
    <row r="147" spans="2:36">
      <c r="B147" s="166"/>
      <c r="C147" s="167"/>
      <c r="D147" s="171"/>
      <c r="E147" s="171"/>
      <c r="F147" s="171"/>
      <c r="G147" s="172"/>
      <c r="H147" s="173"/>
      <c r="I147" s="181"/>
      <c r="J147" s="181"/>
      <c r="K147" s="182"/>
      <c r="L147" s="183"/>
      <c r="M147" s="181"/>
      <c r="N147" s="181"/>
      <c r="O147" s="182"/>
      <c r="P147" s="184"/>
      <c r="Q147" s="181"/>
      <c r="R147" s="181"/>
      <c r="S147" s="182"/>
      <c r="T147" s="184"/>
      <c r="U147" s="181"/>
      <c r="V147" s="181"/>
      <c r="W147" s="182"/>
      <c r="X147" s="184"/>
      <c r="Y147" s="181"/>
      <c r="Z147" s="181"/>
      <c r="AA147" s="182"/>
      <c r="AB147" s="184"/>
      <c r="AC147" s="181"/>
      <c r="AD147" s="181"/>
      <c r="AE147" s="182"/>
      <c r="AF147" s="184"/>
      <c r="AG147" s="181"/>
      <c r="AH147" s="181"/>
      <c r="AI147" s="182"/>
      <c r="AJ147" s="192"/>
    </row>
    <row r="148" spans="2:36">
      <c r="B148" s="166"/>
      <c r="C148" s="167"/>
      <c r="D148" s="171"/>
      <c r="E148" s="171"/>
      <c r="F148" s="171"/>
      <c r="G148" s="172"/>
      <c r="H148" s="173"/>
      <c r="I148" s="181"/>
      <c r="J148" s="181"/>
      <c r="K148" s="182"/>
      <c r="L148" s="183"/>
      <c r="M148" s="181"/>
      <c r="N148" s="181"/>
      <c r="O148" s="182"/>
      <c r="P148" s="184"/>
      <c r="Q148" s="181"/>
      <c r="R148" s="181"/>
      <c r="S148" s="182"/>
      <c r="T148" s="184"/>
      <c r="U148" s="181"/>
      <c r="V148" s="181"/>
      <c r="W148" s="182"/>
      <c r="X148" s="184"/>
      <c r="Y148" s="181"/>
      <c r="Z148" s="181"/>
      <c r="AA148" s="182"/>
      <c r="AB148" s="184"/>
      <c r="AC148" s="181"/>
      <c r="AD148" s="181"/>
      <c r="AE148" s="182"/>
      <c r="AF148" s="184"/>
      <c r="AG148" s="181"/>
      <c r="AH148" s="181"/>
      <c r="AI148" s="182"/>
      <c r="AJ148" s="192"/>
    </row>
    <row r="149" spans="2:36">
      <c r="B149" s="166"/>
      <c r="C149" s="167"/>
      <c r="D149" s="171"/>
      <c r="E149" s="171"/>
      <c r="F149" s="171"/>
      <c r="G149" s="172"/>
      <c r="H149" s="173"/>
      <c r="I149" s="181"/>
      <c r="J149" s="181"/>
      <c r="K149" s="182"/>
      <c r="L149" s="183"/>
      <c r="M149" s="181"/>
      <c r="N149" s="181"/>
      <c r="O149" s="182"/>
      <c r="P149" s="184"/>
      <c r="Q149" s="181"/>
      <c r="R149" s="181"/>
      <c r="S149" s="182"/>
      <c r="T149" s="184"/>
      <c r="U149" s="181"/>
      <c r="V149" s="181"/>
      <c r="W149" s="182"/>
      <c r="X149" s="184"/>
      <c r="Y149" s="181"/>
      <c r="Z149" s="181"/>
      <c r="AA149" s="182"/>
      <c r="AB149" s="184"/>
      <c r="AC149" s="181"/>
      <c r="AD149" s="181"/>
      <c r="AE149" s="182"/>
      <c r="AF149" s="184"/>
      <c r="AG149" s="181"/>
      <c r="AH149" s="181"/>
      <c r="AI149" s="182"/>
      <c r="AJ149" s="192"/>
    </row>
    <row r="150" spans="2:36">
      <c r="B150" s="166"/>
      <c r="C150" s="167"/>
      <c r="D150" s="171"/>
      <c r="E150" s="171"/>
      <c r="F150" s="171"/>
      <c r="G150" s="172"/>
      <c r="H150" s="173"/>
      <c r="I150" s="181"/>
      <c r="J150" s="181"/>
      <c r="K150" s="182"/>
      <c r="L150" s="183"/>
      <c r="M150" s="181"/>
      <c r="N150" s="181"/>
      <c r="O150" s="182"/>
      <c r="P150" s="184"/>
      <c r="Q150" s="181"/>
      <c r="R150" s="181"/>
      <c r="S150" s="182"/>
      <c r="T150" s="184"/>
      <c r="U150" s="181"/>
      <c r="V150" s="181"/>
      <c r="W150" s="182"/>
      <c r="X150" s="184"/>
      <c r="Y150" s="181"/>
      <c r="Z150" s="181"/>
      <c r="AA150" s="182"/>
      <c r="AB150" s="184"/>
      <c r="AC150" s="181"/>
      <c r="AD150" s="181"/>
      <c r="AE150" s="182"/>
      <c r="AF150" s="184"/>
      <c r="AG150" s="181"/>
      <c r="AH150" s="181"/>
      <c r="AI150" s="182"/>
      <c r="AJ150" s="192"/>
    </row>
    <row r="151" spans="2:36">
      <c r="B151" s="166"/>
      <c r="C151" s="167"/>
      <c r="D151" s="171"/>
      <c r="E151" s="171"/>
      <c r="F151" s="171"/>
      <c r="G151" s="172"/>
      <c r="H151" s="173"/>
      <c r="I151" s="181"/>
      <c r="J151" s="181"/>
      <c r="K151" s="182"/>
      <c r="L151" s="183"/>
      <c r="M151" s="181"/>
      <c r="N151" s="181"/>
      <c r="O151" s="182"/>
      <c r="P151" s="184"/>
      <c r="Q151" s="181"/>
      <c r="R151" s="181"/>
      <c r="S151" s="182"/>
      <c r="T151" s="184"/>
      <c r="U151" s="181"/>
      <c r="V151" s="181"/>
      <c r="W151" s="182"/>
      <c r="X151" s="184"/>
      <c r="Y151" s="181"/>
      <c r="Z151" s="181"/>
      <c r="AA151" s="182"/>
      <c r="AB151" s="184"/>
      <c r="AC151" s="181"/>
      <c r="AD151" s="181"/>
      <c r="AE151" s="182"/>
      <c r="AF151" s="184"/>
      <c r="AG151" s="181"/>
      <c r="AH151" s="181"/>
      <c r="AI151" s="182"/>
      <c r="AJ151" s="192"/>
    </row>
    <row r="152" spans="2:36">
      <c r="B152" s="166"/>
      <c r="C152" s="167"/>
      <c r="D152" s="171"/>
      <c r="E152" s="171"/>
      <c r="F152" s="171"/>
      <c r="G152" s="172"/>
      <c r="H152" s="173"/>
      <c r="I152" s="181"/>
      <c r="J152" s="181"/>
      <c r="K152" s="182"/>
      <c r="L152" s="183"/>
      <c r="M152" s="181"/>
      <c r="N152" s="181"/>
      <c r="O152" s="182"/>
      <c r="P152" s="184"/>
      <c r="Q152" s="181"/>
      <c r="R152" s="181"/>
      <c r="S152" s="182"/>
      <c r="T152" s="184"/>
      <c r="U152" s="181"/>
      <c r="V152" s="181"/>
      <c r="W152" s="182"/>
      <c r="X152" s="184"/>
      <c r="Y152" s="181"/>
      <c r="Z152" s="181"/>
      <c r="AA152" s="182"/>
      <c r="AB152" s="184"/>
      <c r="AC152" s="181"/>
      <c r="AD152" s="181"/>
      <c r="AE152" s="182"/>
      <c r="AF152" s="184"/>
      <c r="AG152" s="181"/>
      <c r="AH152" s="181"/>
      <c r="AI152" s="182"/>
      <c r="AJ152" s="192"/>
    </row>
    <row r="153" spans="2:36">
      <c r="B153" s="166"/>
      <c r="C153" s="167"/>
      <c r="D153" s="171"/>
      <c r="E153" s="171"/>
      <c r="F153" s="171"/>
      <c r="G153" s="172"/>
      <c r="H153" s="173"/>
      <c r="I153" s="181"/>
      <c r="J153" s="181"/>
      <c r="K153" s="182"/>
      <c r="L153" s="183"/>
      <c r="M153" s="181"/>
      <c r="N153" s="181"/>
      <c r="O153" s="182"/>
      <c r="P153" s="184"/>
      <c r="Q153" s="181"/>
      <c r="R153" s="181"/>
      <c r="S153" s="182"/>
      <c r="T153" s="184"/>
      <c r="U153" s="181"/>
      <c r="V153" s="181"/>
      <c r="W153" s="182"/>
      <c r="X153" s="184"/>
      <c r="Y153" s="181"/>
      <c r="Z153" s="181"/>
      <c r="AA153" s="182"/>
      <c r="AB153" s="184"/>
      <c r="AC153" s="181"/>
      <c r="AD153" s="181"/>
      <c r="AE153" s="182"/>
      <c r="AF153" s="184"/>
      <c r="AG153" s="181"/>
      <c r="AH153" s="181"/>
      <c r="AI153" s="182"/>
      <c r="AJ153" s="192"/>
    </row>
    <row r="154" spans="2:36">
      <c r="B154" s="166"/>
      <c r="C154" s="167"/>
      <c r="D154" s="171"/>
      <c r="E154" s="171"/>
      <c r="F154" s="171"/>
      <c r="G154" s="172"/>
      <c r="H154" s="173"/>
      <c r="I154" s="181"/>
      <c r="J154" s="181"/>
      <c r="K154" s="182"/>
      <c r="L154" s="183"/>
      <c r="M154" s="181"/>
      <c r="N154" s="181"/>
      <c r="O154" s="182"/>
      <c r="P154" s="184"/>
      <c r="Q154" s="181"/>
      <c r="R154" s="181"/>
      <c r="S154" s="182"/>
      <c r="T154" s="184"/>
      <c r="U154" s="181"/>
      <c r="V154" s="181"/>
      <c r="W154" s="182"/>
      <c r="X154" s="184"/>
      <c r="Y154" s="181"/>
      <c r="Z154" s="181"/>
      <c r="AA154" s="182"/>
      <c r="AB154" s="184"/>
      <c r="AC154" s="181"/>
      <c r="AD154" s="181"/>
      <c r="AE154" s="182"/>
      <c r="AF154" s="184"/>
      <c r="AG154" s="181"/>
      <c r="AH154" s="181"/>
      <c r="AI154" s="182"/>
      <c r="AJ154" s="192"/>
    </row>
    <row r="155" spans="2:36">
      <c r="B155" s="166"/>
      <c r="C155" s="167"/>
      <c r="D155" s="171"/>
      <c r="E155" s="171"/>
      <c r="F155" s="171"/>
      <c r="G155" s="172"/>
      <c r="H155" s="173"/>
      <c r="I155" s="181"/>
      <c r="J155" s="181"/>
      <c r="K155" s="182"/>
      <c r="L155" s="183"/>
      <c r="M155" s="181"/>
      <c r="N155" s="181"/>
      <c r="O155" s="182"/>
      <c r="P155" s="184"/>
      <c r="Q155" s="181"/>
      <c r="R155" s="181"/>
      <c r="S155" s="182"/>
      <c r="T155" s="184"/>
      <c r="U155" s="181"/>
      <c r="V155" s="181"/>
      <c r="W155" s="182"/>
      <c r="X155" s="184"/>
      <c r="Y155" s="181"/>
      <c r="Z155" s="181"/>
      <c r="AA155" s="182"/>
      <c r="AB155" s="184"/>
      <c r="AC155" s="181"/>
      <c r="AD155" s="181"/>
      <c r="AE155" s="182"/>
      <c r="AF155" s="184"/>
      <c r="AG155" s="181"/>
      <c r="AH155" s="181"/>
      <c r="AI155" s="182"/>
      <c r="AJ155" s="192"/>
    </row>
    <row r="156" spans="2:36">
      <c r="B156" s="166"/>
      <c r="C156" s="167"/>
      <c r="D156" s="171"/>
      <c r="E156" s="171"/>
      <c r="F156" s="171"/>
      <c r="G156" s="172"/>
      <c r="H156" s="173"/>
      <c r="I156" s="181"/>
      <c r="J156" s="181"/>
      <c r="K156" s="182"/>
      <c r="L156" s="183"/>
      <c r="M156" s="181"/>
      <c r="N156" s="181"/>
      <c r="O156" s="182"/>
      <c r="P156" s="184"/>
      <c r="Q156" s="181"/>
      <c r="R156" s="181"/>
      <c r="S156" s="182"/>
      <c r="T156" s="184"/>
      <c r="U156" s="181"/>
      <c r="V156" s="181"/>
      <c r="W156" s="182"/>
      <c r="X156" s="184"/>
      <c r="Y156" s="181"/>
      <c r="Z156" s="181"/>
      <c r="AA156" s="182"/>
      <c r="AB156" s="184"/>
      <c r="AC156" s="181"/>
      <c r="AD156" s="181"/>
      <c r="AE156" s="182"/>
      <c r="AF156" s="184"/>
      <c r="AG156" s="181"/>
      <c r="AH156" s="181"/>
      <c r="AI156" s="182"/>
      <c r="AJ156" s="192"/>
    </row>
    <row r="157" spans="2:36">
      <c r="B157" s="166"/>
      <c r="C157" s="167"/>
      <c r="D157" s="171"/>
      <c r="E157" s="171"/>
      <c r="F157" s="171"/>
      <c r="G157" s="172"/>
      <c r="H157" s="173"/>
      <c r="I157" s="181"/>
      <c r="J157" s="181"/>
      <c r="K157" s="182"/>
      <c r="L157" s="183"/>
      <c r="M157" s="181"/>
      <c r="N157" s="181"/>
      <c r="O157" s="182"/>
      <c r="P157" s="184"/>
      <c r="Q157" s="181"/>
      <c r="R157" s="181"/>
      <c r="S157" s="182"/>
      <c r="T157" s="184"/>
      <c r="U157" s="181"/>
      <c r="V157" s="181"/>
      <c r="W157" s="182"/>
      <c r="X157" s="184"/>
      <c r="Y157" s="181"/>
      <c r="Z157" s="181"/>
      <c r="AA157" s="182"/>
      <c r="AB157" s="184"/>
      <c r="AC157" s="181"/>
      <c r="AD157" s="181"/>
      <c r="AE157" s="182"/>
      <c r="AF157" s="184"/>
      <c r="AG157" s="181"/>
      <c r="AH157" s="181"/>
      <c r="AI157" s="182"/>
      <c r="AJ157" s="192"/>
    </row>
    <row r="158" spans="2:36">
      <c r="B158" s="166"/>
      <c r="C158" s="167"/>
      <c r="D158" s="171"/>
      <c r="E158" s="171"/>
      <c r="F158" s="171"/>
      <c r="G158" s="172"/>
      <c r="H158" s="173"/>
      <c r="I158" s="181"/>
      <c r="J158" s="181"/>
      <c r="K158" s="182"/>
      <c r="L158" s="183"/>
      <c r="M158" s="181"/>
      <c r="N158" s="181"/>
      <c r="O158" s="182"/>
      <c r="P158" s="184"/>
      <c r="Q158" s="181"/>
      <c r="R158" s="181"/>
      <c r="S158" s="182"/>
      <c r="T158" s="184"/>
      <c r="U158" s="181"/>
      <c r="V158" s="181"/>
      <c r="W158" s="182"/>
      <c r="X158" s="184"/>
      <c r="Y158" s="181"/>
      <c r="Z158" s="181"/>
      <c r="AA158" s="182"/>
      <c r="AB158" s="184"/>
      <c r="AC158" s="181"/>
      <c r="AD158" s="181"/>
      <c r="AE158" s="182"/>
      <c r="AF158" s="184"/>
      <c r="AG158" s="181"/>
      <c r="AH158" s="181"/>
      <c r="AI158" s="182"/>
      <c r="AJ158" s="192"/>
    </row>
    <row r="159" spans="2:36">
      <c r="B159" s="166"/>
      <c r="C159" s="167"/>
      <c r="D159" s="171"/>
      <c r="E159" s="171"/>
      <c r="F159" s="171"/>
      <c r="G159" s="172"/>
      <c r="H159" s="173"/>
      <c r="I159" s="181"/>
      <c r="J159" s="181"/>
      <c r="K159" s="182"/>
      <c r="L159" s="183"/>
      <c r="M159" s="181"/>
      <c r="N159" s="181"/>
      <c r="O159" s="182"/>
      <c r="P159" s="184"/>
      <c r="Q159" s="181"/>
      <c r="R159" s="181"/>
      <c r="S159" s="182"/>
      <c r="T159" s="184"/>
      <c r="U159" s="181"/>
      <c r="V159" s="181"/>
      <c r="W159" s="182"/>
      <c r="X159" s="184"/>
      <c r="Y159" s="181"/>
      <c r="Z159" s="181"/>
      <c r="AA159" s="182"/>
      <c r="AB159" s="184"/>
      <c r="AC159" s="181"/>
      <c r="AD159" s="181"/>
      <c r="AE159" s="182"/>
      <c r="AF159" s="184"/>
      <c r="AG159" s="181"/>
      <c r="AH159" s="181"/>
      <c r="AI159" s="182"/>
      <c r="AJ159" s="192"/>
    </row>
    <row r="160" spans="2:36">
      <c r="B160" s="166"/>
      <c r="C160" s="167"/>
      <c r="D160" s="171"/>
      <c r="E160" s="171"/>
      <c r="F160" s="171"/>
      <c r="G160" s="172"/>
      <c r="H160" s="173"/>
      <c r="I160" s="181"/>
      <c r="J160" s="181"/>
      <c r="K160" s="182"/>
      <c r="L160" s="183"/>
      <c r="M160" s="181"/>
      <c r="N160" s="181"/>
      <c r="O160" s="182"/>
      <c r="P160" s="184"/>
      <c r="Q160" s="181"/>
      <c r="R160" s="181"/>
      <c r="S160" s="182"/>
      <c r="T160" s="184"/>
      <c r="U160" s="181"/>
      <c r="V160" s="181"/>
      <c r="W160" s="182"/>
      <c r="X160" s="184"/>
      <c r="Y160" s="181"/>
      <c r="Z160" s="181"/>
      <c r="AA160" s="182"/>
      <c r="AB160" s="184"/>
      <c r="AC160" s="181"/>
      <c r="AD160" s="181"/>
      <c r="AE160" s="182"/>
      <c r="AF160" s="184"/>
      <c r="AG160" s="181"/>
      <c r="AH160" s="181"/>
      <c r="AI160" s="182"/>
      <c r="AJ160" s="192"/>
    </row>
    <row r="161" spans="2:36">
      <c r="B161" s="166"/>
      <c r="C161" s="167"/>
      <c r="D161" s="171"/>
      <c r="E161" s="171"/>
      <c r="F161" s="171"/>
      <c r="G161" s="172"/>
      <c r="H161" s="173"/>
      <c r="I161" s="181"/>
      <c r="J161" s="181"/>
      <c r="K161" s="182"/>
      <c r="L161" s="183"/>
      <c r="M161" s="181"/>
      <c r="N161" s="181"/>
      <c r="O161" s="182"/>
      <c r="P161" s="184"/>
      <c r="Q161" s="181"/>
      <c r="R161" s="181"/>
      <c r="S161" s="182"/>
      <c r="T161" s="184"/>
      <c r="U161" s="181"/>
      <c r="V161" s="181"/>
      <c r="W161" s="182"/>
      <c r="X161" s="184"/>
      <c r="Y161" s="181"/>
      <c r="Z161" s="181"/>
      <c r="AA161" s="182"/>
      <c r="AB161" s="184"/>
      <c r="AC161" s="181"/>
      <c r="AD161" s="181"/>
      <c r="AE161" s="182"/>
      <c r="AF161" s="184"/>
      <c r="AG161" s="181"/>
      <c r="AH161" s="181"/>
      <c r="AI161" s="182"/>
      <c r="AJ161" s="192"/>
    </row>
    <row r="162" spans="2:36">
      <c r="B162" s="166"/>
      <c r="C162" s="167"/>
      <c r="D162" s="171"/>
      <c r="E162" s="171"/>
      <c r="F162" s="171"/>
      <c r="G162" s="172"/>
      <c r="H162" s="173"/>
      <c r="I162" s="181"/>
      <c r="J162" s="181"/>
      <c r="K162" s="182"/>
      <c r="L162" s="183"/>
      <c r="M162" s="181"/>
      <c r="N162" s="181"/>
      <c r="O162" s="182"/>
      <c r="P162" s="184"/>
      <c r="Q162" s="181"/>
      <c r="R162" s="181"/>
      <c r="S162" s="182"/>
      <c r="T162" s="184"/>
      <c r="U162" s="181"/>
      <c r="V162" s="181"/>
      <c r="W162" s="182"/>
      <c r="X162" s="184"/>
      <c r="Y162" s="181"/>
      <c r="Z162" s="181"/>
      <c r="AA162" s="182"/>
      <c r="AB162" s="184"/>
      <c r="AC162" s="181"/>
      <c r="AD162" s="181"/>
      <c r="AE162" s="182"/>
      <c r="AF162" s="184"/>
      <c r="AG162" s="181"/>
      <c r="AH162" s="181"/>
      <c r="AI162" s="182"/>
      <c r="AJ162" s="192"/>
    </row>
    <row r="163" spans="2:36">
      <c r="B163" s="166"/>
      <c r="C163" s="167"/>
      <c r="D163" s="171"/>
      <c r="E163" s="171"/>
      <c r="F163" s="171"/>
      <c r="G163" s="172"/>
      <c r="H163" s="173"/>
      <c r="I163" s="181"/>
      <c r="J163" s="181"/>
      <c r="K163" s="182"/>
      <c r="L163" s="183"/>
      <c r="M163" s="181"/>
      <c r="N163" s="181"/>
      <c r="O163" s="182"/>
      <c r="P163" s="184"/>
      <c r="Q163" s="181"/>
      <c r="R163" s="181"/>
      <c r="S163" s="182"/>
      <c r="T163" s="184"/>
      <c r="U163" s="181"/>
      <c r="V163" s="181"/>
      <c r="W163" s="182"/>
      <c r="X163" s="184"/>
      <c r="Y163" s="181"/>
      <c r="Z163" s="181"/>
      <c r="AA163" s="182"/>
      <c r="AB163" s="184"/>
      <c r="AC163" s="181"/>
      <c r="AD163" s="181"/>
      <c r="AE163" s="182"/>
      <c r="AF163" s="184"/>
      <c r="AG163" s="181"/>
      <c r="AH163" s="181"/>
      <c r="AI163" s="182"/>
      <c r="AJ163" s="192"/>
    </row>
    <row r="164" spans="2:36">
      <c r="B164" s="166"/>
      <c r="C164" s="167"/>
      <c r="D164" s="171"/>
      <c r="E164" s="171"/>
      <c r="F164" s="171"/>
      <c r="G164" s="172"/>
      <c r="H164" s="173"/>
      <c r="I164" s="181"/>
      <c r="J164" s="181"/>
      <c r="K164" s="182"/>
      <c r="L164" s="183"/>
      <c r="M164" s="181"/>
      <c r="N164" s="181"/>
      <c r="O164" s="182"/>
      <c r="P164" s="184"/>
      <c r="Q164" s="181"/>
      <c r="R164" s="181"/>
      <c r="S164" s="182"/>
      <c r="T164" s="184"/>
      <c r="U164" s="181"/>
      <c r="V164" s="181"/>
      <c r="W164" s="182"/>
      <c r="X164" s="184"/>
      <c r="Y164" s="181"/>
      <c r="Z164" s="181"/>
      <c r="AA164" s="182"/>
      <c r="AB164" s="184"/>
      <c r="AC164" s="181"/>
      <c r="AD164" s="181"/>
      <c r="AE164" s="182"/>
      <c r="AF164" s="184"/>
      <c r="AG164" s="181"/>
      <c r="AH164" s="181"/>
      <c r="AI164" s="182"/>
      <c r="AJ164" s="192"/>
    </row>
    <row r="165" spans="2:36">
      <c r="B165" s="166"/>
      <c r="C165" s="167"/>
      <c r="D165" s="171"/>
      <c r="E165" s="171"/>
      <c r="F165" s="171"/>
      <c r="G165" s="172"/>
      <c r="H165" s="173"/>
      <c r="I165" s="181"/>
      <c r="J165" s="181"/>
      <c r="K165" s="182"/>
      <c r="L165" s="183"/>
      <c r="M165" s="181"/>
      <c r="N165" s="181"/>
      <c r="O165" s="182"/>
      <c r="P165" s="184"/>
      <c r="Q165" s="181"/>
      <c r="R165" s="181"/>
      <c r="S165" s="182"/>
      <c r="T165" s="184"/>
      <c r="U165" s="181"/>
      <c r="V165" s="181"/>
      <c r="W165" s="182"/>
      <c r="X165" s="184"/>
      <c r="Y165" s="181"/>
      <c r="Z165" s="181"/>
      <c r="AA165" s="182"/>
      <c r="AB165" s="184"/>
      <c r="AC165" s="181"/>
      <c r="AD165" s="181"/>
      <c r="AE165" s="182"/>
      <c r="AF165" s="184"/>
      <c r="AG165" s="181"/>
      <c r="AH165" s="181"/>
      <c r="AI165" s="182"/>
      <c r="AJ165" s="192"/>
    </row>
    <row r="166" spans="2:36">
      <c r="B166" s="166"/>
      <c r="C166" s="167"/>
      <c r="D166" s="171"/>
      <c r="E166" s="171"/>
      <c r="F166" s="171"/>
      <c r="G166" s="172"/>
      <c r="H166" s="173"/>
      <c r="I166" s="181"/>
      <c r="J166" s="181"/>
      <c r="K166" s="182"/>
      <c r="L166" s="183"/>
      <c r="M166" s="181"/>
      <c r="N166" s="181"/>
      <c r="O166" s="182"/>
      <c r="P166" s="184"/>
      <c r="Q166" s="181"/>
      <c r="R166" s="181"/>
      <c r="S166" s="182"/>
      <c r="T166" s="184"/>
      <c r="U166" s="181"/>
      <c r="V166" s="181"/>
      <c r="W166" s="182"/>
      <c r="X166" s="184"/>
      <c r="Y166" s="181"/>
      <c r="Z166" s="181"/>
      <c r="AA166" s="182"/>
      <c r="AB166" s="184"/>
      <c r="AC166" s="181"/>
      <c r="AD166" s="181"/>
      <c r="AE166" s="182"/>
      <c r="AF166" s="184"/>
      <c r="AG166" s="181"/>
      <c r="AH166" s="181"/>
      <c r="AI166" s="182"/>
      <c r="AJ166" s="192"/>
    </row>
    <row r="167" spans="2:36">
      <c r="B167" s="166"/>
      <c r="C167" s="167"/>
      <c r="D167" s="171"/>
      <c r="E167" s="171"/>
      <c r="F167" s="171"/>
      <c r="G167" s="172"/>
      <c r="H167" s="173"/>
      <c r="I167" s="181"/>
      <c r="J167" s="181"/>
      <c r="K167" s="182"/>
      <c r="L167" s="183"/>
      <c r="M167" s="181"/>
      <c r="N167" s="181"/>
      <c r="O167" s="182"/>
      <c r="P167" s="184"/>
      <c r="Q167" s="181"/>
      <c r="R167" s="181"/>
      <c r="S167" s="182"/>
      <c r="T167" s="184"/>
      <c r="U167" s="181"/>
      <c r="V167" s="181"/>
      <c r="W167" s="182"/>
      <c r="X167" s="184"/>
      <c r="Y167" s="181"/>
      <c r="Z167" s="181"/>
      <c r="AA167" s="182"/>
      <c r="AB167" s="184"/>
      <c r="AC167" s="181"/>
      <c r="AD167" s="181"/>
      <c r="AE167" s="182"/>
      <c r="AF167" s="184"/>
      <c r="AG167" s="181"/>
      <c r="AH167" s="181"/>
      <c r="AI167" s="182"/>
      <c r="AJ167" s="192"/>
    </row>
    <row r="168" spans="2:36">
      <c r="B168" s="166"/>
      <c r="C168" s="167"/>
      <c r="D168" s="171"/>
      <c r="E168" s="171"/>
      <c r="F168" s="171"/>
      <c r="G168" s="172"/>
      <c r="H168" s="173"/>
      <c r="I168" s="181"/>
      <c r="J168" s="181"/>
      <c r="K168" s="182"/>
      <c r="L168" s="183"/>
      <c r="M168" s="181"/>
      <c r="N168" s="181"/>
      <c r="O168" s="182"/>
      <c r="P168" s="184"/>
      <c r="Q168" s="181"/>
      <c r="R168" s="181"/>
      <c r="S168" s="182"/>
      <c r="T168" s="184"/>
      <c r="U168" s="181"/>
      <c r="V168" s="181"/>
      <c r="W168" s="182"/>
      <c r="X168" s="184"/>
      <c r="Y168" s="181"/>
      <c r="Z168" s="181"/>
      <c r="AA168" s="182"/>
      <c r="AB168" s="184"/>
      <c r="AC168" s="181"/>
      <c r="AD168" s="181"/>
      <c r="AE168" s="182"/>
      <c r="AF168" s="184"/>
      <c r="AG168" s="181"/>
      <c r="AH168" s="181"/>
      <c r="AI168" s="182"/>
      <c r="AJ168" s="192"/>
    </row>
    <row r="169" spans="2:36">
      <c r="B169" s="166"/>
      <c r="C169" s="167"/>
      <c r="D169" s="171"/>
      <c r="E169" s="171"/>
      <c r="F169" s="171"/>
      <c r="G169" s="172"/>
      <c r="H169" s="173"/>
      <c r="I169" s="193"/>
      <c r="J169" s="171"/>
      <c r="K169" s="194"/>
      <c r="L169" s="173"/>
      <c r="M169" s="171"/>
      <c r="N169" s="171"/>
      <c r="O169" s="194"/>
      <c r="P169" s="195"/>
      <c r="Q169" s="171"/>
      <c r="R169" s="171"/>
      <c r="S169" s="194"/>
      <c r="T169" s="195"/>
      <c r="U169" s="171"/>
      <c r="V169" s="171"/>
      <c r="W169" s="194"/>
      <c r="X169" s="195"/>
      <c r="Y169" s="171"/>
      <c r="Z169" s="171"/>
      <c r="AA169" s="194"/>
      <c r="AB169" s="195"/>
      <c r="AC169" s="171"/>
      <c r="AD169" s="171"/>
      <c r="AE169" s="194"/>
      <c r="AF169" s="195"/>
      <c r="AG169" s="171"/>
      <c r="AH169" s="171"/>
      <c r="AI169" s="194"/>
      <c r="AJ169" s="196"/>
    </row>
    <row r="170" spans="2:36">
      <c r="B170" s="166"/>
      <c r="C170" s="167"/>
      <c r="D170" s="171"/>
      <c r="E170" s="171"/>
      <c r="F170" s="171"/>
      <c r="G170" s="172"/>
      <c r="H170" s="173"/>
      <c r="I170" s="193"/>
      <c r="J170" s="171"/>
      <c r="K170" s="194"/>
      <c r="L170" s="173"/>
      <c r="M170" s="171"/>
      <c r="N170" s="171"/>
      <c r="O170" s="194"/>
      <c r="P170" s="195"/>
      <c r="Q170" s="171"/>
      <c r="R170" s="171"/>
      <c r="S170" s="194"/>
      <c r="T170" s="195"/>
      <c r="U170" s="171"/>
      <c r="V170" s="171"/>
      <c r="W170" s="194"/>
      <c r="X170" s="195"/>
      <c r="Y170" s="171"/>
      <c r="Z170" s="171"/>
      <c r="AA170" s="194"/>
      <c r="AB170" s="195"/>
      <c r="AC170" s="171"/>
      <c r="AD170" s="171"/>
      <c r="AE170" s="194"/>
      <c r="AF170" s="195"/>
      <c r="AG170" s="171"/>
      <c r="AH170" s="171"/>
      <c r="AI170" s="194"/>
      <c r="AJ170" s="196"/>
    </row>
    <row r="171" spans="2:36">
      <c r="B171" s="166"/>
      <c r="C171" s="167"/>
      <c r="D171" s="171"/>
      <c r="E171" s="171"/>
      <c r="F171" s="171"/>
      <c r="G171" s="172"/>
      <c r="H171" s="173"/>
      <c r="I171" s="193"/>
      <c r="J171" s="171"/>
      <c r="K171" s="194"/>
      <c r="L171" s="173"/>
      <c r="M171" s="171"/>
      <c r="N171" s="171"/>
      <c r="O171" s="194"/>
      <c r="P171" s="195"/>
      <c r="Q171" s="171"/>
      <c r="R171" s="171"/>
      <c r="S171" s="194"/>
      <c r="T171" s="195"/>
      <c r="U171" s="171"/>
      <c r="V171" s="171"/>
      <c r="W171" s="194"/>
      <c r="X171" s="195"/>
      <c r="Y171" s="171"/>
      <c r="Z171" s="171"/>
      <c r="AA171" s="194"/>
      <c r="AB171" s="195"/>
      <c r="AC171" s="171"/>
      <c r="AD171" s="171"/>
      <c r="AE171" s="194"/>
      <c r="AF171" s="195"/>
      <c r="AG171" s="171"/>
      <c r="AH171" s="171"/>
      <c r="AI171" s="194"/>
      <c r="AJ171" s="196"/>
    </row>
    <row r="172" spans="2:36">
      <c r="B172" s="166"/>
      <c r="C172" s="167"/>
      <c r="D172" s="171"/>
      <c r="E172" s="171"/>
      <c r="F172" s="171"/>
      <c r="G172" s="172"/>
      <c r="H172" s="173"/>
      <c r="I172" s="193"/>
      <c r="J172" s="171"/>
      <c r="K172" s="194"/>
      <c r="L172" s="173"/>
      <c r="M172" s="171"/>
      <c r="N172" s="171"/>
      <c r="O172" s="194"/>
      <c r="P172" s="195"/>
      <c r="Q172" s="171"/>
      <c r="R172" s="171"/>
      <c r="S172" s="194"/>
      <c r="T172" s="195"/>
      <c r="U172" s="171"/>
      <c r="V172" s="171"/>
      <c r="W172" s="194"/>
      <c r="X172" s="195"/>
      <c r="Y172" s="171"/>
      <c r="Z172" s="171"/>
      <c r="AA172" s="194"/>
      <c r="AB172" s="195"/>
      <c r="AC172" s="171"/>
      <c r="AD172" s="171"/>
      <c r="AE172" s="194"/>
      <c r="AF172" s="195"/>
      <c r="AG172" s="171"/>
      <c r="AH172" s="171"/>
      <c r="AI172" s="194"/>
      <c r="AJ172" s="196"/>
    </row>
    <row r="173" spans="2:36">
      <c r="B173" s="166"/>
      <c r="C173" s="167"/>
      <c r="D173" s="171"/>
      <c r="E173" s="171"/>
      <c r="F173" s="171"/>
      <c r="G173" s="172"/>
      <c r="H173" s="173"/>
      <c r="I173" s="193"/>
      <c r="J173" s="171"/>
      <c r="K173" s="194"/>
      <c r="L173" s="173"/>
      <c r="M173" s="171"/>
      <c r="N173" s="171"/>
      <c r="O173" s="194"/>
      <c r="P173" s="195"/>
      <c r="Q173" s="171"/>
      <c r="R173" s="171"/>
      <c r="S173" s="194"/>
      <c r="T173" s="195"/>
      <c r="U173" s="171"/>
      <c r="V173" s="171"/>
      <c r="W173" s="194"/>
      <c r="X173" s="195"/>
      <c r="Y173" s="171"/>
      <c r="Z173" s="171"/>
      <c r="AA173" s="194"/>
      <c r="AB173" s="195"/>
      <c r="AC173" s="171"/>
      <c r="AD173" s="171"/>
      <c r="AE173" s="194"/>
      <c r="AF173" s="195"/>
      <c r="AG173" s="171"/>
      <c r="AH173" s="171"/>
      <c r="AI173" s="194"/>
      <c r="AJ173" s="196"/>
    </row>
    <row r="174" spans="2:36">
      <c r="B174" s="166"/>
      <c r="C174" s="167"/>
      <c r="D174" s="171"/>
      <c r="E174" s="171"/>
      <c r="F174" s="171"/>
      <c r="G174" s="172"/>
      <c r="H174" s="173"/>
      <c r="I174" s="193"/>
      <c r="J174" s="171"/>
      <c r="K174" s="194"/>
      <c r="L174" s="173"/>
      <c r="M174" s="171"/>
      <c r="N174" s="171"/>
      <c r="O174" s="194"/>
      <c r="P174" s="195"/>
      <c r="Q174" s="171"/>
      <c r="R174" s="171"/>
      <c r="S174" s="194"/>
      <c r="T174" s="195"/>
      <c r="U174" s="171"/>
      <c r="V174" s="171"/>
      <c r="W174" s="194"/>
      <c r="X174" s="195"/>
      <c r="Y174" s="171"/>
      <c r="Z174" s="171"/>
      <c r="AA174" s="194"/>
      <c r="AB174" s="195"/>
      <c r="AC174" s="171"/>
      <c r="AD174" s="171"/>
      <c r="AE174" s="194"/>
      <c r="AF174" s="195"/>
      <c r="AG174" s="171"/>
      <c r="AH174" s="171"/>
      <c r="AI174" s="194"/>
      <c r="AJ174" s="196"/>
    </row>
    <row r="175" spans="2:36">
      <c r="B175" s="166"/>
      <c r="C175" s="167"/>
      <c r="D175" s="171"/>
      <c r="E175" s="171"/>
      <c r="F175" s="171"/>
      <c r="G175" s="172"/>
      <c r="H175" s="173"/>
      <c r="I175" s="193"/>
      <c r="J175" s="171"/>
      <c r="K175" s="194"/>
      <c r="L175" s="173"/>
      <c r="M175" s="171"/>
      <c r="N175" s="171"/>
      <c r="O175" s="194"/>
      <c r="P175" s="195"/>
      <c r="Q175" s="171"/>
      <c r="R175" s="171"/>
      <c r="S175" s="194"/>
      <c r="T175" s="195"/>
      <c r="U175" s="171"/>
      <c r="V175" s="171"/>
      <c r="W175" s="194"/>
      <c r="X175" s="195"/>
      <c r="Y175" s="171"/>
      <c r="Z175" s="171"/>
      <c r="AA175" s="194"/>
      <c r="AB175" s="195"/>
      <c r="AC175" s="171"/>
      <c r="AD175" s="171"/>
      <c r="AE175" s="194"/>
      <c r="AF175" s="195"/>
      <c r="AG175" s="171"/>
      <c r="AH175" s="171"/>
      <c r="AI175" s="194"/>
      <c r="AJ175" s="196"/>
    </row>
    <row r="176" spans="2:36">
      <c r="B176" s="166"/>
      <c r="C176" s="167"/>
      <c r="D176" s="171"/>
      <c r="E176" s="171"/>
      <c r="F176" s="171"/>
      <c r="G176" s="172"/>
      <c r="H176" s="173"/>
      <c r="I176" s="193"/>
      <c r="J176" s="171"/>
      <c r="K176" s="194"/>
      <c r="L176" s="173"/>
      <c r="M176" s="171"/>
      <c r="N176" s="171"/>
      <c r="O176" s="194"/>
      <c r="P176" s="195"/>
      <c r="Q176" s="171"/>
      <c r="R176" s="171"/>
      <c r="S176" s="194"/>
      <c r="T176" s="195"/>
      <c r="U176" s="171"/>
      <c r="V176" s="171"/>
      <c r="W176" s="194"/>
      <c r="X176" s="195"/>
      <c r="Y176" s="171"/>
      <c r="Z176" s="171"/>
      <c r="AA176" s="194"/>
      <c r="AB176" s="195"/>
      <c r="AC176" s="171"/>
      <c r="AD176" s="171"/>
      <c r="AE176" s="194"/>
      <c r="AF176" s="195"/>
      <c r="AG176" s="171"/>
      <c r="AH176" s="171"/>
      <c r="AI176" s="194"/>
      <c r="AJ176" s="196"/>
    </row>
    <row r="177" spans="2:36">
      <c r="B177" s="166"/>
      <c r="C177" s="167"/>
      <c r="D177" s="171"/>
      <c r="E177" s="171"/>
      <c r="F177" s="171"/>
      <c r="G177" s="172"/>
      <c r="H177" s="173"/>
      <c r="I177" s="193"/>
      <c r="J177" s="171"/>
      <c r="K177" s="194"/>
      <c r="L177" s="173"/>
      <c r="M177" s="171"/>
      <c r="N177" s="171"/>
      <c r="O177" s="194"/>
      <c r="P177" s="195"/>
      <c r="Q177" s="171"/>
      <c r="R177" s="171"/>
      <c r="S177" s="194"/>
      <c r="T177" s="195"/>
      <c r="U177" s="171"/>
      <c r="V177" s="171"/>
      <c r="W177" s="194"/>
      <c r="X177" s="195"/>
      <c r="Y177" s="171"/>
      <c r="Z177" s="171"/>
      <c r="AA177" s="194"/>
      <c r="AB177" s="195"/>
      <c r="AC177" s="171"/>
      <c r="AD177" s="171"/>
      <c r="AE177" s="194"/>
      <c r="AF177" s="195"/>
      <c r="AG177" s="171"/>
      <c r="AH177" s="171"/>
      <c r="AI177" s="194"/>
      <c r="AJ177" s="196"/>
    </row>
    <row r="178" spans="2:36">
      <c r="B178" s="166"/>
      <c r="C178" s="167"/>
      <c r="D178" s="171"/>
      <c r="E178" s="171"/>
      <c r="F178" s="171"/>
      <c r="G178" s="172"/>
      <c r="H178" s="173"/>
      <c r="I178" s="193"/>
      <c r="J178" s="171"/>
      <c r="K178" s="194"/>
      <c r="L178" s="173"/>
      <c r="M178" s="171"/>
      <c r="N178" s="171"/>
      <c r="O178" s="194"/>
      <c r="P178" s="195"/>
      <c r="Q178" s="171"/>
      <c r="R178" s="171"/>
      <c r="S178" s="194"/>
      <c r="T178" s="195"/>
      <c r="U178" s="171"/>
      <c r="V178" s="171"/>
      <c r="W178" s="194"/>
      <c r="X178" s="195"/>
      <c r="Y178" s="171"/>
      <c r="Z178" s="171"/>
      <c r="AA178" s="194"/>
      <c r="AB178" s="195"/>
      <c r="AC178" s="171"/>
      <c r="AD178" s="171"/>
      <c r="AE178" s="194"/>
      <c r="AF178" s="195"/>
      <c r="AG178" s="171"/>
      <c r="AH178" s="171"/>
      <c r="AI178" s="194"/>
      <c r="AJ178" s="196"/>
    </row>
    <row r="179" spans="2:36">
      <c r="B179" s="166"/>
      <c r="C179" s="167"/>
      <c r="D179" s="171"/>
      <c r="E179" s="171"/>
      <c r="F179" s="171"/>
      <c r="G179" s="172"/>
      <c r="H179" s="173"/>
      <c r="I179" s="193"/>
      <c r="J179" s="171"/>
      <c r="K179" s="194"/>
      <c r="L179" s="173"/>
      <c r="M179" s="171"/>
      <c r="N179" s="171"/>
      <c r="O179" s="194"/>
      <c r="P179" s="195"/>
      <c r="Q179" s="171"/>
      <c r="R179" s="171"/>
      <c r="S179" s="194"/>
      <c r="T179" s="195"/>
      <c r="U179" s="171"/>
      <c r="V179" s="171"/>
      <c r="W179" s="194"/>
      <c r="X179" s="195"/>
      <c r="Y179" s="171"/>
      <c r="Z179" s="171"/>
      <c r="AA179" s="194"/>
      <c r="AB179" s="195"/>
      <c r="AC179" s="171"/>
      <c r="AD179" s="171"/>
      <c r="AE179" s="194"/>
      <c r="AF179" s="195"/>
      <c r="AG179" s="171"/>
      <c r="AH179" s="171"/>
      <c r="AI179" s="194"/>
      <c r="AJ179" s="196"/>
    </row>
    <row r="180" spans="2:36">
      <c r="B180" s="166"/>
      <c r="C180" s="167"/>
      <c r="D180" s="171"/>
      <c r="E180" s="171"/>
      <c r="F180" s="171"/>
      <c r="G180" s="172"/>
      <c r="H180" s="173"/>
      <c r="I180" s="193"/>
      <c r="J180" s="171"/>
      <c r="K180" s="194"/>
      <c r="L180" s="173"/>
      <c r="M180" s="171"/>
      <c r="N180" s="171"/>
      <c r="O180" s="194"/>
      <c r="P180" s="195"/>
      <c r="Q180" s="171"/>
      <c r="R180" s="171"/>
      <c r="S180" s="194"/>
      <c r="T180" s="195"/>
      <c r="U180" s="171"/>
      <c r="V180" s="171"/>
      <c r="W180" s="194"/>
      <c r="X180" s="195"/>
      <c r="Y180" s="171"/>
      <c r="Z180" s="171"/>
      <c r="AA180" s="194"/>
      <c r="AB180" s="195"/>
      <c r="AC180" s="171"/>
      <c r="AD180" s="171"/>
      <c r="AE180" s="194"/>
      <c r="AF180" s="195"/>
      <c r="AG180" s="171"/>
      <c r="AH180" s="171"/>
      <c r="AI180" s="194"/>
      <c r="AJ180" s="196"/>
    </row>
    <row r="181" spans="2:36">
      <c r="B181" s="166"/>
      <c r="C181" s="167"/>
      <c r="D181" s="171"/>
      <c r="E181" s="171"/>
      <c r="F181" s="171"/>
      <c r="G181" s="172"/>
      <c r="H181" s="173"/>
      <c r="I181" s="193"/>
      <c r="J181" s="171"/>
      <c r="K181" s="194"/>
      <c r="L181" s="173"/>
      <c r="M181" s="171"/>
      <c r="N181" s="171"/>
      <c r="O181" s="194"/>
      <c r="P181" s="195"/>
      <c r="Q181" s="171"/>
      <c r="R181" s="171"/>
      <c r="S181" s="194"/>
      <c r="T181" s="195"/>
      <c r="U181" s="171"/>
      <c r="V181" s="171"/>
      <c r="W181" s="194"/>
      <c r="X181" s="195"/>
      <c r="Y181" s="171"/>
      <c r="Z181" s="171"/>
      <c r="AA181" s="194"/>
      <c r="AB181" s="195"/>
      <c r="AC181" s="171"/>
      <c r="AD181" s="171"/>
      <c r="AE181" s="194"/>
      <c r="AF181" s="195"/>
      <c r="AG181" s="171"/>
      <c r="AH181" s="171"/>
      <c r="AI181" s="194"/>
      <c r="AJ181" s="196"/>
    </row>
    <row r="182" spans="2:36">
      <c r="B182" s="166"/>
      <c r="C182" s="167"/>
      <c r="D182" s="171"/>
      <c r="E182" s="171"/>
      <c r="F182" s="171"/>
      <c r="G182" s="172"/>
      <c r="H182" s="173"/>
      <c r="I182" s="193"/>
      <c r="J182" s="171"/>
      <c r="K182" s="194"/>
      <c r="L182" s="173"/>
      <c r="M182" s="171"/>
      <c r="N182" s="171"/>
      <c r="O182" s="194"/>
      <c r="P182" s="195"/>
      <c r="Q182" s="171"/>
      <c r="R182" s="171"/>
      <c r="S182" s="194"/>
      <c r="T182" s="195"/>
      <c r="U182" s="171"/>
      <c r="V182" s="171"/>
      <c r="W182" s="194"/>
      <c r="X182" s="195"/>
      <c r="Y182" s="171"/>
      <c r="Z182" s="171"/>
      <c r="AA182" s="194"/>
      <c r="AB182" s="195"/>
      <c r="AC182" s="171"/>
      <c r="AD182" s="171"/>
      <c r="AE182" s="194"/>
      <c r="AF182" s="195"/>
      <c r="AG182" s="171"/>
      <c r="AH182" s="171"/>
      <c r="AI182" s="194"/>
      <c r="AJ182" s="196"/>
    </row>
    <row r="183" spans="2:36">
      <c r="B183" s="166"/>
      <c r="C183" s="167"/>
      <c r="D183" s="171"/>
      <c r="E183" s="171"/>
      <c r="F183" s="171"/>
      <c r="G183" s="172"/>
      <c r="H183" s="173"/>
      <c r="I183" s="193"/>
      <c r="J183" s="171"/>
      <c r="K183" s="194"/>
      <c r="L183" s="173"/>
      <c r="M183" s="171"/>
      <c r="N183" s="171"/>
      <c r="O183" s="194"/>
      <c r="P183" s="195"/>
      <c r="Q183" s="171"/>
      <c r="R183" s="171"/>
      <c r="S183" s="194"/>
      <c r="T183" s="195"/>
      <c r="U183" s="171"/>
      <c r="V183" s="171"/>
      <c r="W183" s="194"/>
      <c r="X183" s="195"/>
      <c r="Y183" s="171"/>
      <c r="Z183" s="171"/>
      <c r="AA183" s="194"/>
      <c r="AB183" s="195"/>
      <c r="AC183" s="171"/>
      <c r="AD183" s="171"/>
      <c r="AE183" s="194"/>
      <c r="AF183" s="195"/>
      <c r="AG183" s="171"/>
      <c r="AH183" s="171"/>
      <c r="AI183" s="194"/>
      <c r="AJ183" s="196"/>
    </row>
    <row r="184" spans="2:36">
      <c r="B184" s="166"/>
      <c r="C184" s="167"/>
      <c r="D184" s="171"/>
      <c r="E184" s="171"/>
      <c r="F184" s="171"/>
      <c r="G184" s="172"/>
      <c r="H184" s="173"/>
      <c r="I184" s="193"/>
      <c r="J184" s="171"/>
      <c r="K184" s="194"/>
      <c r="L184" s="173"/>
      <c r="M184" s="171"/>
      <c r="N184" s="171"/>
      <c r="O184" s="194"/>
      <c r="P184" s="195"/>
      <c r="Q184" s="171"/>
      <c r="R184" s="171"/>
      <c r="S184" s="194"/>
      <c r="T184" s="195"/>
      <c r="U184" s="171"/>
      <c r="V184" s="171"/>
      <c r="W184" s="194"/>
      <c r="X184" s="195"/>
      <c r="Y184" s="171"/>
      <c r="Z184" s="171"/>
      <c r="AA184" s="194"/>
      <c r="AB184" s="195"/>
      <c r="AC184" s="171"/>
      <c r="AD184" s="171"/>
      <c r="AE184" s="194"/>
      <c r="AF184" s="195"/>
      <c r="AG184" s="171"/>
      <c r="AH184" s="171"/>
      <c r="AI184" s="194"/>
      <c r="AJ184" s="196"/>
    </row>
    <row r="185" spans="2:36">
      <c r="B185" s="166"/>
      <c r="C185" s="167"/>
      <c r="D185" s="171"/>
      <c r="E185" s="171"/>
      <c r="F185" s="171"/>
      <c r="G185" s="172"/>
      <c r="H185" s="173"/>
      <c r="I185" s="193"/>
      <c r="J185" s="171"/>
      <c r="K185" s="194"/>
      <c r="L185" s="173"/>
      <c r="M185" s="171"/>
      <c r="N185" s="171"/>
      <c r="O185" s="194"/>
      <c r="P185" s="195"/>
      <c r="Q185" s="171"/>
      <c r="R185" s="171"/>
      <c r="S185" s="194"/>
      <c r="T185" s="195"/>
      <c r="U185" s="171"/>
      <c r="V185" s="171"/>
      <c r="W185" s="194"/>
      <c r="X185" s="195"/>
      <c r="Y185" s="171"/>
      <c r="Z185" s="171"/>
      <c r="AA185" s="194"/>
      <c r="AB185" s="195"/>
      <c r="AC185" s="171"/>
      <c r="AD185" s="171"/>
      <c r="AE185" s="194"/>
      <c r="AF185" s="195"/>
      <c r="AG185" s="171"/>
      <c r="AH185" s="171"/>
      <c r="AI185" s="194"/>
      <c r="AJ185" s="196"/>
    </row>
    <row r="186" spans="2:36">
      <c r="B186" s="166"/>
      <c r="C186" s="167"/>
      <c r="D186" s="171"/>
      <c r="E186" s="171"/>
      <c r="F186" s="171"/>
      <c r="G186" s="172"/>
      <c r="H186" s="173"/>
      <c r="I186" s="193"/>
      <c r="J186" s="171"/>
      <c r="K186" s="194"/>
      <c r="L186" s="173"/>
      <c r="M186" s="171"/>
      <c r="N186" s="171"/>
      <c r="O186" s="194"/>
      <c r="P186" s="195"/>
      <c r="Q186" s="171"/>
      <c r="R186" s="171"/>
      <c r="S186" s="194"/>
      <c r="T186" s="195"/>
      <c r="U186" s="171"/>
      <c r="V186" s="171"/>
      <c r="W186" s="194"/>
      <c r="X186" s="195"/>
      <c r="Y186" s="171"/>
      <c r="Z186" s="171"/>
      <c r="AA186" s="194"/>
      <c r="AB186" s="195"/>
      <c r="AC186" s="171"/>
      <c r="AD186" s="171"/>
      <c r="AE186" s="194"/>
      <c r="AF186" s="195"/>
      <c r="AG186" s="171"/>
      <c r="AH186" s="171"/>
      <c r="AI186" s="194"/>
      <c r="AJ186" s="196"/>
    </row>
    <row r="187" spans="2:36">
      <c r="B187" s="166"/>
      <c r="C187" s="167"/>
      <c r="D187" s="171"/>
      <c r="E187" s="171"/>
      <c r="F187" s="171"/>
      <c r="G187" s="172"/>
      <c r="H187" s="173"/>
      <c r="I187" s="193"/>
      <c r="J187" s="171"/>
      <c r="K187" s="194"/>
      <c r="L187" s="173"/>
      <c r="M187" s="171"/>
      <c r="N187" s="171"/>
      <c r="O187" s="194"/>
      <c r="P187" s="195"/>
      <c r="Q187" s="171"/>
      <c r="R187" s="171"/>
      <c r="S187" s="194"/>
      <c r="T187" s="195"/>
      <c r="U187" s="171"/>
      <c r="V187" s="171"/>
      <c r="W187" s="194"/>
      <c r="X187" s="195"/>
      <c r="Y187" s="171"/>
      <c r="Z187" s="171"/>
      <c r="AA187" s="194"/>
      <c r="AB187" s="195"/>
      <c r="AC187" s="171"/>
      <c r="AD187" s="171"/>
      <c r="AE187" s="194"/>
      <c r="AF187" s="195"/>
      <c r="AG187" s="171"/>
      <c r="AH187" s="171"/>
      <c r="AI187" s="194"/>
      <c r="AJ187" s="196"/>
    </row>
    <row r="188" spans="2:36">
      <c r="B188" s="166"/>
      <c r="C188" s="167"/>
      <c r="D188" s="171"/>
      <c r="E188" s="171"/>
      <c r="F188" s="171"/>
      <c r="G188" s="172"/>
      <c r="H188" s="173"/>
      <c r="I188" s="193"/>
      <c r="J188" s="171"/>
      <c r="K188" s="194"/>
      <c r="L188" s="173"/>
      <c r="M188" s="171"/>
      <c r="N188" s="171"/>
      <c r="O188" s="194"/>
      <c r="P188" s="195"/>
      <c r="Q188" s="171"/>
      <c r="R188" s="171"/>
      <c r="S188" s="194"/>
      <c r="T188" s="195"/>
      <c r="U188" s="171"/>
      <c r="V188" s="171"/>
      <c r="W188" s="194"/>
      <c r="X188" s="195"/>
      <c r="Y188" s="171"/>
      <c r="Z188" s="171"/>
      <c r="AA188" s="194"/>
      <c r="AB188" s="195"/>
      <c r="AC188" s="171"/>
      <c r="AD188" s="171"/>
      <c r="AE188" s="194"/>
      <c r="AF188" s="195"/>
      <c r="AG188" s="171"/>
      <c r="AH188" s="171"/>
      <c r="AI188" s="194"/>
      <c r="AJ188" s="196"/>
    </row>
    <row r="189" spans="2:36">
      <c r="B189" s="166"/>
      <c r="C189" s="167"/>
      <c r="D189" s="171"/>
      <c r="E189" s="171"/>
      <c r="F189" s="171"/>
      <c r="G189" s="172"/>
      <c r="H189" s="173"/>
      <c r="I189" s="193"/>
      <c r="J189" s="171"/>
      <c r="K189" s="194"/>
      <c r="L189" s="173"/>
      <c r="M189" s="171"/>
      <c r="N189" s="171"/>
      <c r="O189" s="194"/>
      <c r="P189" s="195"/>
      <c r="Q189" s="171"/>
      <c r="R189" s="171"/>
      <c r="S189" s="194"/>
      <c r="T189" s="195"/>
      <c r="U189" s="171"/>
      <c r="V189" s="171"/>
      <c r="W189" s="194"/>
      <c r="X189" s="195"/>
      <c r="Y189" s="171"/>
      <c r="Z189" s="171"/>
      <c r="AA189" s="194"/>
      <c r="AB189" s="195"/>
      <c r="AC189" s="171"/>
      <c r="AD189" s="171"/>
      <c r="AE189" s="194"/>
      <c r="AF189" s="195"/>
      <c r="AG189" s="171"/>
      <c r="AH189" s="171"/>
      <c r="AI189" s="194"/>
      <c r="AJ189" s="196"/>
    </row>
    <row r="190" spans="2:36">
      <c r="B190" s="166"/>
      <c r="C190" s="167"/>
      <c r="D190" s="171"/>
      <c r="E190" s="171"/>
      <c r="F190" s="171"/>
      <c r="G190" s="172"/>
      <c r="H190" s="173"/>
      <c r="I190" s="193"/>
      <c r="J190" s="171"/>
      <c r="K190" s="194"/>
      <c r="L190" s="173"/>
      <c r="M190" s="171"/>
      <c r="N190" s="171"/>
      <c r="O190" s="194"/>
      <c r="P190" s="195"/>
      <c r="Q190" s="171"/>
      <c r="R190" s="171"/>
      <c r="S190" s="194"/>
      <c r="T190" s="195"/>
      <c r="U190" s="171"/>
      <c r="V190" s="171"/>
      <c r="W190" s="194"/>
      <c r="X190" s="195"/>
      <c r="Y190" s="171"/>
      <c r="Z190" s="171"/>
      <c r="AA190" s="194"/>
      <c r="AB190" s="195"/>
      <c r="AC190" s="171"/>
      <c r="AD190" s="171"/>
      <c r="AE190" s="194"/>
      <c r="AF190" s="195"/>
      <c r="AG190" s="171"/>
      <c r="AH190" s="171"/>
      <c r="AI190" s="194"/>
      <c r="AJ190" s="196"/>
    </row>
    <row r="191" spans="2:36">
      <c r="B191" s="166"/>
      <c r="C191" s="167"/>
      <c r="D191" s="171"/>
      <c r="E191" s="171"/>
      <c r="F191" s="171"/>
      <c r="G191" s="172"/>
      <c r="H191" s="173"/>
      <c r="I191" s="193"/>
      <c r="J191" s="171"/>
      <c r="K191" s="194"/>
      <c r="L191" s="173"/>
      <c r="M191" s="171"/>
      <c r="N191" s="171"/>
      <c r="O191" s="194"/>
      <c r="P191" s="195"/>
      <c r="Q191" s="171"/>
      <c r="R191" s="171"/>
      <c r="S191" s="194"/>
      <c r="T191" s="195"/>
      <c r="U191" s="171"/>
      <c r="V191" s="171"/>
      <c r="W191" s="194"/>
      <c r="X191" s="195"/>
      <c r="Y191" s="171"/>
      <c r="Z191" s="171"/>
      <c r="AA191" s="194"/>
      <c r="AB191" s="195"/>
      <c r="AC191" s="171"/>
      <c r="AD191" s="171"/>
      <c r="AE191" s="194"/>
      <c r="AF191" s="195"/>
      <c r="AG191" s="171"/>
      <c r="AH191" s="171"/>
      <c r="AI191" s="194"/>
      <c r="AJ191" s="196"/>
    </row>
    <row r="192" spans="2:36">
      <c r="B192" s="166"/>
      <c r="C192" s="167"/>
      <c r="D192" s="171"/>
      <c r="E192" s="171"/>
      <c r="F192" s="171"/>
      <c r="G192" s="172"/>
      <c r="H192" s="173"/>
      <c r="I192" s="193"/>
      <c r="J192" s="171"/>
      <c r="K192" s="194"/>
      <c r="L192" s="173"/>
      <c r="M192" s="171"/>
      <c r="N192" s="171"/>
      <c r="O192" s="194"/>
      <c r="P192" s="195"/>
      <c r="Q192" s="171"/>
      <c r="R192" s="171"/>
      <c r="S192" s="194"/>
      <c r="T192" s="195"/>
      <c r="U192" s="171"/>
      <c r="V192" s="171"/>
      <c r="W192" s="194"/>
      <c r="X192" s="195"/>
      <c r="Y192" s="171"/>
      <c r="Z192" s="171"/>
      <c r="AA192" s="194"/>
      <c r="AB192" s="195"/>
      <c r="AC192" s="171"/>
      <c r="AD192" s="171"/>
      <c r="AE192" s="194"/>
      <c r="AF192" s="195"/>
      <c r="AG192" s="171"/>
      <c r="AH192" s="171"/>
      <c r="AI192" s="194"/>
      <c r="AJ192" s="196"/>
    </row>
    <row r="193" spans="2:36">
      <c r="B193" s="166"/>
      <c r="C193" s="167"/>
      <c r="D193" s="171"/>
      <c r="E193" s="171"/>
      <c r="F193" s="171"/>
      <c r="G193" s="172"/>
      <c r="H193" s="173"/>
      <c r="I193" s="193"/>
      <c r="J193" s="171"/>
      <c r="K193" s="194"/>
      <c r="L193" s="173"/>
      <c r="M193" s="171"/>
      <c r="N193" s="171"/>
      <c r="O193" s="194"/>
      <c r="P193" s="195"/>
      <c r="Q193" s="171"/>
      <c r="R193" s="171"/>
      <c r="S193" s="194"/>
      <c r="T193" s="195"/>
      <c r="U193" s="171"/>
      <c r="V193" s="171"/>
      <c r="W193" s="194"/>
      <c r="X193" s="195"/>
      <c r="Y193" s="171"/>
      <c r="Z193" s="171"/>
      <c r="AA193" s="194"/>
      <c r="AB193" s="195"/>
      <c r="AC193" s="171"/>
      <c r="AD193" s="171"/>
      <c r="AE193" s="194"/>
      <c r="AF193" s="195"/>
      <c r="AG193" s="171"/>
      <c r="AH193" s="171"/>
      <c r="AI193" s="194"/>
      <c r="AJ193" s="196"/>
    </row>
    <row r="194" spans="2:36">
      <c r="B194" s="166"/>
      <c r="C194" s="167"/>
      <c r="D194" s="171"/>
      <c r="E194" s="171"/>
      <c r="F194" s="171"/>
      <c r="G194" s="172"/>
      <c r="H194" s="173"/>
      <c r="I194" s="193"/>
      <c r="J194" s="171"/>
      <c r="K194" s="194"/>
      <c r="L194" s="173"/>
      <c r="M194" s="171"/>
      <c r="N194" s="171"/>
      <c r="O194" s="194"/>
      <c r="P194" s="195"/>
      <c r="Q194" s="171"/>
      <c r="R194" s="171"/>
      <c r="S194" s="194"/>
      <c r="T194" s="195"/>
      <c r="U194" s="171"/>
      <c r="V194" s="171"/>
      <c r="W194" s="194"/>
      <c r="X194" s="195"/>
      <c r="Y194" s="171"/>
      <c r="Z194" s="171"/>
      <c r="AA194" s="194"/>
      <c r="AB194" s="195"/>
      <c r="AC194" s="171"/>
      <c r="AD194" s="171"/>
      <c r="AE194" s="194"/>
      <c r="AF194" s="195"/>
      <c r="AG194" s="171"/>
      <c r="AH194" s="171"/>
      <c r="AI194" s="194"/>
      <c r="AJ194" s="196"/>
    </row>
    <row r="195" spans="2:36">
      <c r="B195" s="166"/>
      <c r="C195" s="167"/>
      <c r="D195" s="171"/>
      <c r="E195" s="171"/>
      <c r="F195" s="171"/>
      <c r="G195" s="172"/>
      <c r="H195" s="173"/>
      <c r="I195" s="193"/>
      <c r="J195" s="171"/>
      <c r="K195" s="194"/>
      <c r="L195" s="173"/>
      <c r="M195" s="171"/>
      <c r="N195" s="171"/>
      <c r="O195" s="194"/>
      <c r="P195" s="195"/>
      <c r="Q195" s="171"/>
      <c r="R195" s="171"/>
      <c r="S195" s="194"/>
      <c r="T195" s="195"/>
      <c r="U195" s="171"/>
      <c r="V195" s="171"/>
      <c r="W195" s="194"/>
      <c r="X195" s="195"/>
      <c r="Y195" s="171"/>
      <c r="Z195" s="171"/>
      <c r="AA195" s="194"/>
      <c r="AB195" s="195"/>
      <c r="AC195" s="171"/>
      <c r="AD195" s="171"/>
      <c r="AE195" s="194"/>
      <c r="AF195" s="195"/>
      <c r="AG195" s="171"/>
      <c r="AH195" s="171"/>
      <c r="AI195" s="194"/>
      <c r="AJ195" s="196"/>
    </row>
    <row r="196" spans="2:36">
      <c r="B196" s="166"/>
      <c r="C196" s="167"/>
      <c r="D196" s="171"/>
      <c r="E196" s="171"/>
      <c r="F196" s="171"/>
      <c r="G196" s="172"/>
      <c r="H196" s="173"/>
      <c r="I196" s="193"/>
      <c r="J196" s="171"/>
      <c r="K196" s="194"/>
      <c r="L196" s="173"/>
      <c r="M196" s="171"/>
      <c r="N196" s="171"/>
      <c r="O196" s="194"/>
      <c r="P196" s="195"/>
      <c r="Q196" s="171"/>
      <c r="R196" s="171"/>
      <c r="S196" s="194"/>
      <c r="T196" s="195"/>
      <c r="U196" s="171"/>
      <c r="V196" s="171"/>
      <c r="W196" s="194"/>
      <c r="X196" s="195"/>
      <c r="Y196" s="171"/>
      <c r="Z196" s="171"/>
      <c r="AA196" s="194"/>
      <c r="AB196" s="195"/>
      <c r="AC196" s="171"/>
      <c r="AD196" s="171"/>
      <c r="AE196" s="194"/>
      <c r="AF196" s="195"/>
      <c r="AG196" s="171"/>
      <c r="AH196" s="171"/>
      <c r="AI196" s="194"/>
      <c r="AJ196" s="196"/>
    </row>
    <row r="197" spans="2:36">
      <c r="B197" s="166"/>
      <c r="C197" s="167"/>
      <c r="D197" s="171"/>
      <c r="E197" s="171"/>
      <c r="F197" s="171"/>
      <c r="G197" s="172"/>
      <c r="H197" s="173"/>
      <c r="I197" s="193"/>
      <c r="J197" s="171"/>
      <c r="K197" s="194"/>
      <c r="L197" s="173"/>
      <c r="M197" s="171"/>
      <c r="N197" s="171"/>
      <c r="O197" s="194"/>
      <c r="P197" s="195"/>
      <c r="Q197" s="171"/>
      <c r="R197" s="171"/>
      <c r="S197" s="194"/>
      <c r="T197" s="195"/>
      <c r="U197" s="171"/>
      <c r="V197" s="171"/>
      <c r="W197" s="194"/>
      <c r="X197" s="195"/>
      <c r="Y197" s="171"/>
      <c r="Z197" s="171"/>
      <c r="AA197" s="194"/>
      <c r="AB197" s="195"/>
      <c r="AC197" s="171"/>
      <c r="AD197" s="171"/>
      <c r="AE197" s="194"/>
      <c r="AF197" s="195"/>
      <c r="AG197" s="171"/>
      <c r="AH197" s="171"/>
      <c r="AI197" s="194"/>
      <c r="AJ197" s="196"/>
    </row>
    <row r="198" spans="2:36">
      <c r="B198" s="166"/>
      <c r="C198" s="167"/>
      <c r="D198" s="171"/>
      <c r="E198" s="171"/>
      <c r="F198" s="171"/>
      <c r="G198" s="172"/>
      <c r="H198" s="173"/>
      <c r="I198" s="193"/>
      <c r="J198" s="171"/>
      <c r="K198" s="194"/>
      <c r="L198" s="173"/>
      <c r="M198" s="171"/>
      <c r="N198" s="171"/>
      <c r="O198" s="194"/>
      <c r="P198" s="195"/>
      <c r="Q198" s="171"/>
      <c r="R198" s="171"/>
      <c r="S198" s="194"/>
      <c r="T198" s="195"/>
      <c r="U198" s="171"/>
      <c r="V198" s="171"/>
      <c r="W198" s="194"/>
      <c r="X198" s="195"/>
      <c r="Y198" s="171"/>
      <c r="Z198" s="171"/>
      <c r="AA198" s="194"/>
      <c r="AB198" s="195"/>
      <c r="AC198" s="171"/>
      <c r="AD198" s="171"/>
      <c r="AE198" s="194"/>
      <c r="AF198" s="195"/>
      <c r="AG198" s="171"/>
      <c r="AH198" s="171"/>
      <c r="AI198" s="194"/>
      <c r="AJ198" s="196"/>
    </row>
    <row r="199" spans="2:36">
      <c r="B199" s="166"/>
      <c r="C199" s="167"/>
      <c r="D199" s="171"/>
      <c r="E199" s="171"/>
      <c r="F199" s="171"/>
      <c r="G199" s="172"/>
      <c r="H199" s="173"/>
      <c r="I199" s="193"/>
      <c r="J199" s="171"/>
      <c r="K199" s="194"/>
      <c r="L199" s="173"/>
      <c r="M199" s="171"/>
      <c r="N199" s="171"/>
      <c r="O199" s="194"/>
      <c r="P199" s="195"/>
      <c r="Q199" s="171"/>
      <c r="R199" s="171"/>
      <c r="S199" s="194"/>
      <c r="T199" s="195"/>
      <c r="U199" s="171"/>
      <c r="V199" s="171"/>
      <c r="W199" s="194"/>
      <c r="X199" s="195"/>
      <c r="Y199" s="171"/>
      <c r="Z199" s="171"/>
      <c r="AA199" s="194"/>
      <c r="AB199" s="195"/>
      <c r="AC199" s="171"/>
      <c r="AD199" s="171"/>
      <c r="AE199" s="194"/>
      <c r="AF199" s="195"/>
      <c r="AG199" s="171"/>
      <c r="AH199" s="171"/>
      <c r="AI199" s="194"/>
      <c r="AJ199" s="196"/>
    </row>
    <row r="200" spans="2:36">
      <c r="B200" s="166"/>
      <c r="C200" s="167"/>
      <c r="D200" s="171"/>
      <c r="E200" s="171"/>
      <c r="F200" s="171"/>
      <c r="G200" s="172"/>
      <c r="H200" s="173"/>
      <c r="I200" s="193"/>
      <c r="J200" s="171"/>
      <c r="K200" s="194"/>
      <c r="L200" s="173"/>
      <c r="M200" s="171"/>
      <c r="N200" s="171"/>
      <c r="O200" s="194"/>
      <c r="P200" s="195"/>
      <c r="Q200" s="171"/>
      <c r="R200" s="171"/>
      <c r="S200" s="194"/>
      <c r="T200" s="195"/>
      <c r="U200" s="171"/>
      <c r="V200" s="171"/>
      <c r="W200" s="194"/>
      <c r="X200" s="195"/>
      <c r="Y200" s="171"/>
      <c r="Z200" s="171"/>
      <c r="AA200" s="194"/>
      <c r="AB200" s="195"/>
      <c r="AC200" s="171"/>
      <c r="AD200" s="171"/>
      <c r="AE200" s="194"/>
      <c r="AF200" s="195"/>
      <c r="AG200" s="171"/>
      <c r="AH200" s="171"/>
      <c r="AI200" s="194"/>
      <c r="AJ200" s="196"/>
    </row>
    <row r="201" spans="2:36">
      <c r="B201" s="166"/>
      <c r="C201" s="167"/>
      <c r="D201" s="171"/>
      <c r="E201" s="171"/>
      <c r="F201" s="171"/>
      <c r="G201" s="172"/>
      <c r="H201" s="173"/>
      <c r="I201" s="193"/>
      <c r="J201" s="171"/>
      <c r="K201" s="194"/>
      <c r="L201" s="173"/>
      <c r="M201" s="171"/>
      <c r="N201" s="171"/>
      <c r="O201" s="194"/>
      <c r="P201" s="195"/>
      <c r="Q201" s="171"/>
      <c r="R201" s="171"/>
      <c r="S201" s="194"/>
      <c r="T201" s="195"/>
      <c r="U201" s="171"/>
      <c r="V201" s="171"/>
      <c r="W201" s="194"/>
      <c r="X201" s="195"/>
      <c r="Y201" s="171"/>
      <c r="Z201" s="171"/>
      <c r="AA201" s="194"/>
      <c r="AB201" s="195"/>
      <c r="AC201" s="171"/>
      <c r="AD201" s="171"/>
      <c r="AE201" s="194"/>
      <c r="AF201" s="195"/>
      <c r="AG201" s="171"/>
      <c r="AH201" s="171"/>
      <c r="AI201" s="194"/>
      <c r="AJ201" s="196"/>
    </row>
    <row r="202" spans="2:36">
      <c r="B202" s="166"/>
      <c r="C202" s="167"/>
      <c r="D202" s="171"/>
      <c r="E202" s="171"/>
      <c r="F202" s="171"/>
      <c r="G202" s="172"/>
      <c r="H202" s="173"/>
      <c r="I202" s="193"/>
      <c r="J202" s="171"/>
      <c r="K202" s="194"/>
      <c r="L202" s="173"/>
      <c r="M202" s="171"/>
      <c r="N202" s="171"/>
      <c r="O202" s="194"/>
      <c r="P202" s="195"/>
      <c r="Q202" s="171"/>
      <c r="R202" s="171"/>
      <c r="S202" s="194"/>
      <c r="T202" s="195"/>
      <c r="U202" s="171"/>
      <c r="V202" s="171"/>
      <c r="W202" s="194"/>
      <c r="X202" s="195"/>
      <c r="Y202" s="171"/>
      <c r="Z202" s="171"/>
      <c r="AA202" s="194"/>
      <c r="AB202" s="195"/>
      <c r="AC202" s="171"/>
      <c r="AD202" s="171"/>
      <c r="AE202" s="194"/>
      <c r="AF202" s="195"/>
      <c r="AG202" s="171"/>
      <c r="AH202" s="171"/>
      <c r="AI202" s="194"/>
      <c r="AJ202" s="196"/>
    </row>
    <row r="203" spans="2:36">
      <c r="B203" s="166"/>
      <c r="C203" s="167"/>
      <c r="D203" s="171"/>
      <c r="E203" s="171"/>
      <c r="F203" s="171"/>
      <c r="G203" s="172"/>
      <c r="H203" s="173"/>
      <c r="I203" s="193"/>
      <c r="J203" s="171"/>
      <c r="K203" s="194"/>
      <c r="L203" s="173"/>
      <c r="M203" s="171"/>
      <c r="N203" s="171"/>
      <c r="O203" s="194"/>
      <c r="P203" s="195"/>
      <c r="Q203" s="171"/>
      <c r="R203" s="171"/>
      <c r="S203" s="194"/>
      <c r="T203" s="195"/>
      <c r="U203" s="171"/>
      <c r="V203" s="171"/>
      <c r="W203" s="194"/>
      <c r="X203" s="195"/>
      <c r="Y203" s="171"/>
      <c r="Z203" s="171"/>
      <c r="AA203" s="194"/>
      <c r="AB203" s="195"/>
      <c r="AC203" s="171"/>
      <c r="AD203" s="171"/>
      <c r="AE203" s="194"/>
      <c r="AF203" s="195"/>
      <c r="AG203" s="171"/>
      <c r="AH203" s="171"/>
      <c r="AI203" s="194"/>
      <c r="AJ203" s="196"/>
    </row>
    <row r="204" spans="2:36">
      <c r="B204" s="166"/>
      <c r="C204" s="167"/>
      <c r="D204" s="171"/>
      <c r="E204" s="171"/>
      <c r="F204" s="171"/>
      <c r="G204" s="172"/>
      <c r="H204" s="173"/>
      <c r="I204" s="193"/>
      <c r="J204" s="171"/>
      <c r="K204" s="194"/>
      <c r="L204" s="173"/>
      <c r="M204" s="171"/>
      <c r="N204" s="171"/>
      <c r="O204" s="194"/>
      <c r="P204" s="195"/>
      <c r="Q204" s="171"/>
      <c r="R204" s="171"/>
      <c r="S204" s="194"/>
      <c r="T204" s="195"/>
      <c r="U204" s="171"/>
      <c r="V204" s="171"/>
      <c r="W204" s="194"/>
      <c r="X204" s="195"/>
      <c r="Y204" s="171"/>
      <c r="Z204" s="171"/>
      <c r="AA204" s="194"/>
      <c r="AB204" s="195"/>
      <c r="AC204" s="171"/>
      <c r="AD204" s="171"/>
      <c r="AE204" s="194"/>
      <c r="AF204" s="195"/>
      <c r="AG204" s="171"/>
      <c r="AH204" s="171"/>
      <c r="AI204" s="194"/>
      <c r="AJ204" s="196"/>
    </row>
    <row r="205" spans="2:36">
      <c r="B205" s="166"/>
      <c r="C205" s="167"/>
      <c r="D205" s="171"/>
      <c r="E205" s="171"/>
      <c r="F205" s="171"/>
      <c r="G205" s="172"/>
      <c r="H205" s="173"/>
      <c r="I205" s="193"/>
      <c r="J205" s="171"/>
      <c r="K205" s="194"/>
      <c r="L205" s="173"/>
      <c r="M205" s="171"/>
      <c r="N205" s="171"/>
      <c r="O205" s="194"/>
      <c r="P205" s="195"/>
      <c r="Q205" s="171"/>
      <c r="R205" s="171"/>
      <c r="S205" s="194"/>
      <c r="T205" s="195"/>
      <c r="U205" s="171"/>
      <c r="V205" s="171"/>
      <c r="W205" s="194"/>
      <c r="X205" s="195"/>
      <c r="Y205" s="171"/>
      <c r="Z205" s="171"/>
      <c r="AA205" s="194"/>
      <c r="AB205" s="195"/>
      <c r="AC205" s="171"/>
      <c r="AD205" s="171"/>
      <c r="AE205" s="194"/>
      <c r="AF205" s="195"/>
      <c r="AG205" s="171"/>
      <c r="AH205" s="171"/>
      <c r="AI205" s="194"/>
      <c r="AJ205" s="196"/>
    </row>
    <row r="206" spans="2:36">
      <c r="B206" s="166"/>
      <c r="C206" s="167"/>
      <c r="D206" s="171"/>
      <c r="E206" s="171"/>
      <c r="F206" s="171"/>
      <c r="G206" s="172"/>
      <c r="H206" s="173"/>
      <c r="I206" s="193"/>
      <c r="J206" s="171"/>
      <c r="K206" s="194"/>
      <c r="L206" s="173"/>
      <c r="M206" s="171"/>
      <c r="N206" s="171"/>
      <c r="O206" s="194"/>
      <c r="P206" s="195"/>
      <c r="Q206" s="171"/>
      <c r="R206" s="171"/>
      <c r="S206" s="194"/>
      <c r="T206" s="195"/>
      <c r="U206" s="171"/>
      <c r="V206" s="171"/>
      <c r="W206" s="194"/>
      <c r="X206" s="195"/>
      <c r="Y206" s="171"/>
      <c r="Z206" s="171"/>
      <c r="AA206" s="194"/>
      <c r="AB206" s="195"/>
      <c r="AC206" s="171"/>
      <c r="AD206" s="171"/>
      <c r="AE206" s="194"/>
      <c r="AF206" s="195"/>
      <c r="AG206" s="171"/>
      <c r="AH206" s="171"/>
      <c r="AI206" s="194"/>
      <c r="AJ206" s="196"/>
    </row>
    <row r="207" spans="2:36">
      <c r="B207" s="166"/>
      <c r="C207" s="167"/>
      <c r="D207" s="171"/>
      <c r="E207" s="171"/>
      <c r="F207" s="171"/>
      <c r="G207" s="172"/>
      <c r="H207" s="173"/>
      <c r="I207" s="193"/>
      <c r="J207" s="171"/>
      <c r="K207" s="194"/>
      <c r="L207" s="173"/>
      <c r="M207" s="171"/>
      <c r="N207" s="171"/>
      <c r="O207" s="194"/>
      <c r="P207" s="195"/>
      <c r="Q207" s="171"/>
      <c r="R207" s="171"/>
      <c r="S207" s="194"/>
      <c r="T207" s="195"/>
      <c r="U207" s="171"/>
      <c r="V207" s="171"/>
      <c r="W207" s="194"/>
      <c r="X207" s="195"/>
      <c r="Y207" s="171"/>
      <c r="Z207" s="171"/>
      <c r="AA207" s="194"/>
      <c r="AB207" s="195"/>
      <c r="AC207" s="171"/>
      <c r="AD207" s="171"/>
      <c r="AE207" s="194"/>
      <c r="AF207" s="195"/>
      <c r="AG207" s="171"/>
      <c r="AH207" s="171"/>
      <c r="AI207" s="194"/>
      <c r="AJ207" s="196"/>
    </row>
    <row r="208" spans="2:36">
      <c r="B208" s="166"/>
      <c r="C208" s="167"/>
      <c r="D208" s="171"/>
      <c r="E208" s="171"/>
      <c r="F208" s="171"/>
      <c r="G208" s="172"/>
      <c r="H208" s="173"/>
      <c r="I208" s="193"/>
      <c r="J208" s="171"/>
      <c r="K208" s="194"/>
      <c r="L208" s="173"/>
      <c r="M208" s="171"/>
      <c r="N208" s="171"/>
      <c r="O208" s="194"/>
      <c r="P208" s="195"/>
      <c r="Q208" s="171"/>
      <c r="R208" s="171"/>
      <c r="S208" s="194"/>
      <c r="T208" s="195"/>
      <c r="U208" s="171"/>
      <c r="V208" s="171"/>
      <c r="W208" s="194"/>
      <c r="X208" s="195"/>
      <c r="Y208" s="171"/>
      <c r="Z208" s="171"/>
      <c r="AA208" s="194"/>
      <c r="AB208" s="195"/>
      <c r="AC208" s="171"/>
      <c r="AD208" s="171"/>
      <c r="AE208" s="194"/>
      <c r="AF208" s="195"/>
      <c r="AG208" s="171"/>
      <c r="AH208" s="171"/>
      <c r="AI208" s="194"/>
      <c r="AJ208" s="196"/>
    </row>
    <row r="209" spans="2:36">
      <c r="B209" s="166"/>
      <c r="C209" s="167"/>
      <c r="D209" s="171"/>
      <c r="E209" s="171"/>
      <c r="F209" s="171"/>
      <c r="G209" s="172"/>
      <c r="H209" s="173"/>
      <c r="I209" s="193"/>
      <c r="J209" s="171"/>
      <c r="K209" s="194"/>
      <c r="L209" s="173"/>
      <c r="M209" s="171"/>
      <c r="N209" s="171"/>
      <c r="O209" s="194"/>
      <c r="P209" s="195"/>
      <c r="Q209" s="171"/>
      <c r="R209" s="171"/>
      <c r="S209" s="194"/>
      <c r="T209" s="195"/>
      <c r="U209" s="171"/>
      <c r="V209" s="171"/>
      <c r="W209" s="194"/>
      <c r="X209" s="195"/>
      <c r="Y209" s="171"/>
      <c r="Z209" s="171"/>
      <c r="AA209" s="194"/>
      <c r="AB209" s="195"/>
      <c r="AC209" s="171"/>
      <c r="AD209" s="171"/>
      <c r="AE209" s="194"/>
      <c r="AF209" s="195"/>
      <c r="AG209" s="171"/>
      <c r="AH209" s="171"/>
      <c r="AI209" s="194"/>
      <c r="AJ209" s="196"/>
    </row>
    <row r="210" spans="2:36">
      <c r="B210" s="166"/>
      <c r="C210" s="167"/>
      <c r="D210" s="171"/>
      <c r="E210" s="171"/>
      <c r="F210" s="171"/>
      <c r="G210" s="172"/>
      <c r="H210" s="173"/>
      <c r="I210" s="193"/>
      <c r="J210" s="171"/>
      <c r="K210" s="194"/>
      <c r="L210" s="173"/>
      <c r="M210" s="171"/>
      <c r="N210" s="171"/>
      <c r="O210" s="194"/>
      <c r="P210" s="195"/>
      <c r="Q210" s="171"/>
      <c r="R210" s="171"/>
      <c r="S210" s="194"/>
      <c r="T210" s="195"/>
      <c r="U210" s="171"/>
      <c r="V210" s="171"/>
      <c r="W210" s="194"/>
      <c r="X210" s="195"/>
      <c r="Y210" s="171"/>
      <c r="Z210" s="171"/>
      <c r="AA210" s="194"/>
      <c r="AB210" s="195"/>
      <c r="AC210" s="171"/>
      <c r="AD210" s="171"/>
      <c r="AE210" s="194"/>
      <c r="AF210" s="195"/>
      <c r="AG210" s="171"/>
      <c r="AH210" s="171"/>
      <c r="AI210" s="194"/>
      <c r="AJ210" s="196"/>
    </row>
    <row r="211" spans="2:36">
      <c r="B211" s="166"/>
      <c r="C211" s="167"/>
      <c r="D211" s="171"/>
      <c r="E211" s="171"/>
      <c r="F211" s="171"/>
      <c r="G211" s="172"/>
      <c r="H211" s="173"/>
      <c r="I211" s="193"/>
      <c r="J211" s="171"/>
      <c r="K211" s="194"/>
      <c r="L211" s="173"/>
      <c r="M211" s="171"/>
      <c r="N211" s="171"/>
      <c r="O211" s="194"/>
      <c r="P211" s="195"/>
      <c r="Q211" s="171"/>
      <c r="R211" s="171"/>
      <c r="S211" s="194"/>
      <c r="T211" s="195"/>
      <c r="U211" s="171"/>
      <c r="V211" s="171"/>
      <c r="W211" s="194"/>
      <c r="X211" s="195"/>
      <c r="Y211" s="171"/>
      <c r="Z211" s="171"/>
      <c r="AA211" s="194"/>
      <c r="AB211" s="195"/>
      <c r="AC211" s="171"/>
      <c r="AD211" s="171"/>
      <c r="AE211" s="194"/>
      <c r="AF211" s="195"/>
      <c r="AG211" s="171"/>
      <c r="AH211" s="171"/>
      <c r="AI211" s="194"/>
      <c r="AJ211" s="196"/>
    </row>
    <row r="212" spans="2:36">
      <c r="B212" s="166"/>
      <c r="C212" s="167"/>
      <c r="D212" s="171"/>
      <c r="E212" s="171"/>
      <c r="F212" s="171"/>
      <c r="G212" s="172"/>
      <c r="H212" s="173"/>
      <c r="I212" s="193"/>
      <c r="J212" s="171"/>
      <c r="K212" s="194"/>
      <c r="L212" s="173"/>
      <c r="M212" s="171"/>
      <c r="N212" s="171"/>
      <c r="O212" s="194"/>
      <c r="P212" s="195"/>
      <c r="Q212" s="171"/>
      <c r="R212" s="171"/>
      <c r="S212" s="194"/>
      <c r="T212" s="195"/>
      <c r="U212" s="171"/>
      <c r="V212" s="171"/>
      <c r="W212" s="194"/>
      <c r="X212" s="195"/>
      <c r="Y212" s="171"/>
      <c r="Z212" s="171"/>
      <c r="AA212" s="194"/>
      <c r="AB212" s="195"/>
      <c r="AC212" s="171"/>
      <c r="AD212" s="171"/>
      <c r="AE212" s="194"/>
      <c r="AF212" s="195"/>
      <c r="AG212" s="171"/>
      <c r="AH212" s="171"/>
      <c r="AI212" s="194"/>
      <c r="AJ212" s="196"/>
    </row>
    <row r="213" spans="2:36">
      <c r="B213" s="166"/>
      <c r="C213" s="167"/>
      <c r="D213" s="171"/>
      <c r="E213" s="171"/>
      <c r="F213" s="171"/>
      <c r="G213" s="172"/>
      <c r="H213" s="173"/>
      <c r="I213" s="193"/>
      <c r="J213" s="171"/>
      <c r="K213" s="194"/>
      <c r="L213" s="173"/>
      <c r="M213" s="171"/>
      <c r="N213" s="171"/>
      <c r="O213" s="194"/>
      <c r="P213" s="195"/>
      <c r="Q213" s="171"/>
      <c r="R213" s="171"/>
      <c r="S213" s="194"/>
      <c r="T213" s="195"/>
      <c r="U213" s="171"/>
      <c r="V213" s="171"/>
      <c r="W213" s="194"/>
      <c r="X213" s="195"/>
      <c r="Y213" s="171"/>
      <c r="Z213" s="171"/>
      <c r="AA213" s="194"/>
      <c r="AB213" s="195"/>
      <c r="AC213" s="171"/>
      <c r="AD213" s="171"/>
      <c r="AE213" s="194"/>
      <c r="AF213" s="195"/>
      <c r="AG213" s="171"/>
      <c r="AH213" s="171"/>
      <c r="AI213" s="194"/>
      <c r="AJ213" s="196"/>
    </row>
    <row r="214" spans="2:36">
      <c r="B214" s="166"/>
      <c r="C214" s="167"/>
      <c r="D214" s="171"/>
      <c r="E214" s="171"/>
      <c r="F214" s="171"/>
      <c r="G214" s="172"/>
      <c r="H214" s="173"/>
      <c r="I214" s="193"/>
      <c r="J214" s="171"/>
      <c r="K214" s="194"/>
      <c r="L214" s="173"/>
      <c r="M214" s="171"/>
      <c r="N214" s="171"/>
      <c r="O214" s="194"/>
      <c r="P214" s="195"/>
      <c r="Q214" s="171"/>
      <c r="R214" s="171"/>
      <c r="S214" s="194"/>
      <c r="T214" s="195"/>
      <c r="U214" s="171"/>
      <c r="V214" s="171"/>
      <c r="W214" s="194"/>
      <c r="X214" s="195"/>
      <c r="Y214" s="171"/>
      <c r="Z214" s="171"/>
      <c r="AA214" s="194"/>
      <c r="AB214" s="195"/>
      <c r="AC214" s="171"/>
      <c r="AD214" s="171"/>
      <c r="AE214" s="194"/>
      <c r="AF214" s="195"/>
      <c r="AG214" s="171"/>
      <c r="AH214" s="171"/>
      <c r="AI214" s="194"/>
      <c r="AJ214" s="196"/>
    </row>
    <row r="215" spans="2:36">
      <c r="B215" s="166"/>
      <c r="C215" s="167"/>
      <c r="D215" s="171"/>
      <c r="E215" s="171"/>
      <c r="F215" s="171"/>
      <c r="G215" s="172"/>
      <c r="H215" s="173"/>
      <c r="I215" s="193"/>
      <c r="J215" s="171"/>
      <c r="K215" s="194"/>
      <c r="L215" s="173"/>
      <c r="M215" s="171"/>
      <c r="N215" s="171"/>
      <c r="O215" s="194"/>
      <c r="P215" s="195"/>
      <c r="Q215" s="171"/>
      <c r="R215" s="171"/>
      <c r="S215" s="194"/>
      <c r="T215" s="195"/>
      <c r="U215" s="171"/>
      <c r="V215" s="171"/>
      <c r="W215" s="194"/>
      <c r="X215" s="195"/>
      <c r="Y215" s="171"/>
      <c r="Z215" s="171"/>
      <c r="AA215" s="194"/>
      <c r="AB215" s="195"/>
      <c r="AC215" s="171"/>
      <c r="AD215" s="171"/>
      <c r="AE215" s="194"/>
      <c r="AF215" s="195"/>
      <c r="AG215" s="171"/>
      <c r="AH215" s="171"/>
      <c r="AI215" s="194"/>
      <c r="AJ215" s="196"/>
    </row>
    <row r="216" spans="2:36">
      <c r="B216" s="166"/>
      <c r="C216" s="167"/>
      <c r="D216" s="171"/>
      <c r="E216" s="171"/>
      <c r="F216" s="171"/>
      <c r="G216" s="172"/>
      <c r="H216" s="173"/>
      <c r="I216" s="193"/>
      <c r="J216" s="171"/>
      <c r="K216" s="194"/>
      <c r="L216" s="173"/>
      <c r="M216" s="171"/>
      <c r="N216" s="171"/>
      <c r="O216" s="194"/>
      <c r="P216" s="195"/>
      <c r="Q216" s="171"/>
      <c r="R216" s="171"/>
      <c r="S216" s="194"/>
      <c r="T216" s="195"/>
      <c r="U216" s="171"/>
      <c r="V216" s="171"/>
      <c r="W216" s="194"/>
      <c r="X216" s="195"/>
      <c r="Y216" s="171"/>
      <c r="Z216" s="171"/>
      <c r="AA216" s="194"/>
      <c r="AB216" s="195"/>
      <c r="AC216" s="171"/>
      <c r="AD216" s="171"/>
      <c r="AE216" s="194"/>
      <c r="AF216" s="195"/>
      <c r="AG216" s="171"/>
      <c r="AH216" s="171"/>
      <c r="AI216" s="194"/>
      <c r="AJ216" s="196"/>
    </row>
    <row r="217" spans="2:36">
      <c r="B217" s="166"/>
      <c r="C217" s="167"/>
      <c r="D217" s="171"/>
      <c r="E217" s="171"/>
      <c r="F217" s="171"/>
      <c r="G217" s="172"/>
      <c r="H217" s="173"/>
      <c r="I217" s="193"/>
      <c r="J217" s="171"/>
      <c r="K217" s="194"/>
      <c r="L217" s="173"/>
      <c r="M217" s="171"/>
      <c r="N217" s="171"/>
      <c r="O217" s="194"/>
      <c r="P217" s="195"/>
      <c r="Q217" s="171"/>
      <c r="R217" s="171"/>
      <c r="S217" s="194"/>
      <c r="T217" s="195"/>
      <c r="U217" s="171"/>
      <c r="V217" s="171"/>
      <c r="W217" s="194"/>
      <c r="X217" s="195"/>
      <c r="Y217" s="171"/>
      <c r="Z217" s="171"/>
      <c r="AA217" s="194"/>
      <c r="AB217" s="195"/>
      <c r="AC217" s="171"/>
      <c r="AD217" s="171"/>
      <c r="AE217" s="194"/>
      <c r="AF217" s="195"/>
      <c r="AG217" s="171"/>
      <c r="AH217" s="171"/>
      <c r="AI217" s="194"/>
      <c r="AJ217" s="196"/>
    </row>
    <row r="218" spans="2:36">
      <c r="B218" s="166"/>
      <c r="C218" s="167"/>
      <c r="D218" s="171"/>
      <c r="E218" s="171"/>
      <c r="F218" s="171"/>
      <c r="G218" s="172"/>
      <c r="H218" s="173"/>
      <c r="I218" s="193"/>
      <c r="J218" s="171"/>
      <c r="K218" s="194"/>
      <c r="L218" s="173"/>
      <c r="M218" s="171"/>
      <c r="N218" s="171"/>
      <c r="O218" s="194"/>
      <c r="P218" s="195"/>
      <c r="Q218" s="171"/>
      <c r="R218" s="171"/>
      <c r="S218" s="194"/>
      <c r="T218" s="195"/>
      <c r="U218" s="171"/>
      <c r="V218" s="171"/>
      <c r="W218" s="194"/>
      <c r="X218" s="195"/>
      <c r="Y218" s="171"/>
      <c r="Z218" s="171"/>
      <c r="AA218" s="194"/>
      <c r="AB218" s="195"/>
      <c r="AC218" s="171"/>
      <c r="AD218" s="171"/>
      <c r="AE218" s="194"/>
      <c r="AF218" s="195"/>
      <c r="AG218" s="171"/>
      <c r="AH218" s="171"/>
      <c r="AI218" s="194"/>
      <c r="AJ218" s="196"/>
    </row>
    <row r="219" spans="2:36">
      <c r="B219" s="166"/>
      <c r="C219" s="167"/>
      <c r="D219" s="171"/>
      <c r="E219" s="171"/>
      <c r="F219" s="171"/>
      <c r="G219" s="172"/>
      <c r="H219" s="173"/>
      <c r="I219" s="193"/>
      <c r="J219" s="171"/>
      <c r="K219" s="194"/>
      <c r="L219" s="173"/>
      <c r="M219" s="171"/>
      <c r="N219" s="171"/>
      <c r="O219" s="194"/>
      <c r="P219" s="195"/>
      <c r="Q219" s="171"/>
      <c r="R219" s="171"/>
      <c r="S219" s="194"/>
      <c r="T219" s="195"/>
      <c r="U219" s="171"/>
      <c r="V219" s="171"/>
      <c r="W219" s="194"/>
      <c r="X219" s="195"/>
      <c r="Y219" s="171"/>
      <c r="Z219" s="171"/>
      <c r="AA219" s="194"/>
      <c r="AB219" s="195"/>
      <c r="AC219" s="171"/>
      <c r="AD219" s="171"/>
      <c r="AE219" s="194"/>
      <c r="AF219" s="195"/>
      <c r="AG219" s="171"/>
      <c r="AH219" s="171"/>
      <c r="AI219" s="194"/>
      <c r="AJ219" s="196"/>
    </row>
    <row r="220" spans="2:36">
      <c r="B220" s="166"/>
      <c r="C220" s="167"/>
      <c r="D220" s="171"/>
      <c r="E220" s="171"/>
      <c r="F220" s="171"/>
      <c r="G220" s="172"/>
      <c r="H220" s="173"/>
      <c r="I220" s="193"/>
      <c r="J220" s="171"/>
      <c r="K220" s="194"/>
      <c r="L220" s="173"/>
      <c r="M220" s="171"/>
      <c r="N220" s="171"/>
      <c r="O220" s="194"/>
      <c r="P220" s="195"/>
      <c r="Q220" s="171"/>
      <c r="R220" s="171"/>
      <c r="S220" s="194"/>
      <c r="T220" s="195"/>
      <c r="U220" s="171"/>
      <c r="V220" s="171"/>
      <c r="W220" s="194"/>
      <c r="X220" s="195"/>
      <c r="Y220" s="171"/>
      <c r="Z220" s="171"/>
      <c r="AA220" s="194"/>
      <c r="AB220" s="195"/>
      <c r="AC220" s="171"/>
      <c r="AD220" s="171"/>
      <c r="AE220" s="194"/>
      <c r="AF220" s="195"/>
      <c r="AG220" s="171"/>
      <c r="AH220" s="171"/>
      <c r="AI220" s="194"/>
      <c r="AJ220" s="196"/>
    </row>
    <row r="221" spans="2:36">
      <c r="B221" s="166"/>
      <c r="C221" s="167"/>
      <c r="D221" s="171"/>
      <c r="E221" s="171"/>
      <c r="F221" s="171"/>
      <c r="G221" s="172"/>
      <c r="H221" s="173"/>
      <c r="I221" s="193"/>
      <c r="J221" s="171"/>
      <c r="K221" s="194"/>
      <c r="L221" s="173"/>
      <c r="M221" s="171"/>
      <c r="N221" s="171"/>
      <c r="O221" s="194"/>
      <c r="P221" s="195"/>
      <c r="Q221" s="171"/>
      <c r="R221" s="171"/>
      <c r="S221" s="194"/>
      <c r="T221" s="195"/>
      <c r="U221" s="171"/>
      <c r="V221" s="171"/>
      <c r="W221" s="194"/>
      <c r="X221" s="195"/>
      <c r="Y221" s="171"/>
      <c r="Z221" s="171"/>
      <c r="AA221" s="194"/>
      <c r="AB221" s="195"/>
      <c r="AC221" s="171"/>
      <c r="AD221" s="171"/>
      <c r="AE221" s="194"/>
      <c r="AF221" s="195"/>
      <c r="AG221" s="171"/>
      <c r="AH221" s="171"/>
      <c r="AI221" s="194"/>
      <c r="AJ221" s="196"/>
    </row>
    <row r="222" spans="2:36">
      <c r="B222" s="166"/>
      <c r="C222" s="167"/>
      <c r="D222" s="171"/>
      <c r="E222" s="171"/>
      <c r="F222" s="171"/>
      <c r="G222" s="172"/>
      <c r="H222" s="173"/>
      <c r="I222" s="193"/>
      <c r="J222" s="171"/>
      <c r="K222" s="194"/>
      <c r="L222" s="173"/>
      <c r="M222" s="171"/>
      <c r="N222" s="171"/>
      <c r="O222" s="194"/>
      <c r="P222" s="195"/>
      <c r="Q222" s="171"/>
      <c r="R222" s="171"/>
      <c r="S222" s="194"/>
      <c r="T222" s="195"/>
      <c r="U222" s="171"/>
      <c r="V222" s="171"/>
      <c r="W222" s="194"/>
      <c r="X222" s="195"/>
      <c r="Y222" s="171"/>
      <c r="Z222" s="171"/>
      <c r="AA222" s="194"/>
      <c r="AB222" s="195"/>
      <c r="AC222" s="171"/>
      <c r="AD222" s="171"/>
      <c r="AE222" s="194"/>
      <c r="AF222" s="195"/>
      <c r="AG222" s="171"/>
      <c r="AH222" s="171"/>
      <c r="AI222" s="194"/>
      <c r="AJ222" s="196"/>
    </row>
    <row r="223" spans="2:36">
      <c r="B223" s="166"/>
      <c r="C223" s="167"/>
      <c r="D223" s="171"/>
      <c r="E223" s="171"/>
      <c r="F223" s="171"/>
      <c r="G223" s="172"/>
      <c r="H223" s="173"/>
      <c r="I223" s="193"/>
      <c r="J223" s="171"/>
      <c r="K223" s="194"/>
      <c r="L223" s="173"/>
      <c r="M223" s="171"/>
      <c r="N223" s="171"/>
      <c r="O223" s="194"/>
      <c r="P223" s="195"/>
      <c r="Q223" s="171"/>
      <c r="R223" s="171"/>
      <c r="S223" s="194"/>
      <c r="T223" s="195"/>
      <c r="U223" s="171"/>
      <c r="V223" s="171"/>
      <c r="W223" s="194"/>
      <c r="X223" s="195"/>
      <c r="Y223" s="171"/>
      <c r="Z223" s="171"/>
      <c r="AA223" s="194"/>
      <c r="AB223" s="195"/>
      <c r="AC223" s="171"/>
      <c r="AD223" s="171"/>
      <c r="AE223" s="194"/>
      <c r="AF223" s="195"/>
      <c r="AG223" s="171"/>
      <c r="AH223" s="171"/>
      <c r="AI223" s="194"/>
      <c r="AJ223" s="196"/>
    </row>
    <row r="224" spans="2:36">
      <c r="B224" s="166"/>
      <c r="C224" s="167"/>
      <c r="D224" s="171"/>
      <c r="E224" s="171"/>
      <c r="F224" s="171"/>
      <c r="G224" s="172"/>
      <c r="H224" s="173"/>
      <c r="I224" s="193"/>
      <c r="J224" s="171"/>
      <c r="K224" s="194"/>
      <c r="L224" s="173"/>
      <c r="M224" s="171"/>
      <c r="N224" s="171"/>
      <c r="O224" s="194"/>
      <c r="P224" s="195"/>
      <c r="Q224" s="171"/>
      <c r="R224" s="171"/>
      <c r="S224" s="194"/>
      <c r="T224" s="195"/>
      <c r="U224" s="171"/>
      <c r="V224" s="171"/>
      <c r="W224" s="194"/>
      <c r="X224" s="195"/>
      <c r="Y224" s="171"/>
      <c r="Z224" s="171"/>
      <c r="AA224" s="194"/>
      <c r="AB224" s="195"/>
      <c r="AC224" s="171"/>
      <c r="AD224" s="171"/>
      <c r="AE224" s="194"/>
      <c r="AF224" s="195"/>
      <c r="AG224" s="171"/>
      <c r="AH224" s="171"/>
      <c r="AI224" s="194"/>
      <c r="AJ224" s="196"/>
    </row>
    <row r="225" spans="2:36">
      <c r="B225" s="166"/>
      <c r="C225" s="167"/>
      <c r="D225" s="171"/>
      <c r="E225" s="171"/>
      <c r="F225" s="171"/>
      <c r="G225" s="172"/>
      <c r="H225" s="173"/>
      <c r="I225" s="193"/>
      <c r="J225" s="171"/>
      <c r="K225" s="194"/>
      <c r="L225" s="173"/>
      <c r="M225" s="171"/>
      <c r="N225" s="171"/>
      <c r="O225" s="194"/>
      <c r="P225" s="195"/>
      <c r="Q225" s="171"/>
      <c r="R225" s="171"/>
      <c r="S225" s="194"/>
      <c r="T225" s="195"/>
      <c r="U225" s="171"/>
      <c r="V225" s="171"/>
      <c r="W225" s="194"/>
      <c r="X225" s="195"/>
      <c r="Y225" s="171"/>
      <c r="Z225" s="171"/>
      <c r="AA225" s="194"/>
      <c r="AB225" s="195"/>
      <c r="AC225" s="171"/>
      <c r="AD225" s="171"/>
      <c r="AE225" s="194"/>
      <c r="AF225" s="195"/>
      <c r="AG225" s="171"/>
      <c r="AH225" s="171"/>
      <c r="AI225" s="194"/>
      <c r="AJ225" s="196"/>
    </row>
    <row r="226" spans="2:36">
      <c r="B226" s="166"/>
      <c r="C226" s="167"/>
      <c r="D226" s="171"/>
      <c r="E226" s="171"/>
      <c r="F226" s="171"/>
      <c r="G226" s="172"/>
      <c r="H226" s="173"/>
      <c r="I226" s="193"/>
      <c r="J226" s="171"/>
      <c r="K226" s="194"/>
      <c r="L226" s="173"/>
      <c r="M226" s="171"/>
      <c r="N226" s="171"/>
      <c r="O226" s="194"/>
      <c r="P226" s="195"/>
      <c r="Q226" s="171"/>
      <c r="R226" s="171"/>
      <c r="S226" s="194"/>
      <c r="T226" s="195"/>
      <c r="U226" s="171"/>
      <c r="V226" s="171"/>
      <c r="W226" s="194"/>
      <c r="X226" s="195"/>
      <c r="Y226" s="171"/>
      <c r="Z226" s="171"/>
      <c r="AA226" s="194"/>
      <c r="AB226" s="195"/>
      <c r="AC226" s="171"/>
      <c r="AD226" s="171"/>
      <c r="AE226" s="194"/>
      <c r="AF226" s="195"/>
      <c r="AG226" s="171"/>
      <c r="AH226" s="171"/>
      <c r="AI226" s="194"/>
      <c r="AJ226" s="196"/>
    </row>
    <row r="227" spans="2:36">
      <c r="B227" s="166"/>
      <c r="C227" s="167"/>
      <c r="D227" s="171"/>
      <c r="E227" s="171"/>
      <c r="F227" s="171"/>
      <c r="G227" s="172"/>
      <c r="H227" s="173"/>
      <c r="I227" s="193"/>
      <c r="J227" s="171"/>
      <c r="K227" s="194"/>
      <c r="L227" s="173"/>
      <c r="M227" s="171"/>
      <c r="N227" s="171"/>
      <c r="O227" s="194"/>
      <c r="P227" s="195"/>
      <c r="Q227" s="171"/>
      <c r="R227" s="171"/>
      <c r="S227" s="194"/>
      <c r="T227" s="195"/>
      <c r="U227" s="171"/>
      <c r="V227" s="171"/>
      <c r="W227" s="194"/>
      <c r="X227" s="195"/>
      <c r="Y227" s="171"/>
      <c r="Z227" s="171"/>
      <c r="AA227" s="194"/>
      <c r="AB227" s="195"/>
      <c r="AC227" s="171"/>
      <c r="AD227" s="171"/>
      <c r="AE227" s="194"/>
      <c r="AF227" s="195"/>
      <c r="AG227" s="171"/>
      <c r="AH227" s="171"/>
      <c r="AI227" s="194"/>
      <c r="AJ227" s="196"/>
    </row>
    <row r="228" spans="2:36">
      <c r="B228" s="166"/>
      <c r="C228" s="167"/>
      <c r="D228" s="171"/>
      <c r="E228" s="171"/>
      <c r="F228" s="171"/>
      <c r="G228" s="172"/>
      <c r="H228" s="173"/>
      <c r="I228" s="193"/>
      <c r="J228" s="171"/>
      <c r="K228" s="194"/>
      <c r="L228" s="173"/>
      <c r="M228" s="171"/>
      <c r="N228" s="171"/>
      <c r="O228" s="194"/>
      <c r="P228" s="195"/>
      <c r="Q228" s="171"/>
      <c r="R228" s="171"/>
      <c r="S228" s="194"/>
      <c r="T228" s="195"/>
      <c r="U228" s="171"/>
      <c r="V228" s="171"/>
      <c r="W228" s="194"/>
      <c r="X228" s="195"/>
      <c r="Y228" s="171"/>
      <c r="Z228" s="171"/>
      <c r="AA228" s="194"/>
      <c r="AB228" s="195"/>
      <c r="AC228" s="171"/>
      <c r="AD228" s="171"/>
      <c r="AE228" s="194"/>
      <c r="AF228" s="195"/>
      <c r="AG228" s="171"/>
      <c r="AH228" s="171"/>
      <c r="AI228" s="194"/>
      <c r="AJ228" s="196"/>
    </row>
    <row r="229" spans="2:36">
      <c r="B229" s="166"/>
      <c r="C229" s="167"/>
      <c r="D229" s="171"/>
      <c r="E229" s="171"/>
      <c r="F229" s="171"/>
      <c r="G229" s="172"/>
      <c r="H229" s="173"/>
      <c r="I229" s="193"/>
      <c r="J229" s="171"/>
      <c r="K229" s="194"/>
      <c r="L229" s="173"/>
      <c r="M229" s="171"/>
      <c r="N229" s="171"/>
      <c r="O229" s="194"/>
      <c r="P229" s="195"/>
      <c r="Q229" s="171"/>
      <c r="R229" s="171"/>
      <c r="S229" s="194"/>
      <c r="T229" s="195"/>
      <c r="U229" s="171"/>
      <c r="V229" s="171"/>
      <c r="W229" s="194"/>
      <c r="X229" s="195"/>
      <c r="Y229" s="171"/>
      <c r="Z229" s="171"/>
      <c r="AA229" s="194"/>
      <c r="AB229" s="195"/>
      <c r="AC229" s="171"/>
      <c r="AD229" s="171"/>
      <c r="AE229" s="194"/>
      <c r="AF229" s="195"/>
      <c r="AG229" s="171"/>
      <c r="AH229" s="171"/>
      <c r="AI229" s="194"/>
      <c r="AJ229" s="196"/>
    </row>
    <row r="230" spans="2:36">
      <c r="B230" s="166"/>
      <c r="C230" s="167"/>
      <c r="D230" s="171"/>
      <c r="E230" s="171"/>
      <c r="F230" s="171"/>
      <c r="G230" s="172"/>
      <c r="H230" s="173"/>
      <c r="I230" s="193"/>
      <c r="J230" s="171"/>
      <c r="K230" s="194"/>
      <c r="L230" s="173"/>
      <c r="M230" s="171"/>
      <c r="N230" s="171"/>
      <c r="O230" s="194"/>
      <c r="P230" s="195"/>
      <c r="Q230" s="171"/>
      <c r="R230" s="171"/>
      <c r="S230" s="194"/>
      <c r="T230" s="195"/>
      <c r="U230" s="171"/>
      <c r="V230" s="171"/>
      <c r="W230" s="194"/>
      <c r="X230" s="195"/>
      <c r="Y230" s="171"/>
      <c r="Z230" s="171"/>
      <c r="AA230" s="194"/>
      <c r="AB230" s="195"/>
      <c r="AC230" s="171"/>
      <c r="AD230" s="171"/>
      <c r="AE230" s="194"/>
      <c r="AF230" s="195"/>
      <c r="AG230" s="171"/>
      <c r="AH230" s="171"/>
      <c r="AI230" s="194"/>
      <c r="AJ230" s="196"/>
    </row>
    <row r="231" spans="2:36">
      <c r="B231" s="166"/>
      <c r="C231" s="167"/>
      <c r="D231" s="171"/>
      <c r="E231" s="171"/>
      <c r="F231" s="171"/>
      <c r="G231" s="172"/>
      <c r="H231" s="173"/>
      <c r="I231" s="193"/>
      <c r="J231" s="171"/>
      <c r="K231" s="194"/>
      <c r="L231" s="173"/>
      <c r="M231" s="171"/>
      <c r="N231" s="171"/>
      <c r="O231" s="194"/>
      <c r="P231" s="195"/>
      <c r="Q231" s="171"/>
      <c r="R231" s="171"/>
      <c r="S231" s="194"/>
      <c r="T231" s="195"/>
      <c r="U231" s="171"/>
      <c r="V231" s="171"/>
      <c r="W231" s="194"/>
      <c r="X231" s="195"/>
      <c r="Y231" s="171"/>
      <c r="Z231" s="171"/>
      <c r="AA231" s="194"/>
      <c r="AB231" s="195"/>
      <c r="AC231" s="171"/>
      <c r="AD231" s="171"/>
      <c r="AE231" s="194"/>
      <c r="AF231" s="195"/>
      <c r="AG231" s="171"/>
      <c r="AH231" s="171"/>
      <c r="AI231" s="194"/>
      <c r="AJ231" s="196"/>
    </row>
    <row r="232" spans="2:36">
      <c r="B232" s="166"/>
      <c r="C232" s="167"/>
      <c r="D232" s="171"/>
      <c r="E232" s="171"/>
      <c r="F232" s="171"/>
      <c r="G232" s="172"/>
      <c r="H232" s="173"/>
      <c r="I232" s="193"/>
      <c r="J232" s="171"/>
      <c r="K232" s="194"/>
      <c r="L232" s="173"/>
      <c r="M232" s="171"/>
      <c r="N232" s="171"/>
      <c r="O232" s="194"/>
      <c r="P232" s="195"/>
      <c r="Q232" s="171"/>
      <c r="R232" s="171"/>
      <c r="S232" s="194"/>
      <c r="T232" s="195"/>
      <c r="U232" s="171"/>
      <c r="V232" s="171"/>
      <c r="W232" s="194"/>
      <c r="X232" s="195"/>
      <c r="Y232" s="171"/>
      <c r="Z232" s="171"/>
      <c r="AA232" s="194"/>
      <c r="AB232" s="195"/>
      <c r="AC232" s="171"/>
      <c r="AD232" s="171"/>
      <c r="AE232" s="194"/>
      <c r="AF232" s="195"/>
      <c r="AG232" s="171"/>
      <c r="AH232" s="171"/>
      <c r="AI232" s="194"/>
      <c r="AJ232" s="196"/>
    </row>
    <row r="233" spans="2:36">
      <c r="B233" s="166"/>
      <c r="C233" s="167"/>
      <c r="D233" s="171"/>
      <c r="E233" s="171"/>
      <c r="F233" s="171"/>
      <c r="G233" s="172"/>
      <c r="H233" s="173"/>
      <c r="I233" s="193"/>
      <c r="J233" s="171"/>
      <c r="K233" s="194"/>
      <c r="L233" s="173"/>
      <c r="M233" s="171"/>
      <c r="N233" s="171"/>
      <c r="O233" s="194"/>
      <c r="P233" s="195"/>
      <c r="Q233" s="171"/>
      <c r="R233" s="171"/>
      <c r="S233" s="194"/>
      <c r="T233" s="195"/>
      <c r="U233" s="171"/>
      <c r="V233" s="171"/>
      <c r="W233" s="194"/>
      <c r="X233" s="195"/>
      <c r="Y233" s="171"/>
      <c r="Z233" s="171"/>
      <c r="AA233" s="194"/>
      <c r="AB233" s="195"/>
      <c r="AC233" s="171"/>
      <c r="AD233" s="171"/>
      <c r="AE233" s="194"/>
      <c r="AF233" s="195"/>
      <c r="AG233" s="171"/>
      <c r="AH233" s="171"/>
      <c r="AI233" s="194"/>
      <c r="AJ233" s="196"/>
    </row>
    <row r="234" spans="2:36">
      <c r="B234" s="166"/>
      <c r="C234" s="167"/>
      <c r="D234" s="171"/>
      <c r="E234" s="171"/>
      <c r="F234" s="171"/>
      <c r="G234" s="172"/>
      <c r="H234" s="173"/>
      <c r="I234" s="193"/>
      <c r="J234" s="171"/>
      <c r="K234" s="194"/>
      <c r="L234" s="173"/>
      <c r="M234" s="171"/>
      <c r="N234" s="171"/>
      <c r="O234" s="194"/>
      <c r="P234" s="195"/>
      <c r="Q234" s="171"/>
      <c r="R234" s="171"/>
      <c r="S234" s="194"/>
      <c r="T234" s="195"/>
      <c r="U234" s="171"/>
      <c r="V234" s="171"/>
      <c r="W234" s="194"/>
      <c r="X234" s="195"/>
      <c r="Y234" s="171"/>
      <c r="Z234" s="171"/>
      <c r="AA234" s="194"/>
      <c r="AB234" s="195"/>
      <c r="AC234" s="171"/>
      <c r="AD234" s="171"/>
      <c r="AE234" s="194"/>
      <c r="AF234" s="195"/>
      <c r="AG234" s="171"/>
      <c r="AH234" s="171"/>
      <c r="AI234" s="194"/>
      <c r="AJ234" s="196"/>
    </row>
    <row r="235" spans="2:36">
      <c r="B235" s="166"/>
      <c r="C235" s="167"/>
      <c r="D235" s="171"/>
      <c r="E235" s="171"/>
      <c r="F235" s="171"/>
      <c r="G235" s="172"/>
      <c r="H235" s="173"/>
      <c r="I235" s="193"/>
      <c r="J235" s="171"/>
      <c r="K235" s="194"/>
      <c r="L235" s="173"/>
      <c r="M235" s="171"/>
      <c r="N235" s="171"/>
      <c r="O235" s="194"/>
      <c r="P235" s="195"/>
      <c r="Q235" s="171"/>
      <c r="R235" s="171"/>
      <c r="S235" s="194"/>
      <c r="T235" s="195"/>
      <c r="U235" s="171"/>
      <c r="V235" s="171"/>
      <c r="W235" s="194"/>
      <c r="X235" s="195"/>
      <c r="Y235" s="171"/>
      <c r="Z235" s="171"/>
      <c r="AA235" s="194"/>
      <c r="AB235" s="195"/>
      <c r="AC235" s="171"/>
      <c r="AD235" s="171"/>
      <c r="AE235" s="194"/>
      <c r="AF235" s="195"/>
      <c r="AG235" s="171"/>
      <c r="AH235" s="171"/>
      <c r="AI235" s="194"/>
      <c r="AJ235" s="196"/>
    </row>
    <row r="236" spans="2:36">
      <c r="B236" s="166"/>
      <c r="C236" s="167"/>
      <c r="D236" s="171"/>
      <c r="E236" s="171"/>
      <c r="F236" s="171"/>
      <c r="G236" s="172"/>
      <c r="H236" s="173"/>
      <c r="I236" s="193"/>
      <c r="J236" s="171"/>
      <c r="K236" s="194"/>
      <c r="L236" s="173"/>
      <c r="M236" s="171"/>
      <c r="N236" s="171"/>
      <c r="O236" s="194"/>
      <c r="P236" s="195"/>
      <c r="Q236" s="171"/>
      <c r="R236" s="171"/>
      <c r="S236" s="194"/>
      <c r="T236" s="195"/>
      <c r="U236" s="171"/>
      <c r="V236" s="171"/>
      <c r="W236" s="194"/>
      <c r="X236" s="195"/>
      <c r="Y236" s="171"/>
      <c r="Z236" s="171"/>
      <c r="AA236" s="194"/>
      <c r="AB236" s="195"/>
      <c r="AC236" s="171"/>
      <c r="AD236" s="171"/>
      <c r="AE236" s="194"/>
      <c r="AF236" s="195"/>
      <c r="AG236" s="171"/>
      <c r="AH236" s="171"/>
      <c r="AI236" s="194"/>
      <c r="AJ236" s="196"/>
    </row>
    <row r="237" spans="2:36">
      <c r="B237" s="166"/>
      <c r="C237" s="167"/>
      <c r="D237" s="171"/>
      <c r="E237" s="171"/>
      <c r="F237" s="171"/>
      <c r="G237" s="172"/>
      <c r="H237" s="173"/>
      <c r="I237" s="193"/>
      <c r="J237" s="171"/>
      <c r="K237" s="194"/>
      <c r="L237" s="173"/>
      <c r="M237" s="171"/>
      <c r="N237" s="171"/>
      <c r="O237" s="194"/>
      <c r="P237" s="195"/>
      <c r="Q237" s="171"/>
      <c r="R237" s="171"/>
      <c r="S237" s="194"/>
      <c r="T237" s="195"/>
      <c r="U237" s="171"/>
      <c r="V237" s="171"/>
      <c r="W237" s="194"/>
      <c r="X237" s="195"/>
      <c r="Y237" s="171"/>
      <c r="Z237" s="171"/>
      <c r="AA237" s="194"/>
      <c r="AB237" s="195"/>
      <c r="AC237" s="171"/>
      <c r="AD237" s="171"/>
      <c r="AE237" s="194"/>
      <c r="AF237" s="195"/>
      <c r="AG237" s="171"/>
      <c r="AH237" s="171"/>
      <c r="AI237" s="194"/>
      <c r="AJ237" s="196"/>
    </row>
    <row r="238" spans="2:36">
      <c r="B238" s="166"/>
      <c r="C238" s="167"/>
      <c r="D238" s="171"/>
      <c r="E238" s="171"/>
      <c r="F238" s="171"/>
      <c r="G238" s="172"/>
      <c r="H238" s="173"/>
      <c r="I238" s="193"/>
      <c r="J238" s="171"/>
      <c r="K238" s="194"/>
      <c r="L238" s="173"/>
      <c r="M238" s="171"/>
      <c r="N238" s="171"/>
      <c r="O238" s="194"/>
      <c r="P238" s="195"/>
      <c r="Q238" s="171"/>
      <c r="R238" s="171"/>
      <c r="S238" s="194"/>
      <c r="T238" s="195"/>
      <c r="U238" s="171"/>
      <c r="V238" s="171"/>
      <c r="W238" s="194"/>
      <c r="X238" s="195"/>
      <c r="Y238" s="171"/>
      <c r="Z238" s="171"/>
      <c r="AA238" s="194"/>
      <c r="AB238" s="195"/>
      <c r="AC238" s="171"/>
      <c r="AD238" s="171"/>
      <c r="AE238" s="194"/>
      <c r="AF238" s="195"/>
      <c r="AG238" s="171"/>
      <c r="AH238" s="171"/>
      <c r="AI238" s="194"/>
      <c r="AJ238" s="196"/>
    </row>
    <row r="239" spans="2:36">
      <c r="B239" s="166"/>
      <c r="C239" s="167"/>
      <c r="D239" s="171"/>
      <c r="E239" s="171"/>
      <c r="F239" s="171"/>
      <c r="G239" s="172"/>
      <c r="H239" s="173"/>
      <c r="I239" s="193"/>
      <c r="J239" s="171"/>
      <c r="K239" s="194"/>
      <c r="L239" s="173"/>
      <c r="M239" s="171"/>
      <c r="N239" s="171"/>
      <c r="O239" s="194"/>
      <c r="P239" s="195"/>
      <c r="Q239" s="171"/>
      <c r="R239" s="171"/>
      <c r="S239" s="194"/>
      <c r="T239" s="195"/>
      <c r="U239" s="171"/>
      <c r="V239" s="171"/>
      <c r="W239" s="194"/>
      <c r="X239" s="195"/>
      <c r="Y239" s="171"/>
      <c r="Z239" s="171"/>
      <c r="AA239" s="194"/>
      <c r="AB239" s="195"/>
      <c r="AC239" s="171"/>
      <c r="AD239" s="171"/>
      <c r="AE239" s="194"/>
      <c r="AF239" s="195"/>
      <c r="AG239" s="171"/>
      <c r="AH239" s="171"/>
      <c r="AI239" s="194"/>
      <c r="AJ239" s="196"/>
    </row>
    <row r="240" spans="2:36">
      <c r="B240" s="166"/>
      <c r="C240" s="167"/>
      <c r="D240" s="171"/>
      <c r="E240" s="171"/>
      <c r="F240" s="171"/>
      <c r="G240" s="172"/>
      <c r="H240" s="173"/>
      <c r="I240" s="193"/>
      <c r="J240" s="171"/>
      <c r="K240" s="194"/>
      <c r="L240" s="173"/>
      <c r="M240" s="171"/>
      <c r="N240" s="171"/>
      <c r="O240" s="194"/>
      <c r="P240" s="195"/>
      <c r="Q240" s="171"/>
      <c r="R240" s="171"/>
      <c r="S240" s="194"/>
      <c r="T240" s="195"/>
      <c r="U240" s="171"/>
      <c r="V240" s="171"/>
      <c r="W240" s="194"/>
      <c r="X240" s="195"/>
      <c r="Y240" s="171"/>
      <c r="Z240" s="171"/>
      <c r="AA240" s="194"/>
      <c r="AB240" s="195"/>
      <c r="AC240" s="171"/>
      <c r="AD240" s="171"/>
      <c r="AE240" s="194"/>
      <c r="AF240" s="195"/>
      <c r="AG240" s="171"/>
      <c r="AH240" s="171"/>
      <c r="AI240" s="194"/>
      <c r="AJ240" s="196"/>
    </row>
    <row r="241" spans="2:36">
      <c r="B241" s="166"/>
      <c r="C241" s="167"/>
      <c r="D241" s="171"/>
      <c r="E241" s="171"/>
      <c r="F241" s="171"/>
      <c r="G241" s="172"/>
      <c r="H241" s="173"/>
      <c r="I241" s="193"/>
      <c r="J241" s="171"/>
      <c r="K241" s="194"/>
      <c r="L241" s="173"/>
      <c r="M241" s="171"/>
      <c r="N241" s="171"/>
      <c r="O241" s="194"/>
      <c r="P241" s="195"/>
      <c r="Q241" s="171"/>
      <c r="R241" s="171"/>
      <c r="S241" s="194"/>
      <c r="T241" s="195"/>
      <c r="U241" s="171"/>
      <c r="V241" s="171"/>
      <c r="W241" s="194"/>
      <c r="X241" s="195"/>
      <c r="Y241" s="171"/>
      <c r="Z241" s="171"/>
      <c r="AA241" s="194"/>
      <c r="AB241" s="195"/>
      <c r="AC241" s="171"/>
      <c r="AD241" s="171"/>
      <c r="AE241" s="194"/>
      <c r="AF241" s="195"/>
      <c r="AG241" s="171"/>
      <c r="AH241" s="171"/>
      <c r="AI241" s="194"/>
      <c r="AJ241" s="196"/>
    </row>
    <row r="242" spans="2:36">
      <c r="B242" s="166"/>
      <c r="C242" s="167"/>
      <c r="D242" s="171"/>
      <c r="E242" s="171"/>
      <c r="F242" s="171"/>
      <c r="G242" s="172"/>
      <c r="H242" s="173"/>
      <c r="I242" s="193"/>
      <c r="J242" s="171"/>
      <c r="K242" s="194"/>
      <c r="L242" s="173"/>
      <c r="M242" s="171"/>
      <c r="N242" s="171"/>
      <c r="O242" s="194"/>
      <c r="P242" s="195"/>
      <c r="Q242" s="171"/>
      <c r="R242" s="171"/>
      <c r="S242" s="194"/>
      <c r="T242" s="195"/>
      <c r="U242" s="171"/>
      <c r="V242" s="171"/>
      <c r="W242" s="194"/>
      <c r="X242" s="195"/>
      <c r="Y242" s="171"/>
      <c r="Z242" s="171"/>
      <c r="AA242" s="194"/>
      <c r="AB242" s="195"/>
      <c r="AC242" s="171"/>
      <c r="AD242" s="171"/>
      <c r="AE242" s="194"/>
      <c r="AF242" s="195"/>
      <c r="AG242" s="171"/>
      <c r="AH242" s="171"/>
      <c r="AI242" s="194"/>
      <c r="AJ242" s="196"/>
    </row>
    <row r="243" spans="2:36">
      <c r="B243" s="166"/>
      <c r="C243" s="167"/>
      <c r="D243" s="171"/>
      <c r="E243" s="171"/>
      <c r="F243" s="171"/>
      <c r="G243" s="172"/>
      <c r="H243" s="173"/>
      <c r="I243" s="193"/>
      <c r="J243" s="171"/>
      <c r="K243" s="194"/>
      <c r="L243" s="173"/>
      <c r="M243" s="171"/>
      <c r="N243" s="171"/>
      <c r="O243" s="194"/>
      <c r="P243" s="195"/>
      <c r="Q243" s="171"/>
      <c r="R243" s="171"/>
      <c r="S243" s="194"/>
      <c r="T243" s="195"/>
      <c r="U243" s="171"/>
      <c r="V243" s="171"/>
      <c r="W243" s="194"/>
      <c r="X243" s="195"/>
      <c r="Y243" s="171"/>
      <c r="Z243" s="171"/>
      <c r="AA243" s="194"/>
      <c r="AB243" s="195"/>
      <c r="AC243" s="171"/>
      <c r="AD243" s="171"/>
      <c r="AE243" s="194"/>
      <c r="AF243" s="195"/>
      <c r="AG243" s="171"/>
      <c r="AH243" s="171"/>
      <c r="AI243" s="194"/>
      <c r="AJ243" s="196"/>
    </row>
    <row r="244" spans="2:36">
      <c r="B244" s="166"/>
      <c r="C244" s="167"/>
      <c r="D244" s="171"/>
      <c r="E244" s="171"/>
      <c r="F244" s="171"/>
      <c r="G244" s="172"/>
      <c r="H244" s="173"/>
      <c r="I244" s="193"/>
      <c r="J244" s="171"/>
      <c r="K244" s="194"/>
      <c r="L244" s="173"/>
      <c r="M244" s="171"/>
      <c r="N244" s="171"/>
      <c r="O244" s="194"/>
      <c r="P244" s="195"/>
      <c r="Q244" s="171"/>
      <c r="R244" s="171"/>
      <c r="S244" s="194"/>
      <c r="T244" s="195"/>
      <c r="U244" s="171"/>
      <c r="V244" s="171"/>
      <c r="W244" s="194"/>
      <c r="X244" s="195"/>
      <c r="Y244" s="171"/>
      <c r="Z244" s="171"/>
      <c r="AA244" s="194"/>
      <c r="AB244" s="195"/>
      <c r="AC244" s="171"/>
      <c r="AD244" s="171"/>
      <c r="AE244" s="194"/>
      <c r="AF244" s="195"/>
      <c r="AG244" s="171"/>
      <c r="AH244" s="171"/>
      <c r="AI244" s="194"/>
      <c r="AJ244" s="196"/>
    </row>
    <row r="245" spans="2:36">
      <c r="B245" s="166"/>
      <c r="C245" s="167"/>
      <c r="D245" s="171"/>
      <c r="E245" s="171"/>
      <c r="F245" s="171"/>
      <c r="G245" s="172"/>
      <c r="H245" s="173"/>
      <c r="I245" s="193"/>
      <c r="J245" s="171"/>
      <c r="K245" s="194"/>
      <c r="L245" s="173"/>
      <c r="M245" s="171"/>
      <c r="N245" s="171"/>
      <c r="O245" s="194"/>
      <c r="P245" s="195"/>
      <c r="Q245" s="171"/>
      <c r="R245" s="171"/>
      <c r="S245" s="194"/>
      <c r="T245" s="195"/>
      <c r="U245" s="171"/>
      <c r="V245" s="171"/>
      <c r="W245" s="194"/>
      <c r="X245" s="195"/>
      <c r="Y245" s="171"/>
      <c r="Z245" s="171"/>
      <c r="AA245" s="194"/>
      <c r="AB245" s="195"/>
      <c r="AC245" s="171"/>
      <c r="AD245" s="171"/>
      <c r="AE245" s="194"/>
      <c r="AF245" s="195"/>
      <c r="AG245" s="171"/>
      <c r="AH245" s="171"/>
      <c r="AI245" s="194"/>
      <c r="AJ245" s="196"/>
    </row>
    <row r="246" spans="2:36">
      <c r="B246" s="166"/>
      <c r="C246" s="167"/>
      <c r="D246" s="171"/>
      <c r="E246" s="171"/>
      <c r="F246" s="171"/>
      <c r="G246" s="172"/>
      <c r="H246" s="173"/>
      <c r="I246" s="193"/>
      <c r="J246" s="171"/>
      <c r="K246" s="194"/>
      <c r="L246" s="173"/>
      <c r="M246" s="171"/>
      <c r="N246" s="171"/>
      <c r="O246" s="194"/>
      <c r="P246" s="195"/>
      <c r="Q246" s="171"/>
      <c r="R246" s="171"/>
      <c r="S246" s="194"/>
      <c r="T246" s="195"/>
      <c r="U246" s="171"/>
      <c r="V246" s="171"/>
      <c r="W246" s="194"/>
      <c r="X246" s="195"/>
      <c r="Y246" s="171"/>
      <c r="Z246" s="171"/>
      <c r="AA246" s="194"/>
      <c r="AB246" s="195"/>
      <c r="AC246" s="171"/>
      <c r="AD246" s="171"/>
      <c r="AE246" s="194"/>
      <c r="AF246" s="195"/>
      <c r="AG246" s="171"/>
      <c r="AH246" s="171"/>
      <c r="AI246" s="194"/>
      <c r="AJ246" s="196"/>
    </row>
    <row r="247" spans="2:36">
      <c r="B247" s="166"/>
      <c r="C247" s="167"/>
      <c r="D247" s="171"/>
      <c r="E247" s="171"/>
      <c r="F247" s="171"/>
      <c r="G247" s="172"/>
      <c r="H247" s="173"/>
      <c r="I247" s="193"/>
      <c r="J247" s="171"/>
      <c r="K247" s="194"/>
      <c r="L247" s="173"/>
      <c r="M247" s="171"/>
      <c r="N247" s="171"/>
      <c r="O247" s="194"/>
      <c r="P247" s="195"/>
      <c r="Q247" s="171"/>
      <c r="R247" s="171"/>
      <c r="S247" s="194"/>
      <c r="T247" s="195"/>
      <c r="U247" s="171"/>
      <c r="V247" s="171"/>
      <c r="W247" s="194"/>
      <c r="X247" s="195"/>
      <c r="Y247" s="171"/>
      <c r="Z247" s="171"/>
      <c r="AA247" s="194"/>
      <c r="AB247" s="195"/>
      <c r="AC247" s="171"/>
      <c r="AD247" s="171"/>
      <c r="AE247" s="194"/>
      <c r="AF247" s="195"/>
      <c r="AG247" s="171"/>
      <c r="AH247" s="171"/>
      <c r="AI247" s="194"/>
      <c r="AJ247" s="196"/>
    </row>
    <row r="248" spans="2:36">
      <c r="B248" s="166"/>
      <c r="C248" s="167"/>
      <c r="D248" s="171"/>
      <c r="E248" s="171"/>
      <c r="F248" s="171"/>
      <c r="G248" s="172"/>
      <c r="H248" s="173"/>
      <c r="I248" s="193"/>
      <c r="J248" s="171"/>
      <c r="K248" s="194"/>
      <c r="L248" s="173"/>
      <c r="M248" s="171"/>
      <c r="N248" s="171"/>
      <c r="O248" s="194"/>
      <c r="P248" s="195"/>
      <c r="Q248" s="171"/>
      <c r="R248" s="171"/>
      <c r="S248" s="194"/>
      <c r="T248" s="195"/>
      <c r="U248" s="171"/>
      <c r="V248" s="171"/>
      <c r="W248" s="194"/>
      <c r="X248" s="195"/>
      <c r="Y248" s="171"/>
      <c r="Z248" s="171"/>
      <c r="AA248" s="194"/>
      <c r="AB248" s="195"/>
      <c r="AC248" s="171"/>
      <c r="AD248" s="171"/>
      <c r="AE248" s="194"/>
      <c r="AF248" s="195"/>
      <c r="AG248" s="171"/>
      <c r="AH248" s="171"/>
      <c r="AI248" s="194"/>
      <c r="AJ248" s="196"/>
    </row>
    <row r="249" spans="2:36">
      <c r="B249" s="166"/>
      <c r="C249" s="167"/>
      <c r="D249" s="171"/>
      <c r="E249" s="171"/>
      <c r="F249" s="171"/>
      <c r="G249" s="172"/>
      <c r="H249" s="173"/>
      <c r="I249" s="193"/>
      <c r="J249" s="171"/>
      <c r="K249" s="194"/>
      <c r="L249" s="173"/>
      <c r="M249" s="171"/>
      <c r="N249" s="171"/>
      <c r="O249" s="194"/>
      <c r="P249" s="195"/>
      <c r="Q249" s="171"/>
      <c r="R249" s="171"/>
      <c r="S249" s="194"/>
      <c r="T249" s="195"/>
      <c r="U249" s="171"/>
      <c r="V249" s="171"/>
      <c r="W249" s="194"/>
      <c r="X249" s="195"/>
      <c r="Y249" s="171"/>
      <c r="Z249" s="171"/>
      <c r="AA249" s="194"/>
      <c r="AB249" s="195"/>
      <c r="AC249" s="171"/>
      <c r="AD249" s="171"/>
      <c r="AE249" s="194"/>
      <c r="AF249" s="195"/>
      <c r="AG249" s="171"/>
      <c r="AH249" s="171"/>
      <c r="AI249" s="194"/>
      <c r="AJ249" s="196"/>
    </row>
    <row r="250" spans="2:36">
      <c r="B250" s="166"/>
      <c r="C250" s="167"/>
      <c r="D250" s="171"/>
      <c r="E250" s="171"/>
      <c r="F250" s="171"/>
      <c r="G250" s="172"/>
      <c r="H250" s="173"/>
      <c r="I250" s="193"/>
      <c r="J250" s="171"/>
      <c r="K250" s="194"/>
      <c r="L250" s="173"/>
      <c r="M250" s="171"/>
      <c r="N250" s="171"/>
      <c r="O250" s="194"/>
      <c r="P250" s="195"/>
      <c r="Q250" s="171"/>
      <c r="R250" s="171"/>
      <c r="S250" s="194"/>
      <c r="T250" s="195"/>
      <c r="U250" s="171"/>
      <c r="V250" s="171"/>
      <c r="W250" s="194"/>
      <c r="X250" s="195"/>
      <c r="Y250" s="171"/>
      <c r="Z250" s="171"/>
      <c r="AA250" s="194"/>
      <c r="AB250" s="195"/>
      <c r="AC250" s="171"/>
      <c r="AD250" s="171"/>
      <c r="AE250" s="194"/>
      <c r="AF250" s="195"/>
      <c r="AG250" s="171"/>
      <c r="AH250" s="171"/>
      <c r="AI250" s="194"/>
      <c r="AJ250" s="196"/>
    </row>
    <row r="251" spans="2:36">
      <c r="B251" s="166"/>
      <c r="C251" s="167"/>
      <c r="D251" s="171"/>
      <c r="E251" s="171"/>
      <c r="F251" s="171"/>
      <c r="G251" s="172"/>
      <c r="H251" s="173"/>
      <c r="I251" s="193"/>
      <c r="J251" s="171"/>
      <c r="K251" s="194"/>
      <c r="L251" s="173"/>
      <c r="M251" s="171"/>
      <c r="N251" s="171"/>
      <c r="O251" s="194"/>
      <c r="P251" s="195"/>
      <c r="Q251" s="171"/>
      <c r="R251" s="171"/>
      <c r="S251" s="194"/>
      <c r="T251" s="195"/>
      <c r="U251" s="171"/>
      <c r="V251" s="171"/>
      <c r="W251" s="194"/>
      <c r="X251" s="195"/>
      <c r="Y251" s="171"/>
      <c r="Z251" s="171"/>
      <c r="AA251" s="194"/>
      <c r="AB251" s="195"/>
      <c r="AC251" s="171"/>
      <c r="AD251" s="171"/>
      <c r="AE251" s="194"/>
      <c r="AF251" s="195"/>
      <c r="AG251" s="171"/>
      <c r="AH251" s="171"/>
      <c r="AI251" s="194"/>
      <c r="AJ251" s="196"/>
    </row>
    <row r="252" spans="2:36">
      <c r="B252" s="166"/>
      <c r="C252" s="167"/>
      <c r="D252" s="171"/>
      <c r="E252" s="171"/>
      <c r="F252" s="171"/>
      <c r="G252" s="172"/>
      <c r="H252" s="173"/>
      <c r="I252" s="193"/>
      <c r="J252" s="171"/>
      <c r="K252" s="194"/>
      <c r="L252" s="173"/>
      <c r="M252" s="171"/>
      <c r="N252" s="171"/>
      <c r="O252" s="194"/>
      <c r="P252" s="195"/>
      <c r="Q252" s="171"/>
      <c r="R252" s="171"/>
      <c r="S252" s="194"/>
      <c r="T252" s="195"/>
      <c r="U252" s="171"/>
      <c r="V252" s="171"/>
      <c r="W252" s="194"/>
      <c r="X252" s="195"/>
      <c r="Y252" s="171"/>
      <c r="Z252" s="171"/>
      <c r="AA252" s="194"/>
      <c r="AB252" s="195"/>
      <c r="AC252" s="171"/>
      <c r="AD252" s="171"/>
      <c r="AE252" s="194"/>
      <c r="AF252" s="195"/>
      <c r="AG252" s="171"/>
      <c r="AH252" s="171"/>
      <c r="AI252" s="194"/>
      <c r="AJ252" s="196"/>
    </row>
    <row r="253" spans="2:36">
      <c r="B253" s="166"/>
      <c r="C253" s="167"/>
      <c r="D253" s="171"/>
      <c r="E253" s="171"/>
      <c r="F253" s="171"/>
      <c r="G253" s="172"/>
      <c r="H253" s="173"/>
      <c r="I253" s="193"/>
      <c r="J253" s="171"/>
      <c r="K253" s="194"/>
      <c r="L253" s="173"/>
      <c r="M253" s="171"/>
      <c r="N253" s="171"/>
      <c r="O253" s="194"/>
      <c r="P253" s="195"/>
      <c r="Q253" s="171"/>
      <c r="R253" s="171"/>
      <c r="S253" s="194"/>
      <c r="T253" s="195"/>
      <c r="U253" s="171"/>
      <c r="V253" s="171"/>
      <c r="W253" s="194"/>
      <c r="X253" s="195"/>
      <c r="Y253" s="171"/>
      <c r="Z253" s="171"/>
      <c r="AA253" s="194"/>
      <c r="AB253" s="195"/>
      <c r="AC253" s="171"/>
      <c r="AD253" s="171"/>
      <c r="AE253" s="194"/>
      <c r="AF253" s="195"/>
      <c r="AG253" s="171"/>
      <c r="AH253" s="171"/>
      <c r="AI253" s="194"/>
      <c r="AJ253" s="196"/>
    </row>
    <row r="254" spans="2:36">
      <c r="B254" s="166"/>
      <c r="C254" s="167"/>
      <c r="D254" s="171"/>
      <c r="E254" s="171"/>
      <c r="F254" s="171"/>
      <c r="G254" s="172"/>
      <c r="H254" s="173"/>
      <c r="I254" s="193"/>
      <c r="J254" s="171"/>
      <c r="K254" s="194"/>
      <c r="L254" s="173"/>
      <c r="M254" s="171"/>
      <c r="N254" s="171"/>
      <c r="O254" s="194"/>
      <c r="P254" s="195"/>
      <c r="Q254" s="171"/>
      <c r="R254" s="171"/>
      <c r="S254" s="194"/>
      <c r="T254" s="195"/>
      <c r="U254" s="171"/>
      <c r="V254" s="171"/>
      <c r="W254" s="194"/>
      <c r="X254" s="195"/>
      <c r="Y254" s="171"/>
      <c r="Z254" s="171"/>
      <c r="AA254" s="194"/>
      <c r="AB254" s="195"/>
      <c r="AC254" s="171"/>
      <c r="AD254" s="171"/>
      <c r="AE254" s="194"/>
      <c r="AF254" s="195"/>
      <c r="AG254" s="171"/>
      <c r="AH254" s="171"/>
      <c r="AI254" s="194"/>
      <c r="AJ254" s="196"/>
    </row>
    <row r="255" spans="2:36">
      <c r="B255" s="166"/>
      <c r="C255" s="167"/>
      <c r="D255" s="171"/>
      <c r="E255" s="171"/>
      <c r="F255" s="171"/>
      <c r="G255" s="172"/>
      <c r="H255" s="173"/>
      <c r="I255" s="193"/>
      <c r="J255" s="171"/>
      <c r="K255" s="194"/>
      <c r="L255" s="173"/>
      <c r="M255" s="171"/>
      <c r="N255" s="171"/>
      <c r="O255" s="194"/>
      <c r="P255" s="195"/>
      <c r="Q255" s="171"/>
      <c r="R255" s="171"/>
      <c r="S255" s="194"/>
      <c r="T255" s="195"/>
      <c r="U255" s="171"/>
      <c r="V255" s="171"/>
      <c r="W255" s="194"/>
      <c r="X255" s="195"/>
      <c r="Y255" s="171"/>
      <c r="Z255" s="171"/>
      <c r="AA255" s="194"/>
      <c r="AB255" s="195"/>
      <c r="AC255" s="171"/>
      <c r="AD255" s="171"/>
      <c r="AE255" s="194"/>
      <c r="AF255" s="195"/>
      <c r="AG255" s="171"/>
      <c r="AH255" s="171"/>
      <c r="AI255" s="194"/>
      <c r="AJ255" s="196"/>
    </row>
    <row r="256" spans="2:36">
      <c r="B256" s="166"/>
      <c r="C256" s="167"/>
      <c r="D256" s="171"/>
      <c r="E256" s="171"/>
      <c r="F256" s="171"/>
      <c r="G256" s="172"/>
      <c r="H256" s="173"/>
      <c r="I256" s="193"/>
      <c r="J256" s="171"/>
      <c r="K256" s="194"/>
      <c r="L256" s="173"/>
      <c r="M256" s="171"/>
      <c r="N256" s="171"/>
      <c r="O256" s="194"/>
      <c r="P256" s="195"/>
      <c r="Q256" s="171"/>
      <c r="R256" s="171"/>
      <c r="S256" s="194"/>
      <c r="T256" s="195"/>
      <c r="U256" s="171"/>
      <c r="V256" s="171"/>
      <c r="W256" s="194"/>
      <c r="X256" s="195"/>
      <c r="Y256" s="171"/>
      <c r="Z256" s="171"/>
      <c r="AA256" s="194"/>
      <c r="AB256" s="195"/>
      <c r="AC256" s="171"/>
      <c r="AD256" s="171"/>
      <c r="AE256" s="194"/>
      <c r="AF256" s="195"/>
      <c r="AG256" s="171"/>
      <c r="AH256" s="171"/>
      <c r="AI256" s="194"/>
      <c r="AJ256" s="196"/>
    </row>
    <row r="257" spans="2:36">
      <c r="B257" s="166"/>
      <c r="C257" s="167"/>
      <c r="D257" s="171"/>
      <c r="E257" s="171"/>
      <c r="F257" s="171"/>
      <c r="G257" s="172"/>
      <c r="H257" s="173"/>
      <c r="I257" s="193"/>
      <c r="J257" s="171"/>
      <c r="K257" s="194"/>
      <c r="L257" s="173"/>
      <c r="M257" s="171"/>
      <c r="N257" s="171"/>
      <c r="O257" s="194"/>
      <c r="P257" s="195"/>
      <c r="Q257" s="171"/>
      <c r="R257" s="171"/>
      <c r="S257" s="194"/>
      <c r="T257" s="195"/>
      <c r="U257" s="171"/>
      <c r="V257" s="171"/>
      <c r="W257" s="194"/>
      <c r="X257" s="195"/>
      <c r="Y257" s="171"/>
      <c r="Z257" s="171"/>
      <c r="AA257" s="194"/>
      <c r="AB257" s="195"/>
      <c r="AC257" s="171"/>
      <c r="AD257" s="171"/>
      <c r="AE257" s="194"/>
      <c r="AF257" s="195"/>
      <c r="AG257" s="171"/>
      <c r="AH257" s="171"/>
      <c r="AI257" s="194"/>
      <c r="AJ257" s="196"/>
    </row>
    <row r="258" spans="2:36">
      <c r="B258" s="166"/>
      <c r="C258" s="167"/>
      <c r="D258" s="171"/>
      <c r="E258" s="171"/>
      <c r="F258" s="171"/>
      <c r="G258" s="172"/>
      <c r="H258" s="173"/>
      <c r="I258" s="193"/>
      <c r="J258" s="171"/>
      <c r="K258" s="194"/>
      <c r="L258" s="173"/>
      <c r="M258" s="171"/>
      <c r="N258" s="171"/>
      <c r="O258" s="194"/>
      <c r="P258" s="195"/>
      <c r="Q258" s="171"/>
      <c r="R258" s="171"/>
      <c r="S258" s="194"/>
      <c r="T258" s="195"/>
      <c r="U258" s="171"/>
      <c r="V258" s="171"/>
      <c r="W258" s="194"/>
      <c r="X258" s="195"/>
      <c r="Y258" s="171"/>
      <c r="Z258" s="171"/>
      <c r="AA258" s="194"/>
      <c r="AB258" s="195"/>
      <c r="AC258" s="171"/>
      <c r="AD258" s="171"/>
      <c r="AE258" s="194"/>
      <c r="AF258" s="195"/>
      <c r="AG258" s="171"/>
      <c r="AH258" s="171"/>
      <c r="AI258" s="194"/>
      <c r="AJ258" s="196"/>
    </row>
    <row r="259" spans="2:36">
      <c r="B259" s="166"/>
      <c r="C259" s="167"/>
      <c r="D259" s="171"/>
      <c r="E259" s="171"/>
      <c r="F259" s="171"/>
      <c r="G259" s="172"/>
      <c r="H259" s="173"/>
      <c r="I259" s="193"/>
      <c r="J259" s="171"/>
      <c r="K259" s="194"/>
      <c r="L259" s="173"/>
      <c r="M259" s="171"/>
      <c r="N259" s="171"/>
      <c r="O259" s="194"/>
      <c r="P259" s="195"/>
      <c r="Q259" s="171"/>
      <c r="R259" s="171"/>
      <c r="S259" s="194"/>
      <c r="T259" s="195"/>
      <c r="U259" s="171"/>
      <c r="V259" s="171"/>
      <c r="W259" s="194"/>
      <c r="X259" s="195"/>
      <c r="Y259" s="171"/>
      <c r="Z259" s="171"/>
      <c r="AA259" s="194"/>
      <c r="AB259" s="195"/>
      <c r="AC259" s="171"/>
      <c r="AD259" s="171"/>
      <c r="AE259" s="194"/>
      <c r="AF259" s="195"/>
      <c r="AG259" s="171"/>
      <c r="AH259" s="171"/>
      <c r="AI259" s="194"/>
      <c r="AJ259" s="196"/>
    </row>
    <row r="260" spans="2:36">
      <c r="B260" s="166"/>
      <c r="C260" s="167"/>
      <c r="D260" s="171"/>
      <c r="E260" s="171"/>
      <c r="F260" s="171"/>
      <c r="G260" s="172"/>
      <c r="H260" s="173"/>
      <c r="I260" s="193"/>
      <c r="J260" s="171"/>
      <c r="K260" s="194"/>
      <c r="L260" s="173"/>
      <c r="M260" s="171"/>
      <c r="N260" s="171"/>
      <c r="O260" s="194"/>
      <c r="P260" s="195"/>
      <c r="Q260" s="171"/>
      <c r="R260" s="171"/>
      <c r="S260" s="194"/>
      <c r="T260" s="195"/>
      <c r="U260" s="171"/>
      <c r="V260" s="171"/>
      <c r="W260" s="194"/>
      <c r="X260" s="195"/>
      <c r="Y260" s="171"/>
      <c r="Z260" s="171"/>
      <c r="AA260" s="194"/>
      <c r="AB260" s="195"/>
      <c r="AC260" s="171"/>
      <c r="AD260" s="171"/>
      <c r="AE260" s="194"/>
      <c r="AF260" s="195"/>
      <c r="AG260" s="171"/>
      <c r="AH260" s="171"/>
      <c r="AI260" s="194"/>
      <c r="AJ260" s="196"/>
    </row>
    <row r="261" spans="2:36">
      <c r="B261" s="166"/>
      <c r="C261" s="167"/>
      <c r="D261" s="171"/>
      <c r="E261" s="171"/>
      <c r="F261" s="171"/>
      <c r="G261" s="172"/>
      <c r="H261" s="173"/>
      <c r="I261" s="193"/>
      <c r="J261" s="171"/>
      <c r="K261" s="194"/>
      <c r="L261" s="173"/>
      <c r="M261" s="171"/>
      <c r="N261" s="171"/>
      <c r="O261" s="194"/>
      <c r="P261" s="195"/>
      <c r="Q261" s="171"/>
      <c r="R261" s="171"/>
      <c r="S261" s="194"/>
      <c r="T261" s="195"/>
      <c r="U261" s="171"/>
      <c r="V261" s="171"/>
      <c r="W261" s="194"/>
      <c r="X261" s="195"/>
      <c r="Y261" s="171"/>
      <c r="Z261" s="171"/>
      <c r="AA261" s="194"/>
      <c r="AB261" s="195"/>
      <c r="AC261" s="171"/>
      <c r="AD261" s="171"/>
      <c r="AE261" s="194"/>
      <c r="AF261" s="195"/>
      <c r="AG261" s="171"/>
      <c r="AH261" s="171"/>
      <c r="AI261" s="194"/>
      <c r="AJ261" s="196"/>
    </row>
    <row r="262" spans="2:36">
      <c r="B262" s="166"/>
      <c r="C262" s="167"/>
      <c r="D262" s="171"/>
      <c r="E262" s="171"/>
      <c r="F262" s="171"/>
      <c r="G262" s="172"/>
      <c r="H262" s="173"/>
      <c r="I262" s="193"/>
      <c r="J262" s="171"/>
      <c r="K262" s="194"/>
      <c r="L262" s="173"/>
      <c r="M262" s="171"/>
      <c r="N262" s="171"/>
      <c r="O262" s="194"/>
      <c r="P262" s="195"/>
      <c r="Q262" s="171"/>
      <c r="R262" s="171"/>
      <c r="S262" s="194"/>
      <c r="T262" s="195"/>
      <c r="U262" s="171"/>
      <c r="V262" s="171"/>
      <c r="W262" s="194"/>
      <c r="X262" s="195"/>
      <c r="Y262" s="171"/>
      <c r="Z262" s="171"/>
      <c r="AA262" s="194"/>
      <c r="AB262" s="195"/>
      <c r="AC262" s="171"/>
      <c r="AD262" s="171"/>
      <c r="AE262" s="194"/>
      <c r="AF262" s="195"/>
      <c r="AG262" s="171"/>
      <c r="AH262" s="171"/>
      <c r="AI262" s="194"/>
      <c r="AJ262" s="196"/>
    </row>
    <row r="263" spans="2:36">
      <c r="B263" s="166"/>
      <c r="C263" s="167"/>
      <c r="D263" s="171"/>
      <c r="E263" s="171"/>
      <c r="F263" s="171"/>
      <c r="G263" s="172"/>
      <c r="H263" s="173"/>
      <c r="I263" s="193"/>
      <c r="J263" s="171"/>
      <c r="K263" s="194"/>
      <c r="L263" s="173"/>
      <c r="M263" s="171"/>
      <c r="N263" s="171"/>
      <c r="O263" s="194"/>
      <c r="P263" s="195"/>
      <c r="Q263" s="171"/>
      <c r="R263" s="171"/>
      <c r="S263" s="194"/>
      <c r="T263" s="195"/>
      <c r="U263" s="171"/>
      <c r="V263" s="171"/>
      <c r="W263" s="194"/>
      <c r="X263" s="195"/>
      <c r="Y263" s="171"/>
      <c r="Z263" s="171"/>
      <c r="AA263" s="194"/>
      <c r="AB263" s="195"/>
      <c r="AC263" s="171"/>
      <c r="AD263" s="171"/>
      <c r="AE263" s="194"/>
      <c r="AF263" s="195"/>
      <c r="AG263" s="171"/>
      <c r="AH263" s="171"/>
      <c r="AI263" s="194"/>
      <c r="AJ263" s="196"/>
    </row>
    <row r="264" spans="2:36">
      <c r="B264" s="166"/>
      <c r="C264" s="167"/>
      <c r="D264" s="171"/>
      <c r="E264" s="171"/>
      <c r="F264" s="171"/>
      <c r="G264" s="172"/>
      <c r="H264" s="173"/>
      <c r="I264" s="193"/>
      <c r="J264" s="171"/>
      <c r="K264" s="194"/>
      <c r="L264" s="173"/>
      <c r="M264" s="171"/>
      <c r="N264" s="171"/>
      <c r="O264" s="194"/>
      <c r="P264" s="195"/>
      <c r="Q264" s="171"/>
      <c r="R264" s="171"/>
      <c r="S264" s="194"/>
      <c r="T264" s="195"/>
      <c r="U264" s="171"/>
      <c r="V264" s="171"/>
      <c r="W264" s="194"/>
      <c r="X264" s="195"/>
      <c r="Y264" s="171"/>
      <c r="Z264" s="171"/>
      <c r="AA264" s="194"/>
      <c r="AB264" s="195"/>
      <c r="AC264" s="171"/>
      <c r="AD264" s="171"/>
      <c r="AE264" s="194"/>
      <c r="AF264" s="195"/>
      <c r="AG264" s="171"/>
      <c r="AH264" s="171"/>
      <c r="AI264" s="194"/>
      <c r="AJ264" s="196"/>
    </row>
    <row r="265" spans="2:36">
      <c r="B265" s="166"/>
      <c r="C265" s="167"/>
      <c r="D265" s="171"/>
      <c r="E265" s="171"/>
      <c r="F265" s="171"/>
      <c r="G265" s="172"/>
      <c r="H265" s="173"/>
      <c r="I265" s="193"/>
      <c r="J265" s="171"/>
      <c r="K265" s="194"/>
      <c r="L265" s="173"/>
      <c r="M265" s="171"/>
      <c r="N265" s="171"/>
      <c r="O265" s="194"/>
      <c r="P265" s="195"/>
      <c r="Q265" s="171"/>
      <c r="R265" s="171"/>
      <c r="S265" s="194"/>
      <c r="T265" s="195"/>
      <c r="U265" s="171"/>
      <c r="V265" s="171"/>
      <c r="W265" s="194"/>
      <c r="X265" s="195"/>
      <c r="Y265" s="171"/>
      <c r="Z265" s="171"/>
      <c r="AA265" s="194"/>
      <c r="AB265" s="195"/>
      <c r="AC265" s="171"/>
      <c r="AD265" s="171"/>
      <c r="AE265" s="194"/>
      <c r="AF265" s="195"/>
      <c r="AG265" s="171"/>
      <c r="AH265" s="171"/>
      <c r="AI265" s="194"/>
      <c r="AJ265" s="196"/>
    </row>
    <row r="266" spans="2:36">
      <c r="B266" s="166"/>
      <c r="C266" s="167"/>
      <c r="D266" s="171"/>
      <c r="E266" s="171"/>
      <c r="F266" s="171"/>
      <c r="G266" s="172"/>
      <c r="H266" s="173"/>
      <c r="I266" s="193"/>
      <c r="J266" s="171"/>
      <c r="K266" s="194"/>
      <c r="L266" s="173"/>
      <c r="M266" s="171"/>
      <c r="N266" s="171"/>
      <c r="O266" s="194"/>
      <c r="P266" s="195"/>
      <c r="Q266" s="171"/>
      <c r="R266" s="171"/>
      <c r="S266" s="194"/>
      <c r="T266" s="195"/>
      <c r="U266" s="171"/>
      <c r="V266" s="171"/>
      <c r="W266" s="194"/>
      <c r="X266" s="195"/>
      <c r="Y266" s="171"/>
      <c r="Z266" s="171"/>
      <c r="AA266" s="194"/>
      <c r="AB266" s="195"/>
      <c r="AC266" s="171"/>
      <c r="AD266" s="171"/>
      <c r="AE266" s="194"/>
      <c r="AF266" s="195"/>
      <c r="AG266" s="171"/>
      <c r="AH266" s="171"/>
      <c r="AI266" s="194"/>
      <c r="AJ266" s="196"/>
    </row>
    <row r="267" spans="2:36">
      <c r="B267" s="166"/>
      <c r="C267" s="167"/>
      <c r="D267" s="171"/>
      <c r="E267" s="171"/>
      <c r="F267" s="171"/>
      <c r="G267" s="172"/>
      <c r="H267" s="173"/>
      <c r="I267" s="193"/>
      <c r="J267" s="171"/>
      <c r="K267" s="194"/>
      <c r="L267" s="173"/>
      <c r="M267" s="171"/>
      <c r="N267" s="171"/>
      <c r="O267" s="194"/>
      <c r="P267" s="195"/>
      <c r="Q267" s="171"/>
      <c r="R267" s="171"/>
      <c r="S267" s="194"/>
      <c r="T267" s="195"/>
      <c r="U267" s="171"/>
      <c r="V267" s="171"/>
      <c r="W267" s="194"/>
      <c r="X267" s="195"/>
      <c r="Y267" s="171"/>
      <c r="Z267" s="171"/>
      <c r="AA267" s="194"/>
      <c r="AB267" s="195"/>
      <c r="AC267" s="171"/>
      <c r="AD267" s="171"/>
      <c r="AE267" s="194"/>
      <c r="AF267" s="195"/>
      <c r="AG267" s="171"/>
      <c r="AH267" s="171"/>
      <c r="AI267" s="194"/>
      <c r="AJ267" s="196"/>
    </row>
    <row r="268" spans="2:36">
      <c r="B268" s="166"/>
      <c r="C268" s="167"/>
      <c r="D268" s="171"/>
      <c r="E268" s="171"/>
      <c r="F268" s="171"/>
      <c r="G268" s="172"/>
      <c r="H268" s="173"/>
      <c r="I268" s="193"/>
      <c r="J268" s="171"/>
      <c r="K268" s="194"/>
      <c r="L268" s="173"/>
      <c r="M268" s="171"/>
      <c r="N268" s="171"/>
      <c r="O268" s="194"/>
      <c r="P268" s="195"/>
      <c r="Q268" s="171"/>
      <c r="R268" s="171"/>
      <c r="S268" s="194"/>
      <c r="T268" s="195"/>
      <c r="U268" s="171"/>
      <c r="V268" s="171"/>
      <c r="W268" s="194"/>
      <c r="X268" s="195"/>
      <c r="Y268" s="171"/>
      <c r="Z268" s="171"/>
      <c r="AA268" s="194"/>
      <c r="AB268" s="195"/>
      <c r="AC268" s="171"/>
      <c r="AD268" s="171"/>
      <c r="AE268" s="194"/>
      <c r="AF268" s="195"/>
      <c r="AG268" s="171"/>
      <c r="AH268" s="171"/>
      <c r="AI268" s="194"/>
      <c r="AJ268" s="196"/>
    </row>
    <row r="269" spans="2:36">
      <c r="B269" s="166"/>
      <c r="C269" s="167"/>
      <c r="D269" s="171"/>
      <c r="E269" s="171"/>
      <c r="F269" s="171"/>
      <c r="G269" s="172"/>
      <c r="H269" s="173"/>
      <c r="I269" s="193"/>
      <c r="J269" s="171"/>
      <c r="K269" s="194"/>
      <c r="L269" s="173"/>
      <c r="M269" s="171"/>
      <c r="N269" s="171"/>
      <c r="O269" s="194"/>
      <c r="P269" s="195"/>
      <c r="Q269" s="171"/>
      <c r="R269" s="171"/>
      <c r="S269" s="194"/>
      <c r="T269" s="195"/>
      <c r="U269" s="171"/>
      <c r="V269" s="171"/>
      <c r="W269" s="194"/>
      <c r="X269" s="195"/>
      <c r="Y269" s="171"/>
      <c r="Z269" s="171"/>
      <c r="AA269" s="194"/>
      <c r="AB269" s="195"/>
      <c r="AC269" s="171"/>
      <c r="AD269" s="171"/>
      <c r="AE269" s="194"/>
      <c r="AF269" s="195"/>
      <c r="AG269" s="171"/>
      <c r="AH269" s="171"/>
      <c r="AI269" s="194"/>
      <c r="AJ269" s="196"/>
    </row>
    <row r="270" spans="2:36">
      <c r="B270" s="166"/>
      <c r="C270" s="167"/>
      <c r="D270" s="171"/>
      <c r="E270" s="171"/>
      <c r="F270" s="171"/>
      <c r="G270" s="172"/>
      <c r="H270" s="173"/>
      <c r="I270" s="193"/>
      <c r="J270" s="171"/>
      <c r="K270" s="194"/>
      <c r="L270" s="173"/>
      <c r="M270" s="171"/>
      <c r="N270" s="171"/>
      <c r="O270" s="194"/>
      <c r="P270" s="195"/>
      <c r="Q270" s="171"/>
      <c r="R270" s="171"/>
      <c r="S270" s="194"/>
      <c r="T270" s="195"/>
      <c r="U270" s="171"/>
      <c r="V270" s="171"/>
      <c r="W270" s="194"/>
      <c r="X270" s="195"/>
      <c r="Y270" s="171"/>
      <c r="Z270" s="171"/>
      <c r="AA270" s="194"/>
      <c r="AB270" s="195"/>
      <c r="AC270" s="171"/>
      <c r="AD270" s="171"/>
      <c r="AE270" s="194"/>
      <c r="AF270" s="195"/>
      <c r="AG270" s="171"/>
      <c r="AH270" s="171"/>
      <c r="AI270" s="194"/>
      <c r="AJ270" s="196"/>
    </row>
    <row r="271" spans="2:36">
      <c r="B271" s="166"/>
      <c r="C271" s="167"/>
      <c r="D271" s="171"/>
      <c r="E271" s="171"/>
      <c r="F271" s="171"/>
      <c r="G271" s="172"/>
      <c r="H271" s="173"/>
      <c r="I271" s="193"/>
      <c r="J271" s="171"/>
      <c r="K271" s="194"/>
      <c r="L271" s="173"/>
      <c r="M271" s="171"/>
      <c r="N271" s="171"/>
      <c r="O271" s="194"/>
      <c r="P271" s="195"/>
      <c r="Q271" s="171"/>
      <c r="R271" s="171"/>
      <c r="S271" s="194"/>
      <c r="T271" s="195"/>
      <c r="U271" s="171"/>
      <c r="V271" s="171"/>
      <c r="W271" s="194"/>
      <c r="X271" s="195"/>
      <c r="Y271" s="171"/>
      <c r="Z271" s="171"/>
      <c r="AA271" s="194"/>
      <c r="AB271" s="195"/>
      <c r="AC271" s="171"/>
      <c r="AD271" s="171"/>
      <c r="AE271" s="194"/>
      <c r="AF271" s="195"/>
      <c r="AG271" s="171"/>
      <c r="AH271" s="171"/>
      <c r="AI271" s="194"/>
      <c r="AJ271" s="196"/>
    </row>
    <row r="272" spans="2:36">
      <c r="B272" s="166"/>
      <c r="C272" s="167"/>
      <c r="D272" s="171"/>
      <c r="E272" s="171"/>
      <c r="F272" s="171"/>
      <c r="G272" s="172"/>
      <c r="H272" s="173"/>
      <c r="I272" s="193"/>
      <c r="J272" s="171"/>
      <c r="K272" s="194"/>
      <c r="L272" s="173"/>
      <c r="M272" s="171"/>
      <c r="N272" s="171"/>
      <c r="O272" s="194"/>
      <c r="P272" s="195"/>
      <c r="Q272" s="171"/>
      <c r="R272" s="171"/>
      <c r="S272" s="194"/>
      <c r="T272" s="195"/>
      <c r="U272" s="171"/>
      <c r="V272" s="171"/>
      <c r="W272" s="194"/>
      <c r="X272" s="195"/>
      <c r="Y272" s="171"/>
      <c r="Z272" s="171"/>
      <c r="AA272" s="194"/>
      <c r="AB272" s="195"/>
      <c r="AC272" s="171"/>
      <c r="AD272" s="171"/>
      <c r="AE272" s="194"/>
      <c r="AF272" s="195"/>
      <c r="AG272" s="171"/>
      <c r="AH272" s="171"/>
      <c r="AI272" s="194"/>
      <c r="AJ272" s="196"/>
    </row>
    <row r="273" spans="2:36">
      <c r="B273" s="166"/>
      <c r="C273" s="167"/>
      <c r="D273" s="171"/>
      <c r="E273" s="171"/>
      <c r="F273" s="171"/>
      <c r="G273" s="172"/>
      <c r="H273" s="173"/>
      <c r="I273" s="193"/>
      <c r="J273" s="171"/>
      <c r="K273" s="194"/>
      <c r="L273" s="173"/>
      <c r="M273" s="171"/>
      <c r="N273" s="171"/>
      <c r="O273" s="194"/>
      <c r="P273" s="195"/>
      <c r="Q273" s="171"/>
      <c r="R273" s="171"/>
      <c r="S273" s="194"/>
      <c r="T273" s="195"/>
      <c r="U273" s="171"/>
      <c r="V273" s="171"/>
      <c r="W273" s="194"/>
      <c r="X273" s="195"/>
      <c r="Y273" s="171"/>
      <c r="Z273" s="171"/>
      <c r="AA273" s="194"/>
      <c r="AB273" s="195"/>
      <c r="AC273" s="171"/>
      <c r="AD273" s="171"/>
      <c r="AE273" s="194"/>
      <c r="AF273" s="195"/>
      <c r="AG273" s="171"/>
      <c r="AH273" s="171"/>
      <c r="AI273" s="194"/>
      <c r="AJ273" s="196"/>
    </row>
    <row r="274" spans="2:36">
      <c r="B274" s="166"/>
      <c r="C274" s="167"/>
      <c r="D274" s="171"/>
      <c r="E274" s="171"/>
      <c r="F274" s="171"/>
      <c r="G274" s="172"/>
      <c r="H274" s="173"/>
      <c r="I274" s="193"/>
      <c r="J274" s="171"/>
      <c r="K274" s="194"/>
      <c r="L274" s="173"/>
      <c r="M274" s="171"/>
      <c r="N274" s="171"/>
      <c r="O274" s="194"/>
      <c r="P274" s="195"/>
      <c r="Q274" s="171"/>
      <c r="R274" s="171"/>
      <c r="S274" s="194"/>
      <c r="T274" s="195"/>
      <c r="U274" s="171"/>
      <c r="V274" s="171"/>
      <c r="W274" s="194"/>
      <c r="X274" s="195"/>
      <c r="Y274" s="171"/>
      <c r="Z274" s="171"/>
      <c r="AA274" s="194"/>
      <c r="AB274" s="195"/>
      <c r="AC274" s="171"/>
      <c r="AD274" s="171"/>
      <c r="AE274" s="194"/>
      <c r="AF274" s="195"/>
      <c r="AG274" s="171"/>
      <c r="AH274" s="171"/>
      <c r="AI274" s="194"/>
      <c r="AJ274" s="196"/>
    </row>
    <row r="275" spans="2:36">
      <c r="B275" s="166"/>
      <c r="C275" s="167"/>
      <c r="D275" s="171"/>
      <c r="E275" s="171"/>
      <c r="F275" s="171"/>
      <c r="G275" s="172"/>
      <c r="H275" s="173"/>
      <c r="I275" s="193"/>
      <c r="J275" s="171"/>
      <c r="K275" s="194"/>
      <c r="L275" s="173"/>
      <c r="M275" s="171"/>
      <c r="N275" s="171"/>
      <c r="O275" s="194"/>
      <c r="P275" s="195"/>
      <c r="Q275" s="171"/>
      <c r="R275" s="171"/>
      <c r="S275" s="194"/>
      <c r="T275" s="195"/>
      <c r="U275" s="171"/>
      <c r="V275" s="171"/>
      <c r="W275" s="194"/>
      <c r="X275" s="195"/>
      <c r="Y275" s="171"/>
      <c r="Z275" s="171"/>
      <c r="AA275" s="194"/>
      <c r="AB275" s="195"/>
      <c r="AC275" s="171"/>
      <c r="AD275" s="171"/>
      <c r="AE275" s="194"/>
      <c r="AF275" s="195"/>
      <c r="AG275" s="171"/>
      <c r="AH275" s="171"/>
      <c r="AI275" s="194"/>
      <c r="AJ275" s="196"/>
    </row>
    <row r="276" spans="2:36">
      <c r="B276" s="166"/>
      <c r="C276" s="167"/>
      <c r="D276" s="171"/>
      <c r="E276" s="171"/>
      <c r="F276" s="171"/>
      <c r="G276" s="172"/>
      <c r="H276" s="173"/>
      <c r="I276" s="193"/>
      <c r="J276" s="171"/>
      <c r="K276" s="194"/>
      <c r="L276" s="173"/>
      <c r="M276" s="171"/>
      <c r="N276" s="171"/>
      <c r="O276" s="194"/>
      <c r="P276" s="195"/>
      <c r="Q276" s="171"/>
      <c r="R276" s="171"/>
      <c r="S276" s="194"/>
      <c r="T276" s="195"/>
      <c r="U276" s="171"/>
      <c r="V276" s="171"/>
      <c r="W276" s="194"/>
      <c r="X276" s="195"/>
      <c r="Y276" s="171"/>
      <c r="Z276" s="171"/>
      <c r="AA276" s="194"/>
      <c r="AB276" s="195"/>
      <c r="AC276" s="171"/>
      <c r="AD276" s="171"/>
      <c r="AE276" s="194"/>
      <c r="AF276" s="195"/>
      <c r="AG276" s="171"/>
      <c r="AH276" s="171"/>
      <c r="AI276" s="194"/>
      <c r="AJ276" s="196"/>
    </row>
    <row r="277" spans="2:36">
      <c r="B277" s="166"/>
      <c r="C277" s="167"/>
      <c r="D277" s="171"/>
      <c r="E277" s="171"/>
      <c r="F277" s="171"/>
      <c r="G277" s="172"/>
      <c r="H277" s="173"/>
      <c r="I277" s="193"/>
      <c r="J277" s="171"/>
      <c r="K277" s="194"/>
      <c r="L277" s="173"/>
      <c r="M277" s="171"/>
      <c r="N277" s="171"/>
      <c r="O277" s="194"/>
      <c r="P277" s="195"/>
      <c r="Q277" s="171"/>
      <c r="R277" s="171"/>
      <c r="S277" s="194"/>
      <c r="T277" s="195"/>
      <c r="U277" s="171"/>
      <c r="V277" s="171"/>
      <c r="W277" s="194"/>
      <c r="X277" s="195"/>
      <c r="Y277" s="171"/>
      <c r="Z277" s="171"/>
      <c r="AA277" s="194"/>
      <c r="AB277" s="195"/>
      <c r="AC277" s="171"/>
      <c r="AD277" s="171"/>
      <c r="AE277" s="194"/>
      <c r="AF277" s="195"/>
      <c r="AG277" s="171"/>
      <c r="AH277" s="171"/>
      <c r="AI277" s="194"/>
      <c r="AJ277" s="196"/>
    </row>
    <row r="278" spans="2:36">
      <c r="B278" s="166"/>
      <c r="C278" s="167"/>
      <c r="D278" s="171"/>
      <c r="E278" s="171"/>
      <c r="F278" s="171"/>
      <c r="G278" s="172"/>
      <c r="H278" s="173"/>
      <c r="I278" s="193"/>
      <c r="J278" s="171"/>
      <c r="K278" s="194"/>
      <c r="L278" s="173"/>
      <c r="M278" s="171"/>
      <c r="N278" s="171"/>
      <c r="O278" s="194"/>
      <c r="P278" s="195"/>
      <c r="Q278" s="171"/>
      <c r="R278" s="171"/>
      <c r="S278" s="194"/>
      <c r="T278" s="195"/>
      <c r="U278" s="171"/>
      <c r="V278" s="171"/>
      <c r="W278" s="194"/>
      <c r="X278" s="195"/>
      <c r="Y278" s="171"/>
      <c r="Z278" s="171"/>
      <c r="AA278" s="194"/>
      <c r="AB278" s="195"/>
      <c r="AC278" s="171"/>
      <c r="AD278" s="171"/>
      <c r="AE278" s="194"/>
      <c r="AF278" s="195"/>
      <c r="AG278" s="171"/>
      <c r="AH278" s="171"/>
      <c r="AI278" s="194"/>
      <c r="AJ278" s="196"/>
    </row>
    <row r="279" spans="2:36">
      <c r="B279" s="166"/>
      <c r="C279" s="167"/>
      <c r="D279" s="171"/>
      <c r="E279" s="171"/>
      <c r="F279" s="171"/>
      <c r="G279" s="172"/>
      <c r="H279" s="173"/>
      <c r="I279" s="193"/>
      <c r="J279" s="171"/>
      <c r="K279" s="194"/>
      <c r="L279" s="173"/>
      <c r="M279" s="171"/>
      <c r="N279" s="171"/>
      <c r="O279" s="194"/>
      <c r="P279" s="195"/>
      <c r="Q279" s="171"/>
      <c r="R279" s="171"/>
      <c r="S279" s="194"/>
      <c r="T279" s="195"/>
      <c r="U279" s="171"/>
      <c r="V279" s="171"/>
      <c r="W279" s="194"/>
      <c r="X279" s="195"/>
      <c r="Y279" s="171"/>
      <c r="Z279" s="171"/>
      <c r="AA279" s="194"/>
      <c r="AB279" s="195"/>
      <c r="AC279" s="171"/>
      <c r="AD279" s="171"/>
      <c r="AE279" s="194"/>
      <c r="AF279" s="195"/>
      <c r="AG279" s="171"/>
      <c r="AH279" s="171"/>
      <c r="AI279" s="194"/>
      <c r="AJ279" s="196"/>
    </row>
    <row r="280" spans="2:36">
      <c r="B280" s="166"/>
      <c r="C280" s="167"/>
      <c r="D280" s="171"/>
      <c r="E280" s="171"/>
      <c r="F280" s="171"/>
      <c r="G280" s="172"/>
      <c r="H280" s="173"/>
      <c r="I280" s="193"/>
      <c r="J280" s="171"/>
      <c r="K280" s="194"/>
      <c r="L280" s="173"/>
      <c r="M280" s="171"/>
      <c r="N280" s="171"/>
      <c r="O280" s="194"/>
      <c r="P280" s="195"/>
      <c r="Q280" s="171"/>
      <c r="R280" s="171"/>
      <c r="S280" s="194"/>
      <c r="T280" s="195"/>
      <c r="U280" s="171"/>
      <c r="V280" s="171"/>
      <c r="W280" s="194"/>
      <c r="X280" s="195"/>
      <c r="Y280" s="171"/>
      <c r="Z280" s="171"/>
      <c r="AA280" s="194"/>
      <c r="AB280" s="195"/>
      <c r="AC280" s="171"/>
      <c r="AD280" s="171"/>
      <c r="AE280" s="194"/>
      <c r="AF280" s="195"/>
      <c r="AG280" s="171"/>
      <c r="AH280" s="171"/>
      <c r="AI280" s="194"/>
      <c r="AJ280" s="196"/>
    </row>
    <row r="281" spans="2:36">
      <c r="B281" s="166"/>
      <c r="C281" s="167"/>
      <c r="D281" s="171"/>
      <c r="E281" s="171"/>
      <c r="F281" s="171"/>
      <c r="G281" s="172"/>
      <c r="H281" s="173"/>
      <c r="I281" s="193"/>
      <c r="J281" s="171"/>
      <c r="K281" s="194"/>
      <c r="L281" s="173"/>
      <c r="M281" s="171"/>
      <c r="N281" s="171"/>
      <c r="O281" s="194"/>
      <c r="P281" s="195"/>
      <c r="Q281" s="171"/>
      <c r="R281" s="171"/>
      <c r="S281" s="194"/>
      <c r="T281" s="195"/>
      <c r="U281" s="171"/>
      <c r="V281" s="171"/>
      <c r="W281" s="194"/>
      <c r="X281" s="195"/>
      <c r="Y281" s="171"/>
      <c r="Z281" s="171"/>
      <c r="AA281" s="194"/>
      <c r="AB281" s="195"/>
      <c r="AC281" s="171"/>
      <c r="AD281" s="171"/>
      <c r="AE281" s="194"/>
      <c r="AF281" s="195"/>
      <c r="AG281" s="171"/>
      <c r="AH281" s="171"/>
      <c r="AI281" s="194"/>
      <c r="AJ281" s="196"/>
    </row>
    <row r="282" spans="2:36">
      <c r="B282" s="166"/>
      <c r="C282" s="167"/>
      <c r="D282" s="171"/>
      <c r="E282" s="171"/>
      <c r="F282" s="171"/>
      <c r="G282" s="172"/>
      <c r="H282" s="173"/>
      <c r="I282" s="193"/>
      <c r="J282" s="171"/>
      <c r="K282" s="194"/>
      <c r="L282" s="173"/>
      <c r="M282" s="171"/>
      <c r="N282" s="171"/>
      <c r="O282" s="194"/>
      <c r="P282" s="195"/>
      <c r="Q282" s="171"/>
      <c r="R282" s="171"/>
      <c r="S282" s="194"/>
      <c r="T282" s="195"/>
      <c r="U282" s="171"/>
      <c r="V282" s="171"/>
      <c r="W282" s="194"/>
      <c r="X282" s="195"/>
      <c r="Y282" s="171"/>
      <c r="Z282" s="171"/>
      <c r="AA282" s="194"/>
      <c r="AB282" s="195"/>
      <c r="AC282" s="171"/>
      <c r="AD282" s="171"/>
      <c r="AE282" s="194"/>
      <c r="AF282" s="195"/>
      <c r="AG282" s="171"/>
      <c r="AH282" s="171"/>
      <c r="AI282" s="194"/>
      <c r="AJ282" s="196"/>
    </row>
    <row r="283" spans="2:36">
      <c r="B283" s="166"/>
      <c r="C283" s="167"/>
      <c r="D283" s="171"/>
      <c r="E283" s="171"/>
      <c r="F283" s="171"/>
      <c r="G283" s="172"/>
      <c r="H283" s="173"/>
      <c r="I283" s="193"/>
      <c r="J283" s="171"/>
      <c r="K283" s="194"/>
      <c r="L283" s="173"/>
      <c r="M283" s="171"/>
      <c r="N283" s="171"/>
      <c r="O283" s="194"/>
      <c r="P283" s="195"/>
      <c r="Q283" s="171"/>
      <c r="R283" s="171"/>
      <c r="S283" s="194"/>
      <c r="T283" s="195"/>
      <c r="U283" s="171"/>
      <c r="V283" s="171"/>
      <c r="W283" s="194"/>
      <c r="X283" s="195"/>
      <c r="Y283" s="171"/>
      <c r="Z283" s="171"/>
      <c r="AA283" s="194"/>
      <c r="AB283" s="195"/>
      <c r="AC283" s="171"/>
      <c r="AD283" s="171"/>
      <c r="AE283" s="194"/>
      <c r="AF283" s="195"/>
      <c r="AG283" s="171"/>
      <c r="AH283" s="171"/>
      <c r="AI283" s="194"/>
      <c r="AJ283" s="196"/>
    </row>
    <row r="284" spans="2:36">
      <c r="B284" s="166"/>
      <c r="C284" s="167"/>
      <c r="D284" s="171"/>
      <c r="E284" s="171"/>
      <c r="F284" s="171"/>
      <c r="G284" s="172"/>
      <c r="H284" s="173"/>
      <c r="I284" s="193"/>
      <c r="J284" s="171"/>
      <c r="K284" s="194"/>
      <c r="L284" s="173"/>
      <c r="M284" s="171"/>
      <c r="N284" s="171"/>
      <c r="O284" s="194"/>
      <c r="P284" s="195"/>
      <c r="Q284" s="171"/>
      <c r="R284" s="171"/>
      <c r="S284" s="194"/>
      <c r="T284" s="195"/>
      <c r="U284" s="171"/>
      <c r="V284" s="171"/>
      <c r="W284" s="194"/>
      <c r="X284" s="195"/>
      <c r="Y284" s="171"/>
      <c r="Z284" s="171"/>
      <c r="AA284" s="194"/>
      <c r="AB284" s="195"/>
      <c r="AC284" s="171"/>
      <c r="AD284" s="171"/>
      <c r="AE284" s="194"/>
      <c r="AF284" s="195"/>
      <c r="AG284" s="171"/>
      <c r="AH284" s="171"/>
      <c r="AI284" s="194"/>
      <c r="AJ284" s="196"/>
    </row>
    <row r="285" spans="2:36">
      <c r="B285" s="166"/>
      <c r="C285" s="167"/>
      <c r="D285" s="171"/>
      <c r="E285" s="171"/>
      <c r="F285" s="171"/>
      <c r="G285" s="172"/>
      <c r="H285" s="173"/>
      <c r="I285" s="193"/>
      <c r="J285" s="171"/>
      <c r="K285" s="194"/>
      <c r="L285" s="173"/>
      <c r="M285" s="171"/>
      <c r="N285" s="171"/>
      <c r="O285" s="194"/>
      <c r="P285" s="195"/>
      <c r="Q285" s="171"/>
      <c r="R285" s="171"/>
      <c r="S285" s="194"/>
      <c r="T285" s="195"/>
      <c r="U285" s="171"/>
      <c r="V285" s="171"/>
      <c r="W285" s="194"/>
      <c r="X285" s="195"/>
      <c r="Y285" s="171"/>
      <c r="Z285" s="171"/>
      <c r="AA285" s="194"/>
      <c r="AB285" s="195"/>
      <c r="AC285" s="171"/>
      <c r="AD285" s="171"/>
      <c r="AE285" s="194"/>
      <c r="AF285" s="195"/>
      <c r="AG285" s="171"/>
      <c r="AH285" s="171"/>
      <c r="AI285" s="194"/>
      <c r="AJ285" s="196"/>
    </row>
    <row r="286" spans="2:36">
      <c r="B286" s="166"/>
      <c r="C286" s="167"/>
      <c r="D286" s="171"/>
      <c r="E286" s="171"/>
      <c r="F286" s="171"/>
      <c r="G286" s="172"/>
      <c r="H286" s="173"/>
      <c r="I286" s="193"/>
      <c r="J286" s="171"/>
      <c r="K286" s="194"/>
      <c r="L286" s="173"/>
      <c r="M286" s="171"/>
      <c r="N286" s="171"/>
      <c r="O286" s="194"/>
      <c r="P286" s="195"/>
      <c r="Q286" s="171"/>
      <c r="R286" s="171"/>
      <c r="S286" s="194"/>
      <c r="T286" s="195"/>
      <c r="U286" s="171"/>
      <c r="V286" s="171"/>
      <c r="W286" s="194"/>
      <c r="X286" s="195"/>
      <c r="Y286" s="171"/>
      <c r="Z286" s="171"/>
      <c r="AA286" s="194"/>
      <c r="AB286" s="195"/>
      <c r="AC286" s="171"/>
      <c r="AD286" s="171"/>
      <c r="AE286" s="194"/>
      <c r="AF286" s="195"/>
      <c r="AG286" s="171"/>
      <c r="AH286" s="171"/>
      <c r="AI286" s="194"/>
      <c r="AJ286" s="196"/>
    </row>
    <row r="287" spans="2:36">
      <c r="B287" s="166"/>
      <c r="C287" s="167"/>
      <c r="D287" s="171"/>
      <c r="E287" s="171"/>
      <c r="F287" s="171"/>
      <c r="G287" s="172"/>
      <c r="H287" s="173"/>
      <c r="I287" s="193"/>
      <c r="J287" s="171"/>
      <c r="K287" s="194"/>
      <c r="L287" s="173"/>
      <c r="M287" s="171"/>
      <c r="N287" s="171"/>
      <c r="O287" s="194"/>
      <c r="P287" s="195"/>
      <c r="Q287" s="171"/>
      <c r="R287" s="171"/>
      <c r="S287" s="194"/>
      <c r="T287" s="195"/>
      <c r="U287" s="171"/>
      <c r="V287" s="171"/>
      <c r="W287" s="194"/>
      <c r="X287" s="195"/>
      <c r="Y287" s="171"/>
      <c r="Z287" s="171"/>
      <c r="AA287" s="194"/>
      <c r="AB287" s="195"/>
      <c r="AC287" s="171"/>
      <c r="AD287" s="171"/>
      <c r="AE287" s="194"/>
      <c r="AF287" s="195"/>
      <c r="AG287" s="171"/>
      <c r="AH287" s="171"/>
      <c r="AI287" s="194"/>
      <c r="AJ287" s="196"/>
    </row>
    <row r="288" spans="2:36">
      <c r="B288" s="166"/>
      <c r="C288" s="167"/>
      <c r="D288" s="171"/>
      <c r="E288" s="171"/>
      <c r="F288" s="171"/>
      <c r="G288" s="172"/>
      <c r="H288" s="173"/>
      <c r="I288" s="193"/>
      <c r="J288" s="171"/>
      <c r="K288" s="194"/>
      <c r="L288" s="173"/>
      <c r="M288" s="171"/>
      <c r="N288" s="171"/>
      <c r="O288" s="194"/>
      <c r="P288" s="195"/>
      <c r="Q288" s="171"/>
      <c r="R288" s="171"/>
      <c r="S288" s="194"/>
      <c r="T288" s="195"/>
      <c r="U288" s="171"/>
      <c r="V288" s="171"/>
      <c r="W288" s="194"/>
      <c r="X288" s="195"/>
      <c r="Y288" s="171"/>
      <c r="Z288" s="171"/>
      <c r="AA288" s="194"/>
      <c r="AB288" s="195"/>
      <c r="AC288" s="171"/>
      <c r="AD288" s="171"/>
      <c r="AE288" s="194"/>
      <c r="AF288" s="195"/>
      <c r="AG288" s="171"/>
      <c r="AH288" s="171"/>
      <c r="AI288" s="194"/>
      <c r="AJ288" s="196"/>
    </row>
    <row r="289" spans="2:36">
      <c r="B289" s="166"/>
      <c r="C289" s="167"/>
      <c r="D289" s="171"/>
      <c r="E289" s="171"/>
      <c r="F289" s="171"/>
      <c r="G289" s="172"/>
      <c r="H289" s="173"/>
      <c r="I289" s="193"/>
      <c r="J289" s="171"/>
      <c r="K289" s="194"/>
      <c r="L289" s="173"/>
      <c r="M289" s="171"/>
      <c r="N289" s="171"/>
      <c r="O289" s="194"/>
      <c r="P289" s="195"/>
      <c r="Q289" s="171"/>
      <c r="R289" s="171"/>
      <c r="S289" s="194"/>
      <c r="T289" s="195"/>
      <c r="U289" s="171"/>
      <c r="V289" s="171"/>
      <c r="W289" s="194"/>
      <c r="X289" s="195"/>
      <c r="Y289" s="171"/>
      <c r="Z289" s="171"/>
      <c r="AA289" s="194"/>
      <c r="AB289" s="195"/>
      <c r="AC289" s="171"/>
      <c r="AD289" s="171"/>
      <c r="AE289" s="194"/>
      <c r="AF289" s="195"/>
      <c r="AG289" s="171"/>
      <c r="AH289" s="171"/>
      <c r="AI289" s="194"/>
      <c r="AJ289" s="196"/>
    </row>
    <row r="290" spans="2:36">
      <c r="B290" s="166"/>
      <c r="C290" s="167"/>
      <c r="D290" s="171"/>
      <c r="E290" s="171"/>
      <c r="F290" s="171"/>
      <c r="G290" s="172"/>
      <c r="H290" s="173"/>
      <c r="I290" s="193"/>
      <c r="J290" s="171"/>
      <c r="K290" s="194"/>
      <c r="L290" s="173"/>
      <c r="M290" s="171"/>
      <c r="N290" s="171"/>
      <c r="O290" s="194"/>
      <c r="P290" s="195"/>
      <c r="Q290" s="171"/>
      <c r="R290" s="171"/>
      <c r="S290" s="194"/>
      <c r="T290" s="195"/>
      <c r="U290" s="171"/>
      <c r="V290" s="171"/>
      <c r="W290" s="194"/>
      <c r="X290" s="195"/>
      <c r="Y290" s="171"/>
      <c r="Z290" s="171"/>
      <c r="AA290" s="194"/>
      <c r="AB290" s="195"/>
      <c r="AC290" s="171"/>
      <c r="AD290" s="171"/>
      <c r="AE290" s="194"/>
      <c r="AF290" s="195"/>
      <c r="AG290" s="171"/>
      <c r="AH290" s="171"/>
      <c r="AI290" s="194"/>
      <c r="AJ290" s="196"/>
    </row>
    <row r="291" spans="2:36">
      <c r="B291" s="166"/>
      <c r="C291" s="167"/>
      <c r="D291" s="171"/>
      <c r="E291" s="171"/>
      <c r="F291" s="171"/>
      <c r="G291" s="172"/>
      <c r="H291" s="173"/>
      <c r="I291" s="193"/>
      <c r="J291" s="171"/>
      <c r="K291" s="194"/>
      <c r="L291" s="173"/>
      <c r="M291" s="171"/>
      <c r="N291" s="171"/>
      <c r="O291" s="194"/>
      <c r="P291" s="195"/>
      <c r="Q291" s="171"/>
      <c r="R291" s="171"/>
      <c r="S291" s="194"/>
      <c r="T291" s="195"/>
      <c r="U291" s="171"/>
      <c r="V291" s="171"/>
      <c r="W291" s="194"/>
      <c r="X291" s="195"/>
      <c r="Y291" s="171"/>
      <c r="Z291" s="171"/>
      <c r="AA291" s="194"/>
      <c r="AB291" s="195"/>
      <c r="AC291" s="171"/>
      <c r="AD291" s="171"/>
      <c r="AE291" s="194"/>
      <c r="AF291" s="195"/>
      <c r="AG291" s="171"/>
      <c r="AH291" s="171"/>
      <c r="AI291" s="194"/>
      <c r="AJ291" s="196"/>
    </row>
    <row r="292" spans="2:36">
      <c r="B292" s="166"/>
      <c r="C292" s="167"/>
      <c r="D292" s="171"/>
      <c r="E292" s="171"/>
      <c r="F292" s="171"/>
      <c r="G292" s="172"/>
      <c r="H292" s="173"/>
      <c r="I292" s="193"/>
      <c r="J292" s="171"/>
      <c r="K292" s="194"/>
      <c r="L292" s="173"/>
      <c r="M292" s="171"/>
      <c r="N292" s="171"/>
      <c r="O292" s="194"/>
      <c r="P292" s="195"/>
      <c r="Q292" s="171"/>
      <c r="R292" s="171"/>
      <c r="S292" s="194"/>
      <c r="T292" s="195"/>
      <c r="U292" s="171"/>
      <c r="V292" s="171"/>
      <c r="W292" s="194"/>
      <c r="X292" s="195"/>
      <c r="Y292" s="171"/>
      <c r="Z292" s="171"/>
      <c r="AA292" s="194"/>
      <c r="AB292" s="195"/>
      <c r="AC292" s="171"/>
      <c r="AD292" s="171"/>
      <c r="AE292" s="194"/>
      <c r="AF292" s="195"/>
      <c r="AG292" s="171"/>
      <c r="AH292" s="171"/>
      <c r="AI292" s="194"/>
      <c r="AJ292" s="196"/>
    </row>
    <row r="293" spans="2:36">
      <c r="B293" s="166"/>
      <c r="C293" s="167"/>
      <c r="D293" s="171"/>
      <c r="E293" s="171"/>
      <c r="F293" s="171"/>
      <c r="G293" s="172"/>
      <c r="H293" s="173"/>
      <c r="I293" s="193"/>
      <c r="J293" s="171"/>
      <c r="K293" s="194"/>
      <c r="L293" s="173"/>
      <c r="M293" s="171"/>
      <c r="N293" s="171"/>
      <c r="O293" s="194"/>
      <c r="P293" s="195"/>
      <c r="Q293" s="171"/>
      <c r="R293" s="171"/>
      <c r="S293" s="194"/>
      <c r="T293" s="195"/>
      <c r="U293" s="171"/>
      <c r="V293" s="171"/>
      <c r="W293" s="194"/>
      <c r="X293" s="195"/>
      <c r="Y293" s="171"/>
      <c r="Z293" s="171"/>
      <c r="AA293" s="194"/>
      <c r="AB293" s="195"/>
      <c r="AC293" s="171"/>
      <c r="AD293" s="171"/>
      <c r="AE293" s="194"/>
      <c r="AF293" s="195"/>
      <c r="AG293" s="171"/>
      <c r="AH293" s="171"/>
      <c r="AI293" s="194"/>
      <c r="AJ293" s="196"/>
    </row>
    <row r="294" spans="2:36">
      <c r="B294" s="166"/>
      <c r="C294" s="167"/>
      <c r="D294" s="171"/>
      <c r="E294" s="171"/>
      <c r="F294" s="171"/>
      <c r="G294" s="172"/>
      <c r="H294" s="173"/>
      <c r="I294" s="193"/>
      <c r="J294" s="171"/>
      <c r="K294" s="194"/>
      <c r="L294" s="173"/>
      <c r="M294" s="171"/>
      <c r="N294" s="171"/>
      <c r="O294" s="194"/>
      <c r="P294" s="195"/>
      <c r="Q294" s="171"/>
      <c r="R294" s="171"/>
      <c r="S294" s="194"/>
      <c r="T294" s="195"/>
      <c r="U294" s="171"/>
      <c r="V294" s="171"/>
      <c r="W294" s="194"/>
      <c r="X294" s="195"/>
      <c r="Y294" s="171"/>
      <c r="Z294" s="171"/>
      <c r="AA294" s="194"/>
      <c r="AB294" s="195"/>
      <c r="AC294" s="171"/>
      <c r="AD294" s="171"/>
      <c r="AE294" s="194"/>
      <c r="AF294" s="195"/>
      <c r="AG294" s="171"/>
      <c r="AH294" s="171"/>
      <c r="AI294" s="194"/>
      <c r="AJ294" s="196"/>
    </row>
    <row r="295" spans="2:36">
      <c r="B295" s="166"/>
      <c r="C295" s="167"/>
      <c r="D295" s="171"/>
      <c r="E295" s="171"/>
      <c r="F295" s="171"/>
      <c r="G295" s="172"/>
      <c r="H295" s="173"/>
      <c r="I295" s="193"/>
      <c r="J295" s="171"/>
      <c r="K295" s="194"/>
      <c r="L295" s="173"/>
      <c r="M295" s="171"/>
      <c r="N295" s="171"/>
      <c r="O295" s="194"/>
      <c r="P295" s="195"/>
      <c r="Q295" s="171"/>
      <c r="R295" s="171"/>
      <c r="S295" s="194"/>
      <c r="T295" s="195"/>
      <c r="U295" s="171"/>
      <c r="V295" s="171"/>
      <c r="W295" s="194"/>
      <c r="X295" s="195"/>
      <c r="Y295" s="171"/>
      <c r="Z295" s="171"/>
      <c r="AA295" s="194"/>
      <c r="AB295" s="195"/>
      <c r="AC295" s="171"/>
      <c r="AD295" s="171"/>
      <c r="AE295" s="194"/>
      <c r="AF295" s="195"/>
      <c r="AG295" s="171"/>
      <c r="AH295" s="171"/>
      <c r="AI295" s="194"/>
      <c r="AJ295" s="196"/>
    </row>
    <row r="296" spans="2:36">
      <c r="B296" s="166"/>
      <c r="C296" s="167"/>
      <c r="D296" s="171"/>
      <c r="E296" s="171"/>
      <c r="F296" s="171"/>
      <c r="G296" s="172"/>
      <c r="H296" s="173"/>
      <c r="I296" s="193"/>
      <c r="J296" s="171"/>
      <c r="K296" s="194"/>
      <c r="L296" s="173"/>
      <c r="M296" s="171"/>
      <c r="N296" s="171"/>
      <c r="O296" s="194"/>
      <c r="P296" s="195"/>
      <c r="Q296" s="171"/>
      <c r="R296" s="171"/>
      <c r="S296" s="194"/>
      <c r="T296" s="195"/>
      <c r="U296" s="171"/>
      <c r="V296" s="171"/>
      <c r="W296" s="194"/>
      <c r="X296" s="195"/>
      <c r="Y296" s="171"/>
      <c r="Z296" s="171"/>
      <c r="AA296" s="194"/>
      <c r="AB296" s="195"/>
      <c r="AC296" s="171"/>
      <c r="AD296" s="171"/>
      <c r="AE296" s="194"/>
      <c r="AF296" s="195"/>
      <c r="AG296" s="171"/>
      <c r="AH296" s="171"/>
      <c r="AI296" s="194"/>
      <c r="AJ296" s="196"/>
    </row>
    <row r="297" spans="2:36">
      <c r="B297" s="166"/>
      <c r="C297" s="167"/>
      <c r="D297" s="171"/>
      <c r="E297" s="171"/>
      <c r="F297" s="171"/>
      <c r="G297" s="172"/>
      <c r="H297" s="173"/>
      <c r="I297" s="193"/>
      <c r="J297" s="171"/>
      <c r="K297" s="194"/>
      <c r="L297" s="173"/>
      <c r="M297" s="171"/>
      <c r="N297" s="171"/>
      <c r="O297" s="194"/>
      <c r="P297" s="195"/>
      <c r="Q297" s="171"/>
      <c r="R297" s="171"/>
      <c r="S297" s="194"/>
      <c r="T297" s="195"/>
      <c r="U297" s="171"/>
      <c r="V297" s="171"/>
      <c r="W297" s="194"/>
      <c r="X297" s="195"/>
      <c r="Y297" s="171"/>
      <c r="Z297" s="171"/>
      <c r="AA297" s="194"/>
      <c r="AB297" s="195"/>
      <c r="AC297" s="171"/>
      <c r="AD297" s="171"/>
      <c r="AE297" s="194"/>
      <c r="AF297" s="195"/>
      <c r="AG297" s="171"/>
      <c r="AH297" s="171"/>
      <c r="AI297" s="194"/>
      <c r="AJ297" s="196"/>
    </row>
    <row r="298" spans="2:36">
      <c r="B298" s="166"/>
      <c r="C298" s="167"/>
      <c r="D298" s="171"/>
      <c r="E298" s="171"/>
      <c r="F298" s="171"/>
      <c r="G298" s="172"/>
      <c r="H298" s="173"/>
      <c r="I298" s="193"/>
      <c r="J298" s="171"/>
      <c r="K298" s="194"/>
      <c r="L298" s="173"/>
      <c r="M298" s="171"/>
      <c r="N298" s="171"/>
      <c r="O298" s="194"/>
      <c r="P298" s="195"/>
      <c r="Q298" s="171"/>
      <c r="R298" s="171"/>
      <c r="S298" s="194"/>
      <c r="T298" s="195"/>
      <c r="U298" s="171"/>
      <c r="V298" s="171"/>
      <c r="W298" s="194"/>
      <c r="X298" s="195"/>
      <c r="Y298" s="171"/>
      <c r="Z298" s="171"/>
      <c r="AA298" s="194"/>
      <c r="AB298" s="195"/>
      <c r="AC298" s="171"/>
      <c r="AD298" s="171"/>
      <c r="AE298" s="194"/>
      <c r="AF298" s="195"/>
      <c r="AG298" s="171"/>
      <c r="AH298" s="171"/>
      <c r="AI298" s="194"/>
      <c r="AJ298" s="196"/>
    </row>
    <row r="299" spans="2:36">
      <c r="B299" s="166"/>
      <c r="C299" s="167"/>
      <c r="D299" s="171"/>
      <c r="E299" s="171"/>
      <c r="F299" s="171"/>
      <c r="G299" s="172"/>
      <c r="H299" s="173"/>
      <c r="I299" s="193"/>
      <c r="J299" s="171"/>
      <c r="K299" s="194"/>
      <c r="L299" s="173"/>
      <c r="M299" s="171"/>
      <c r="N299" s="171"/>
      <c r="O299" s="194"/>
      <c r="P299" s="195"/>
      <c r="Q299" s="171"/>
      <c r="R299" s="171"/>
      <c r="S299" s="194"/>
      <c r="T299" s="195"/>
      <c r="U299" s="171"/>
      <c r="V299" s="171"/>
      <c r="W299" s="194"/>
      <c r="X299" s="195"/>
      <c r="Y299" s="171"/>
      <c r="Z299" s="171"/>
      <c r="AA299" s="194"/>
      <c r="AB299" s="195"/>
      <c r="AC299" s="171"/>
      <c r="AD299" s="171"/>
      <c r="AE299" s="194"/>
      <c r="AF299" s="195"/>
      <c r="AG299" s="171"/>
      <c r="AH299" s="171"/>
      <c r="AI299" s="194"/>
      <c r="AJ299" s="196"/>
    </row>
    <row r="300" spans="2:36">
      <c r="B300" s="166"/>
      <c r="C300" s="167"/>
      <c r="D300" s="171"/>
      <c r="E300" s="171"/>
      <c r="F300" s="171"/>
      <c r="G300" s="172"/>
      <c r="H300" s="173"/>
      <c r="I300" s="193"/>
      <c r="J300" s="171"/>
      <c r="K300" s="194"/>
      <c r="L300" s="173"/>
      <c r="M300" s="171"/>
      <c r="N300" s="171"/>
      <c r="O300" s="194"/>
      <c r="P300" s="195"/>
      <c r="Q300" s="171"/>
      <c r="R300" s="171"/>
      <c r="S300" s="194"/>
      <c r="T300" s="195"/>
      <c r="U300" s="171"/>
      <c r="V300" s="171"/>
      <c r="W300" s="194"/>
      <c r="X300" s="195"/>
      <c r="Y300" s="171"/>
      <c r="Z300" s="171"/>
      <c r="AA300" s="194"/>
      <c r="AB300" s="195"/>
      <c r="AC300" s="171"/>
      <c r="AD300" s="171"/>
      <c r="AE300" s="194"/>
      <c r="AF300" s="195"/>
      <c r="AG300" s="171"/>
      <c r="AH300" s="171"/>
      <c r="AI300" s="194"/>
      <c r="AJ300" s="196"/>
    </row>
    <row r="301" spans="2:36">
      <c r="B301" s="166"/>
      <c r="C301" s="167"/>
      <c r="D301" s="171"/>
      <c r="E301" s="171"/>
      <c r="F301" s="171"/>
      <c r="G301" s="172"/>
      <c r="H301" s="173"/>
      <c r="I301" s="193"/>
      <c r="J301" s="171"/>
      <c r="K301" s="194"/>
      <c r="L301" s="173"/>
      <c r="M301" s="171"/>
      <c r="N301" s="171"/>
      <c r="O301" s="194"/>
      <c r="P301" s="195"/>
      <c r="Q301" s="171"/>
      <c r="R301" s="171"/>
      <c r="S301" s="194"/>
      <c r="T301" s="195"/>
      <c r="U301" s="171"/>
      <c r="V301" s="171"/>
      <c r="W301" s="194"/>
      <c r="X301" s="195"/>
      <c r="Y301" s="171"/>
      <c r="Z301" s="171"/>
      <c r="AA301" s="194"/>
      <c r="AB301" s="195"/>
      <c r="AC301" s="171"/>
      <c r="AD301" s="171"/>
      <c r="AE301" s="194"/>
      <c r="AF301" s="195"/>
      <c r="AG301" s="171"/>
      <c r="AH301" s="171"/>
      <c r="AI301" s="194"/>
      <c r="AJ301" s="196"/>
    </row>
    <row r="302" spans="2:36">
      <c r="B302" s="166"/>
      <c r="C302" s="167"/>
      <c r="D302" s="171"/>
      <c r="E302" s="171"/>
      <c r="F302" s="171"/>
      <c r="G302" s="172"/>
      <c r="H302" s="173"/>
      <c r="I302" s="193"/>
      <c r="J302" s="171"/>
      <c r="K302" s="194"/>
      <c r="L302" s="173"/>
      <c r="M302" s="171"/>
      <c r="N302" s="171"/>
      <c r="O302" s="194"/>
      <c r="P302" s="195"/>
      <c r="Q302" s="171"/>
      <c r="R302" s="171"/>
      <c r="S302" s="194"/>
      <c r="T302" s="195"/>
      <c r="U302" s="171"/>
      <c r="V302" s="171"/>
      <c r="W302" s="194"/>
      <c r="X302" s="195"/>
      <c r="Y302" s="171"/>
      <c r="Z302" s="171"/>
      <c r="AA302" s="194"/>
      <c r="AB302" s="195"/>
      <c r="AC302" s="171"/>
      <c r="AD302" s="171"/>
      <c r="AE302" s="194"/>
      <c r="AF302" s="195"/>
      <c r="AG302" s="171"/>
      <c r="AH302" s="171"/>
      <c r="AI302" s="194"/>
      <c r="AJ302" s="196"/>
    </row>
    <row r="303" spans="2:36">
      <c r="B303" s="166"/>
      <c r="C303" s="167"/>
      <c r="D303" s="171"/>
      <c r="E303" s="171"/>
      <c r="F303" s="171"/>
      <c r="G303" s="172"/>
      <c r="H303" s="173"/>
      <c r="I303" s="193"/>
      <c r="J303" s="171"/>
      <c r="K303" s="194"/>
      <c r="L303" s="173"/>
      <c r="M303" s="171"/>
      <c r="N303" s="171"/>
      <c r="O303" s="194"/>
      <c r="P303" s="195"/>
      <c r="Q303" s="171"/>
      <c r="R303" s="171"/>
      <c r="S303" s="194"/>
      <c r="T303" s="195"/>
      <c r="U303" s="171"/>
      <c r="V303" s="171"/>
      <c r="W303" s="194"/>
      <c r="X303" s="195"/>
      <c r="Y303" s="171"/>
      <c r="Z303" s="171"/>
      <c r="AA303" s="194"/>
      <c r="AB303" s="195"/>
      <c r="AC303" s="171"/>
      <c r="AD303" s="171"/>
      <c r="AE303" s="194"/>
      <c r="AF303" s="195"/>
      <c r="AG303" s="171"/>
      <c r="AH303" s="171"/>
      <c r="AI303" s="194"/>
      <c r="AJ303" s="196"/>
    </row>
    <row r="304" spans="2:36">
      <c r="B304" s="166"/>
      <c r="C304" s="167"/>
      <c r="D304" s="171"/>
      <c r="E304" s="171"/>
      <c r="F304" s="171"/>
      <c r="G304" s="172"/>
      <c r="H304" s="173"/>
      <c r="I304" s="193"/>
      <c r="J304" s="171"/>
      <c r="K304" s="194"/>
      <c r="L304" s="173"/>
      <c r="M304" s="171"/>
      <c r="N304" s="171"/>
      <c r="O304" s="194"/>
      <c r="P304" s="195"/>
      <c r="Q304" s="171"/>
      <c r="R304" s="171"/>
      <c r="S304" s="194"/>
      <c r="T304" s="195"/>
      <c r="U304" s="171"/>
      <c r="V304" s="171"/>
      <c r="W304" s="194"/>
      <c r="X304" s="195"/>
      <c r="Y304" s="171"/>
      <c r="Z304" s="171"/>
      <c r="AA304" s="194"/>
      <c r="AB304" s="195"/>
      <c r="AC304" s="171"/>
      <c r="AD304" s="171"/>
      <c r="AE304" s="194"/>
      <c r="AF304" s="195"/>
      <c r="AG304" s="171"/>
      <c r="AH304" s="171"/>
      <c r="AI304" s="194"/>
      <c r="AJ304" s="196"/>
    </row>
    <row r="305" spans="2:36">
      <c r="B305" s="166"/>
      <c r="C305" s="167"/>
      <c r="D305" s="171"/>
      <c r="E305" s="171"/>
      <c r="F305" s="171"/>
      <c r="G305" s="172"/>
      <c r="H305" s="173"/>
      <c r="I305" s="193"/>
      <c r="J305" s="171"/>
      <c r="K305" s="194"/>
      <c r="L305" s="173"/>
      <c r="M305" s="171"/>
      <c r="N305" s="171"/>
      <c r="O305" s="194"/>
      <c r="P305" s="195"/>
      <c r="Q305" s="171"/>
      <c r="R305" s="171"/>
      <c r="S305" s="194"/>
      <c r="T305" s="195"/>
      <c r="U305" s="171"/>
      <c r="V305" s="171"/>
      <c r="W305" s="194"/>
      <c r="X305" s="195"/>
      <c r="Y305" s="171"/>
      <c r="Z305" s="171"/>
      <c r="AA305" s="194"/>
      <c r="AB305" s="195"/>
      <c r="AC305" s="171"/>
      <c r="AD305" s="171"/>
      <c r="AE305" s="194"/>
      <c r="AF305" s="195"/>
      <c r="AG305" s="171"/>
      <c r="AH305" s="171"/>
      <c r="AI305" s="194"/>
      <c r="AJ305" s="196"/>
    </row>
    <row r="306" spans="2:36">
      <c r="B306" s="166"/>
      <c r="C306" s="167"/>
      <c r="D306" s="171"/>
      <c r="E306" s="171"/>
      <c r="F306" s="171"/>
      <c r="G306" s="172"/>
      <c r="H306" s="173"/>
      <c r="I306" s="193"/>
      <c r="J306" s="171"/>
      <c r="K306" s="194"/>
      <c r="L306" s="173"/>
      <c r="M306" s="171"/>
      <c r="N306" s="171"/>
      <c r="O306" s="194"/>
      <c r="P306" s="195"/>
      <c r="Q306" s="171"/>
      <c r="R306" s="171"/>
      <c r="S306" s="194"/>
      <c r="T306" s="195"/>
      <c r="U306" s="171"/>
      <c r="V306" s="171"/>
      <c r="W306" s="194"/>
      <c r="X306" s="195"/>
      <c r="Y306" s="171"/>
      <c r="Z306" s="171"/>
      <c r="AA306" s="194"/>
      <c r="AB306" s="195"/>
      <c r="AC306" s="171"/>
      <c r="AD306" s="171"/>
      <c r="AE306" s="194"/>
      <c r="AF306" s="195"/>
      <c r="AG306" s="171"/>
      <c r="AH306" s="171"/>
      <c r="AI306" s="194"/>
      <c r="AJ306" s="196"/>
    </row>
    <row r="307" spans="2:36">
      <c r="B307" s="166"/>
      <c r="C307" s="167"/>
      <c r="D307" s="171"/>
      <c r="E307" s="171"/>
      <c r="F307" s="171"/>
      <c r="G307" s="172"/>
      <c r="H307" s="173"/>
      <c r="I307" s="193"/>
      <c r="J307" s="171"/>
      <c r="K307" s="194"/>
      <c r="L307" s="173"/>
      <c r="M307" s="171"/>
      <c r="N307" s="171"/>
      <c r="O307" s="194"/>
      <c r="P307" s="195"/>
      <c r="Q307" s="171"/>
      <c r="R307" s="171"/>
      <c r="S307" s="194"/>
      <c r="T307" s="195"/>
      <c r="U307" s="171"/>
      <c r="V307" s="171"/>
      <c r="W307" s="194"/>
      <c r="X307" s="195"/>
      <c r="Y307" s="171"/>
      <c r="Z307" s="171"/>
      <c r="AA307" s="194"/>
      <c r="AB307" s="195"/>
      <c r="AC307" s="171"/>
      <c r="AD307" s="171"/>
      <c r="AE307" s="194"/>
      <c r="AF307" s="195"/>
      <c r="AG307" s="171"/>
      <c r="AH307" s="171"/>
      <c r="AI307" s="194"/>
      <c r="AJ307" s="196"/>
    </row>
    <row r="308" spans="2:36">
      <c r="B308" s="166"/>
      <c r="C308" s="167"/>
      <c r="D308" s="171"/>
      <c r="E308" s="171"/>
      <c r="F308" s="171"/>
      <c r="G308" s="172"/>
      <c r="H308" s="173"/>
      <c r="I308" s="193"/>
      <c r="J308" s="171"/>
      <c r="K308" s="194"/>
      <c r="L308" s="173"/>
      <c r="M308" s="171"/>
      <c r="N308" s="171"/>
      <c r="O308" s="194"/>
      <c r="P308" s="195"/>
      <c r="Q308" s="171"/>
      <c r="R308" s="171"/>
      <c r="S308" s="194"/>
      <c r="T308" s="195"/>
      <c r="U308" s="171"/>
      <c r="V308" s="171"/>
      <c r="W308" s="194"/>
      <c r="X308" s="195"/>
      <c r="Y308" s="171"/>
      <c r="Z308" s="171"/>
      <c r="AA308" s="194"/>
      <c r="AB308" s="195"/>
      <c r="AC308" s="171"/>
      <c r="AD308" s="171"/>
      <c r="AE308" s="194"/>
      <c r="AF308" s="195"/>
      <c r="AG308" s="171"/>
      <c r="AH308" s="171"/>
      <c r="AI308" s="194"/>
      <c r="AJ308" s="196"/>
    </row>
    <row r="309" spans="2:36">
      <c r="B309" s="166"/>
      <c r="C309" s="167"/>
      <c r="D309" s="171"/>
      <c r="E309" s="171"/>
      <c r="F309" s="171"/>
      <c r="G309" s="172"/>
      <c r="H309" s="173"/>
      <c r="I309" s="193"/>
      <c r="J309" s="171"/>
      <c r="K309" s="194"/>
      <c r="L309" s="173"/>
      <c r="M309" s="171"/>
      <c r="N309" s="171"/>
      <c r="O309" s="194"/>
      <c r="P309" s="195"/>
      <c r="Q309" s="171"/>
      <c r="R309" s="171"/>
      <c r="S309" s="194"/>
      <c r="T309" s="195"/>
      <c r="U309" s="171"/>
      <c r="V309" s="171"/>
      <c r="W309" s="194"/>
      <c r="X309" s="195"/>
      <c r="Y309" s="171"/>
      <c r="Z309" s="171"/>
      <c r="AA309" s="194"/>
      <c r="AB309" s="195"/>
      <c r="AC309" s="171"/>
      <c r="AD309" s="171"/>
      <c r="AE309" s="194"/>
      <c r="AF309" s="195"/>
      <c r="AG309" s="171"/>
      <c r="AH309" s="171"/>
      <c r="AI309" s="194"/>
      <c r="AJ309" s="196"/>
    </row>
    <row r="310" spans="2:36">
      <c r="B310" s="166"/>
      <c r="C310" s="167"/>
      <c r="D310" s="171"/>
      <c r="E310" s="171"/>
      <c r="F310" s="171"/>
      <c r="G310" s="172"/>
      <c r="H310" s="173"/>
      <c r="I310" s="193"/>
      <c r="J310" s="171"/>
      <c r="K310" s="194"/>
      <c r="L310" s="173"/>
      <c r="M310" s="171"/>
      <c r="N310" s="171"/>
      <c r="O310" s="194"/>
      <c r="P310" s="195"/>
      <c r="Q310" s="171"/>
      <c r="R310" s="171"/>
      <c r="S310" s="194"/>
      <c r="T310" s="195"/>
      <c r="U310" s="171"/>
      <c r="V310" s="171"/>
      <c r="W310" s="194"/>
      <c r="X310" s="195"/>
      <c r="Y310" s="171"/>
      <c r="Z310" s="171"/>
      <c r="AA310" s="194"/>
      <c r="AB310" s="195"/>
      <c r="AC310" s="171"/>
      <c r="AD310" s="171"/>
      <c r="AE310" s="194"/>
      <c r="AF310" s="195"/>
      <c r="AG310" s="171"/>
      <c r="AH310" s="171"/>
      <c r="AI310" s="194"/>
      <c r="AJ310" s="196"/>
    </row>
    <row r="311" spans="2:36">
      <c r="B311" s="166"/>
      <c r="C311" s="167"/>
      <c r="D311" s="171"/>
      <c r="E311" s="171"/>
      <c r="F311" s="171"/>
      <c r="G311" s="172"/>
      <c r="H311" s="173"/>
      <c r="I311" s="193"/>
      <c r="J311" s="171"/>
      <c r="K311" s="194"/>
      <c r="L311" s="173"/>
      <c r="M311" s="171"/>
      <c r="N311" s="171"/>
      <c r="O311" s="194"/>
      <c r="P311" s="195"/>
      <c r="Q311" s="171"/>
      <c r="R311" s="171"/>
      <c r="S311" s="194"/>
      <c r="T311" s="195"/>
      <c r="U311" s="171"/>
      <c r="V311" s="171"/>
      <c r="W311" s="194"/>
      <c r="X311" s="195"/>
      <c r="Y311" s="171"/>
      <c r="Z311" s="171"/>
      <c r="AA311" s="194"/>
      <c r="AB311" s="195"/>
      <c r="AC311" s="171"/>
      <c r="AD311" s="171"/>
      <c r="AE311" s="194"/>
      <c r="AF311" s="195"/>
      <c r="AG311" s="171"/>
      <c r="AH311" s="171"/>
      <c r="AI311" s="194"/>
      <c r="AJ311" s="196"/>
    </row>
    <row r="312" spans="2:36">
      <c r="B312" s="166"/>
      <c r="C312" s="167"/>
      <c r="D312" s="171"/>
      <c r="E312" s="171"/>
      <c r="F312" s="171"/>
      <c r="G312" s="172"/>
      <c r="H312" s="173"/>
      <c r="I312" s="193"/>
      <c r="J312" s="171"/>
      <c r="K312" s="194"/>
      <c r="L312" s="173"/>
      <c r="M312" s="171"/>
      <c r="N312" s="171"/>
      <c r="O312" s="194"/>
      <c r="P312" s="195"/>
      <c r="Q312" s="171"/>
      <c r="R312" s="171"/>
      <c r="S312" s="194"/>
      <c r="T312" s="195"/>
      <c r="U312" s="171"/>
      <c r="V312" s="171"/>
      <c r="W312" s="194"/>
      <c r="X312" s="195"/>
      <c r="Y312" s="171"/>
      <c r="Z312" s="171"/>
      <c r="AA312" s="194"/>
      <c r="AB312" s="195"/>
      <c r="AC312" s="171"/>
      <c r="AD312" s="171"/>
      <c r="AE312" s="194"/>
      <c r="AF312" s="195"/>
      <c r="AG312" s="171"/>
      <c r="AH312" s="171"/>
      <c r="AI312" s="194"/>
      <c r="AJ312" s="196"/>
    </row>
    <row r="313" spans="2:36">
      <c r="B313" s="166"/>
      <c r="C313" s="167"/>
      <c r="D313" s="171"/>
      <c r="E313" s="171"/>
      <c r="F313" s="171"/>
      <c r="G313" s="172"/>
      <c r="H313" s="173"/>
      <c r="I313" s="193"/>
      <c r="J313" s="171"/>
      <c r="K313" s="194"/>
      <c r="L313" s="173"/>
      <c r="M313" s="171"/>
      <c r="N313" s="171"/>
      <c r="O313" s="194"/>
      <c r="P313" s="195"/>
      <c r="Q313" s="171"/>
      <c r="R313" s="171"/>
      <c r="S313" s="194"/>
      <c r="T313" s="195"/>
      <c r="U313" s="171"/>
      <c r="V313" s="171"/>
      <c r="W313" s="194"/>
      <c r="X313" s="195"/>
      <c r="Y313" s="171"/>
      <c r="Z313" s="171"/>
      <c r="AA313" s="194"/>
      <c r="AB313" s="195"/>
      <c r="AC313" s="171"/>
      <c r="AD313" s="171"/>
      <c r="AE313" s="194"/>
      <c r="AF313" s="195"/>
      <c r="AG313" s="171"/>
      <c r="AH313" s="171"/>
      <c r="AI313" s="194"/>
      <c r="AJ313" s="196"/>
    </row>
    <row r="314" spans="2:36">
      <c r="B314" s="166"/>
      <c r="C314" s="167"/>
      <c r="D314" s="171"/>
      <c r="E314" s="171"/>
      <c r="F314" s="171"/>
      <c r="G314" s="172"/>
      <c r="H314" s="173"/>
      <c r="I314" s="193"/>
      <c r="J314" s="171"/>
      <c r="K314" s="194"/>
      <c r="L314" s="173"/>
      <c r="M314" s="171"/>
      <c r="N314" s="171"/>
      <c r="O314" s="194"/>
      <c r="P314" s="195"/>
      <c r="Q314" s="171"/>
      <c r="R314" s="171"/>
      <c r="S314" s="194"/>
      <c r="T314" s="195"/>
      <c r="U314" s="171"/>
      <c r="V314" s="171"/>
      <c r="W314" s="194"/>
      <c r="X314" s="195"/>
      <c r="Y314" s="171"/>
      <c r="Z314" s="171"/>
      <c r="AA314" s="194"/>
      <c r="AB314" s="195"/>
      <c r="AC314" s="171"/>
      <c r="AD314" s="171"/>
      <c r="AE314" s="194"/>
      <c r="AF314" s="195"/>
      <c r="AG314" s="171"/>
      <c r="AH314" s="171"/>
      <c r="AI314" s="194"/>
      <c r="AJ314" s="196"/>
    </row>
    <row r="315" spans="2:36">
      <c r="B315" s="166"/>
      <c r="C315" s="167"/>
      <c r="D315" s="171"/>
      <c r="E315" s="171"/>
      <c r="F315" s="171"/>
      <c r="G315" s="172"/>
      <c r="H315" s="173"/>
      <c r="I315" s="193"/>
      <c r="J315" s="171"/>
      <c r="K315" s="194"/>
      <c r="L315" s="173"/>
      <c r="M315" s="171"/>
      <c r="N315" s="171"/>
      <c r="O315" s="194"/>
      <c r="P315" s="195"/>
      <c r="Q315" s="171"/>
      <c r="R315" s="171"/>
      <c r="S315" s="194"/>
      <c r="T315" s="195"/>
      <c r="U315" s="171"/>
      <c r="V315" s="171"/>
      <c r="W315" s="194"/>
      <c r="X315" s="195"/>
      <c r="Y315" s="171"/>
      <c r="Z315" s="171"/>
      <c r="AA315" s="194"/>
      <c r="AB315" s="195"/>
      <c r="AC315" s="171"/>
      <c r="AD315" s="171"/>
      <c r="AE315" s="194"/>
      <c r="AF315" s="195"/>
      <c r="AG315" s="171"/>
      <c r="AH315" s="171"/>
      <c r="AI315" s="194"/>
      <c r="AJ315" s="196"/>
    </row>
    <row r="316" spans="2:36">
      <c r="B316" s="166"/>
      <c r="C316" s="167"/>
      <c r="D316" s="171"/>
      <c r="E316" s="171"/>
      <c r="F316" s="171"/>
      <c r="G316" s="172"/>
      <c r="H316" s="173"/>
      <c r="I316" s="193"/>
      <c r="J316" s="171"/>
      <c r="K316" s="194"/>
      <c r="L316" s="173"/>
      <c r="M316" s="171"/>
      <c r="N316" s="171"/>
      <c r="O316" s="194"/>
      <c r="P316" s="195"/>
      <c r="Q316" s="171"/>
      <c r="R316" s="171"/>
      <c r="S316" s="194"/>
      <c r="T316" s="195"/>
      <c r="U316" s="171"/>
      <c r="V316" s="171"/>
      <c r="W316" s="194"/>
      <c r="X316" s="195"/>
      <c r="Y316" s="171"/>
      <c r="Z316" s="171"/>
      <c r="AA316" s="194"/>
      <c r="AB316" s="195"/>
      <c r="AC316" s="171"/>
      <c r="AD316" s="171"/>
      <c r="AE316" s="194"/>
      <c r="AF316" s="195"/>
      <c r="AG316" s="171"/>
      <c r="AH316" s="171"/>
      <c r="AI316" s="194"/>
      <c r="AJ316" s="196"/>
    </row>
    <row r="317" spans="2:36">
      <c r="B317" s="166"/>
      <c r="C317" s="167"/>
      <c r="D317" s="171"/>
      <c r="E317" s="171"/>
      <c r="F317" s="171"/>
      <c r="G317" s="172"/>
      <c r="H317" s="173"/>
      <c r="I317" s="193"/>
      <c r="J317" s="171"/>
      <c r="K317" s="194"/>
      <c r="L317" s="173"/>
      <c r="M317" s="171"/>
      <c r="N317" s="171"/>
      <c r="O317" s="194"/>
      <c r="P317" s="195"/>
      <c r="Q317" s="171"/>
      <c r="R317" s="171"/>
      <c r="S317" s="194"/>
      <c r="T317" s="195"/>
      <c r="U317" s="171"/>
      <c r="V317" s="171"/>
      <c r="W317" s="194"/>
      <c r="X317" s="195"/>
      <c r="Y317" s="171"/>
      <c r="Z317" s="171"/>
      <c r="AA317" s="194"/>
      <c r="AB317" s="195"/>
      <c r="AC317" s="171"/>
      <c r="AD317" s="171"/>
      <c r="AE317" s="194"/>
      <c r="AF317" s="195"/>
      <c r="AG317" s="171"/>
      <c r="AH317" s="171"/>
      <c r="AI317" s="194"/>
      <c r="AJ317" s="196"/>
    </row>
    <row r="318" spans="2:36">
      <c r="B318" s="166"/>
      <c r="C318" s="167"/>
      <c r="D318" s="171"/>
      <c r="E318" s="171"/>
      <c r="F318" s="171"/>
      <c r="G318" s="172"/>
      <c r="H318" s="173"/>
      <c r="I318" s="193"/>
      <c r="J318" s="171"/>
      <c r="K318" s="194"/>
      <c r="L318" s="173"/>
      <c r="M318" s="171"/>
      <c r="N318" s="171"/>
      <c r="O318" s="194"/>
      <c r="P318" s="195"/>
      <c r="Q318" s="171"/>
      <c r="R318" s="171"/>
      <c r="S318" s="194"/>
      <c r="T318" s="195"/>
      <c r="U318" s="171"/>
      <c r="V318" s="171"/>
      <c r="W318" s="194"/>
      <c r="X318" s="195"/>
      <c r="Y318" s="171"/>
      <c r="Z318" s="171"/>
      <c r="AA318" s="194"/>
      <c r="AB318" s="195"/>
      <c r="AC318" s="171"/>
      <c r="AD318" s="171"/>
      <c r="AE318" s="194"/>
      <c r="AF318" s="195"/>
      <c r="AG318" s="171"/>
      <c r="AH318" s="171"/>
      <c r="AI318" s="194"/>
      <c r="AJ318" s="196"/>
    </row>
    <row r="319" spans="2:36">
      <c r="B319" s="166"/>
      <c r="C319" s="167"/>
      <c r="D319" s="171"/>
      <c r="E319" s="171"/>
      <c r="F319" s="171"/>
      <c r="G319" s="172"/>
      <c r="H319" s="173"/>
      <c r="I319" s="193"/>
      <c r="J319" s="171"/>
      <c r="K319" s="194"/>
      <c r="L319" s="173"/>
      <c r="M319" s="171"/>
      <c r="N319" s="171"/>
      <c r="O319" s="194"/>
      <c r="P319" s="195"/>
      <c r="Q319" s="171"/>
      <c r="R319" s="171"/>
      <c r="S319" s="194"/>
      <c r="T319" s="195"/>
      <c r="U319" s="171"/>
      <c r="V319" s="171"/>
      <c r="W319" s="194"/>
      <c r="X319" s="195"/>
      <c r="Y319" s="171"/>
      <c r="Z319" s="171"/>
      <c r="AA319" s="194"/>
      <c r="AB319" s="195"/>
      <c r="AC319" s="171"/>
      <c r="AD319" s="171"/>
      <c r="AE319" s="194"/>
      <c r="AF319" s="195"/>
      <c r="AG319" s="171"/>
      <c r="AH319" s="171"/>
      <c r="AI319" s="194"/>
      <c r="AJ319" s="196"/>
    </row>
    <row r="320" spans="2:36">
      <c r="B320" s="166"/>
      <c r="C320" s="167"/>
      <c r="D320" s="171"/>
      <c r="E320" s="171"/>
      <c r="F320" s="171"/>
      <c r="G320" s="172"/>
      <c r="H320" s="173"/>
      <c r="I320" s="193"/>
      <c r="J320" s="171"/>
      <c r="K320" s="194"/>
      <c r="L320" s="173"/>
      <c r="M320" s="171"/>
      <c r="N320" s="171"/>
      <c r="O320" s="194"/>
      <c r="P320" s="195"/>
      <c r="Q320" s="171"/>
      <c r="R320" s="171"/>
      <c r="S320" s="194"/>
      <c r="T320" s="195"/>
      <c r="U320" s="171"/>
      <c r="V320" s="171"/>
      <c r="W320" s="194"/>
      <c r="X320" s="195"/>
      <c r="Y320" s="171"/>
      <c r="Z320" s="171"/>
      <c r="AA320" s="194"/>
      <c r="AB320" s="195"/>
      <c r="AC320" s="171"/>
      <c r="AD320" s="171"/>
      <c r="AE320" s="194"/>
      <c r="AF320" s="195"/>
      <c r="AG320" s="171"/>
      <c r="AH320" s="171"/>
      <c r="AI320" s="194"/>
      <c r="AJ320" s="196"/>
    </row>
    <row r="321" spans="2:36">
      <c r="B321" s="166"/>
      <c r="C321" s="167"/>
      <c r="D321" s="171"/>
      <c r="E321" s="171"/>
      <c r="F321" s="171"/>
      <c r="G321" s="172"/>
      <c r="H321" s="173"/>
      <c r="I321" s="193"/>
      <c r="J321" s="171"/>
      <c r="K321" s="194"/>
      <c r="L321" s="173"/>
      <c r="M321" s="171"/>
      <c r="N321" s="171"/>
      <c r="O321" s="194"/>
      <c r="P321" s="195"/>
      <c r="Q321" s="171"/>
      <c r="R321" s="171"/>
      <c r="S321" s="194"/>
      <c r="T321" s="195"/>
      <c r="U321" s="171"/>
      <c r="V321" s="171"/>
      <c r="W321" s="194"/>
      <c r="X321" s="195"/>
      <c r="Y321" s="171"/>
      <c r="Z321" s="171"/>
      <c r="AA321" s="194"/>
      <c r="AB321" s="195"/>
      <c r="AC321" s="171"/>
      <c r="AD321" s="171"/>
      <c r="AE321" s="194"/>
      <c r="AF321" s="195"/>
      <c r="AG321" s="171"/>
      <c r="AH321" s="171"/>
      <c r="AI321" s="194"/>
      <c r="AJ321" s="196"/>
    </row>
    <row r="322" spans="2:36">
      <c r="B322" s="166"/>
      <c r="C322" s="167"/>
      <c r="D322" s="171"/>
      <c r="E322" s="171"/>
      <c r="F322" s="171"/>
      <c r="G322" s="172"/>
      <c r="H322" s="173"/>
      <c r="I322" s="193"/>
      <c r="J322" s="171"/>
      <c r="K322" s="194"/>
      <c r="L322" s="173"/>
      <c r="M322" s="171"/>
      <c r="N322" s="171"/>
      <c r="O322" s="194"/>
      <c r="P322" s="195"/>
      <c r="Q322" s="171"/>
      <c r="R322" s="171"/>
      <c r="S322" s="194"/>
      <c r="T322" s="195"/>
      <c r="U322" s="171"/>
      <c r="V322" s="171"/>
      <c r="W322" s="194"/>
      <c r="X322" s="195"/>
      <c r="Y322" s="171"/>
      <c r="Z322" s="171"/>
      <c r="AA322" s="194"/>
      <c r="AB322" s="195"/>
      <c r="AC322" s="171"/>
      <c r="AD322" s="171"/>
      <c r="AE322" s="194"/>
      <c r="AF322" s="195"/>
      <c r="AG322" s="171"/>
      <c r="AH322" s="171"/>
      <c r="AI322" s="194"/>
      <c r="AJ322" s="196"/>
    </row>
    <row r="323" spans="2:36">
      <c r="B323" s="166"/>
      <c r="C323" s="167"/>
      <c r="D323" s="171"/>
      <c r="E323" s="171"/>
      <c r="F323" s="171"/>
      <c r="G323" s="172"/>
      <c r="H323" s="173"/>
      <c r="I323" s="193"/>
      <c r="J323" s="171"/>
      <c r="K323" s="194"/>
      <c r="L323" s="173"/>
      <c r="M323" s="171"/>
      <c r="N323" s="171"/>
      <c r="O323" s="194"/>
      <c r="P323" s="195"/>
      <c r="Q323" s="171"/>
      <c r="R323" s="171"/>
      <c r="S323" s="194"/>
      <c r="T323" s="195"/>
      <c r="U323" s="171"/>
      <c r="V323" s="171"/>
      <c r="W323" s="194"/>
      <c r="X323" s="195"/>
      <c r="Y323" s="171"/>
      <c r="Z323" s="171"/>
      <c r="AA323" s="194"/>
      <c r="AB323" s="195"/>
      <c r="AC323" s="171"/>
      <c r="AD323" s="171"/>
      <c r="AE323" s="194"/>
      <c r="AF323" s="195"/>
      <c r="AG323" s="171"/>
      <c r="AH323" s="171"/>
      <c r="AI323" s="194"/>
      <c r="AJ323" s="196"/>
    </row>
    <row r="324" spans="2:36">
      <c r="B324" s="166"/>
      <c r="C324" s="167"/>
      <c r="D324" s="171"/>
      <c r="E324" s="171"/>
      <c r="F324" s="171"/>
      <c r="G324" s="172"/>
      <c r="H324" s="173"/>
      <c r="I324" s="193"/>
      <c r="J324" s="171"/>
      <c r="K324" s="194"/>
      <c r="L324" s="173"/>
      <c r="M324" s="171"/>
      <c r="N324" s="171"/>
      <c r="O324" s="194"/>
      <c r="P324" s="195"/>
      <c r="Q324" s="171"/>
      <c r="R324" s="171"/>
      <c r="S324" s="194"/>
      <c r="T324" s="195"/>
      <c r="U324" s="171"/>
      <c r="V324" s="171"/>
      <c r="W324" s="194"/>
      <c r="X324" s="195"/>
      <c r="Y324" s="171"/>
      <c r="Z324" s="171"/>
      <c r="AA324" s="194"/>
      <c r="AB324" s="195"/>
      <c r="AC324" s="171"/>
      <c r="AD324" s="171"/>
      <c r="AE324" s="194"/>
      <c r="AF324" s="195"/>
      <c r="AG324" s="171"/>
      <c r="AH324" s="171"/>
      <c r="AI324" s="194"/>
      <c r="AJ324" s="196"/>
    </row>
    <row r="325" spans="2:36">
      <c r="B325" s="166"/>
      <c r="C325" s="167"/>
      <c r="D325" s="171"/>
      <c r="E325" s="171"/>
      <c r="F325" s="171"/>
      <c r="G325" s="172"/>
      <c r="H325" s="173"/>
      <c r="I325" s="193"/>
      <c r="J325" s="171"/>
      <c r="K325" s="194"/>
      <c r="L325" s="173"/>
      <c r="M325" s="171"/>
      <c r="N325" s="171"/>
      <c r="O325" s="194"/>
      <c r="P325" s="195"/>
      <c r="Q325" s="171"/>
      <c r="R325" s="171"/>
      <c r="S325" s="194"/>
      <c r="T325" s="195"/>
      <c r="U325" s="171"/>
      <c r="V325" s="171"/>
      <c r="W325" s="194"/>
      <c r="X325" s="195"/>
      <c r="Y325" s="171"/>
      <c r="Z325" s="171"/>
      <c r="AA325" s="194"/>
      <c r="AB325" s="195"/>
      <c r="AC325" s="171"/>
      <c r="AD325" s="171"/>
      <c r="AE325" s="194"/>
      <c r="AF325" s="195"/>
      <c r="AG325" s="171"/>
      <c r="AH325" s="171"/>
      <c r="AI325" s="194"/>
      <c r="AJ325" s="196"/>
    </row>
    <row r="326" spans="2:36">
      <c r="B326" s="166"/>
      <c r="C326" s="167"/>
      <c r="D326" s="171"/>
      <c r="E326" s="171"/>
      <c r="F326" s="171"/>
      <c r="G326" s="172"/>
      <c r="H326" s="173"/>
      <c r="I326" s="193"/>
      <c r="J326" s="171"/>
      <c r="K326" s="194"/>
      <c r="L326" s="173"/>
      <c r="M326" s="171"/>
      <c r="N326" s="171"/>
      <c r="O326" s="194"/>
      <c r="P326" s="195"/>
      <c r="Q326" s="171"/>
      <c r="R326" s="171"/>
      <c r="S326" s="194"/>
      <c r="T326" s="195"/>
      <c r="U326" s="171"/>
      <c r="V326" s="171"/>
      <c r="W326" s="194"/>
      <c r="X326" s="195"/>
      <c r="Y326" s="171"/>
      <c r="Z326" s="171"/>
      <c r="AA326" s="194"/>
      <c r="AB326" s="195"/>
      <c r="AC326" s="171"/>
      <c r="AD326" s="171"/>
      <c r="AE326" s="194"/>
      <c r="AF326" s="195"/>
      <c r="AG326" s="171"/>
      <c r="AH326" s="171"/>
      <c r="AI326" s="194"/>
      <c r="AJ326" s="196"/>
    </row>
    <row r="327" spans="2:36">
      <c r="B327" s="166"/>
      <c r="C327" s="167"/>
      <c r="D327" s="171"/>
      <c r="E327" s="171"/>
      <c r="F327" s="171"/>
      <c r="G327" s="172"/>
      <c r="H327" s="173"/>
      <c r="I327" s="193"/>
      <c r="J327" s="171"/>
      <c r="K327" s="194"/>
      <c r="L327" s="173"/>
      <c r="M327" s="171"/>
      <c r="N327" s="171"/>
      <c r="O327" s="194"/>
      <c r="P327" s="195"/>
      <c r="Q327" s="171"/>
      <c r="R327" s="171"/>
      <c r="S327" s="194"/>
      <c r="T327" s="195"/>
      <c r="U327" s="171"/>
      <c r="V327" s="171"/>
      <c r="W327" s="194"/>
      <c r="X327" s="195"/>
      <c r="Y327" s="171"/>
      <c r="Z327" s="171"/>
      <c r="AA327" s="194"/>
      <c r="AB327" s="195"/>
      <c r="AC327" s="171"/>
      <c r="AD327" s="171"/>
      <c r="AE327" s="194"/>
      <c r="AF327" s="195"/>
      <c r="AG327" s="171"/>
      <c r="AH327" s="171"/>
      <c r="AI327" s="194"/>
      <c r="AJ327" s="196"/>
    </row>
    <row r="328" spans="2:36">
      <c r="B328" s="166"/>
      <c r="C328" s="167"/>
      <c r="D328" s="171"/>
      <c r="E328" s="171"/>
      <c r="F328" s="171"/>
      <c r="G328" s="172"/>
      <c r="H328" s="173"/>
      <c r="I328" s="193"/>
      <c r="J328" s="171"/>
      <c r="K328" s="194"/>
      <c r="L328" s="173"/>
      <c r="M328" s="171"/>
      <c r="N328" s="171"/>
      <c r="O328" s="194"/>
      <c r="P328" s="195"/>
      <c r="Q328" s="171"/>
      <c r="R328" s="171"/>
      <c r="S328" s="194"/>
      <c r="T328" s="195"/>
      <c r="U328" s="171"/>
      <c r="V328" s="171"/>
      <c r="W328" s="194"/>
      <c r="X328" s="195"/>
      <c r="Y328" s="171"/>
      <c r="Z328" s="171"/>
      <c r="AA328" s="194"/>
      <c r="AB328" s="195"/>
      <c r="AC328" s="171"/>
      <c r="AD328" s="171"/>
      <c r="AE328" s="194"/>
      <c r="AF328" s="195"/>
      <c r="AG328" s="171"/>
      <c r="AH328" s="171"/>
      <c r="AI328" s="194"/>
      <c r="AJ328" s="196"/>
    </row>
    <row r="329" spans="2:36">
      <c r="B329" s="166"/>
      <c r="C329" s="167"/>
      <c r="D329" s="171"/>
      <c r="E329" s="171"/>
      <c r="F329" s="171"/>
      <c r="G329" s="172"/>
      <c r="H329" s="173"/>
      <c r="I329" s="193"/>
      <c r="J329" s="171"/>
      <c r="K329" s="194"/>
      <c r="L329" s="173"/>
      <c r="M329" s="171"/>
      <c r="N329" s="171"/>
      <c r="O329" s="194"/>
      <c r="P329" s="195"/>
      <c r="Q329" s="171"/>
      <c r="R329" s="171"/>
      <c r="S329" s="194"/>
      <c r="T329" s="195"/>
      <c r="U329" s="171"/>
      <c r="V329" s="171"/>
      <c r="W329" s="194"/>
      <c r="X329" s="195"/>
      <c r="Y329" s="171"/>
      <c r="Z329" s="171"/>
      <c r="AA329" s="194"/>
      <c r="AB329" s="195"/>
      <c r="AC329" s="171"/>
      <c r="AD329" s="171"/>
      <c r="AE329" s="194"/>
      <c r="AF329" s="195"/>
      <c r="AG329" s="171"/>
      <c r="AH329" s="171"/>
      <c r="AI329" s="194"/>
      <c r="AJ329" s="196"/>
    </row>
    <row r="330" spans="2:36">
      <c r="B330" s="166"/>
      <c r="C330" s="167"/>
      <c r="D330" s="171"/>
      <c r="E330" s="171"/>
      <c r="F330" s="171"/>
      <c r="G330" s="172"/>
      <c r="H330" s="173"/>
      <c r="I330" s="193"/>
      <c r="J330" s="171"/>
      <c r="K330" s="194"/>
      <c r="L330" s="173"/>
      <c r="M330" s="171"/>
      <c r="N330" s="171"/>
      <c r="O330" s="194"/>
      <c r="P330" s="195"/>
      <c r="Q330" s="171"/>
      <c r="R330" s="171"/>
      <c r="S330" s="194"/>
      <c r="T330" s="195"/>
      <c r="U330" s="171"/>
      <c r="V330" s="171"/>
      <c r="W330" s="194"/>
      <c r="X330" s="195"/>
      <c r="Y330" s="171"/>
      <c r="Z330" s="171"/>
      <c r="AA330" s="194"/>
      <c r="AB330" s="195"/>
      <c r="AC330" s="171"/>
      <c r="AD330" s="171"/>
      <c r="AE330" s="194"/>
      <c r="AF330" s="195"/>
      <c r="AG330" s="171"/>
      <c r="AH330" s="171"/>
      <c r="AI330" s="194"/>
      <c r="AJ330" s="196"/>
    </row>
    <row r="331" spans="2:36">
      <c r="B331" s="166"/>
      <c r="C331" s="167"/>
      <c r="D331" s="171"/>
      <c r="E331" s="171"/>
      <c r="F331" s="171"/>
      <c r="G331" s="172"/>
      <c r="H331" s="173"/>
      <c r="I331" s="193"/>
      <c r="J331" s="171"/>
      <c r="K331" s="194"/>
      <c r="L331" s="173"/>
      <c r="M331" s="171"/>
      <c r="N331" s="171"/>
      <c r="O331" s="194"/>
      <c r="P331" s="195"/>
      <c r="Q331" s="171"/>
      <c r="R331" s="171"/>
      <c r="S331" s="194"/>
      <c r="T331" s="195"/>
      <c r="U331" s="171"/>
      <c r="V331" s="171"/>
      <c r="W331" s="194"/>
      <c r="X331" s="195"/>
      <c r="Y331" s="171"/>
      <c r="Z331" s="171"/>
      <c r="AA331" s="194"/>
      <c r="AB331" s="195"/>
      <c r="AC331" s="171"/>
      <c r="AD331" s="171"/>
      <c r="AE331" s="194"/>
      <c r="AF331" s="195"/>
      <c r="AG331" s="171"/>
      <c r="AH331" s="171"/>
      <c r="AI331" s="194"/>
      <c r="AJ331" s="196"/>
    </row>
    <row r="332" spans="2:36">
      <c r="B332" s="166"/>
      <c r="C332" s="167"/>
      <c r="D332" s="171"/>
      <c r="E332" s="171"/>
      <c r="F332" s="171"/>
      <c r="G332" s="172"/>
      <c r="H332" s="173"/>
      <c r="I332" s="193"/>
      <c r="J332" s="171"/>
      <c r="K332" s="194"/>
      <c r="L332" s="173"/>
      <c r="M332" s="171"/>
      <c r="N332" s="171"/>
      <c r="O332" s="194"/>
      <c r="P332" s="195"/>
      <c r="Q332" s="171"/>
      <c r="R332" s="171"/>
      <c r="S332" s="194"/>
      <c r="T332" s="195"/>
      <c r="U332" s="171"/>
      <c r="V332" s="171"/>
      <c r="W332" s="194"/>
      <c r="X332" s="195"/>
      <c r="Y332" s="171"/>
      <c r="Z332" s="171"/>
      <c r="AA332" s="194"/>
      <c r="AB332" s="195"/>
      <c r="AC332" s="171"/>
      <c r="AD332" s="171"/>
      <c r="AE332" s="194"/>
      <c r="AF332" s="195"/>
      <c r="AG332" s="171"/>
      <c r="AH332" s="171"/>
      <c r="AI332" s="194"/>
      <c r="AJ332" s="196"/>
    </row>
    <row r="333" spans="2:36">
      <c r="B333" s="166"/>
      <c r="C333" s="167"/>
      <c r="D333" s="171"/>
      <c r="E333" s="171"/>
      <c r="F333" s="171"/>
      <c r="G333" s="172"/>
      <c r="H333" s="173"/>
      <c r="I333" s="193"/>
      <c r="J333" s="171"/>
      <c r="K333" s="194"/>
      <c r="L333" s="173"/>
      <c r="M333" s="171"/>
      <c r="N333" s="171"/>
      <c r="O333" s="194"/>
      <c r="P333" s="195"/>
      <c r="Q333" s="171"/>
      <c r="R333" s="171"/>
      <c r="S333" s="194"/>
      <c r="T333" s="195"/>
      <c r="U333" s="171"/>
      <c r="V333" s="171"/>
      <c r="W333" s="194"/>
      <c r="X333" s="195"/>
      <c r="Y333" s="171"/>
      <c r="Z333" s="171"/>
      <c r="AA333" s="194"/>
      <c r="AB333" s="195"/>
      <c r="AC333" s="171"/>
      <c r="AD333" s="171"/>
      <c r="AE333" s="194"/>
      <c r="AF333" s="195"/>
      <c r="AG333" s="171"/>
      <c r="AH333" s="171"/>
      <c r="AI333" s="194"/>
      <c r="AJ333" s="196"/>
    </row>
    <row r="334" spans="2:36">
      <c r="B334" s="166"/>
      <c r="C334" s="167"/>
      <c r="D334" s="171"/>
      <c r="E334" s="171"/>
      <c r="F334" s="171"/>
      <c r="G334" s="172"/>
      <c r="H334" s="173"/>
      <c r="I334" s="193"/>
      <c r="J334" s="171"/>
      <c r="K334" s="194"/>
      <c r="L334" s="173"/>
      <c r="M334" s="171"/>
      <c r="N334" s="171"/>
      <c r="O334" s="194"/>
      <c r="P334" s="195"/>
      <c r="Q334" s="171"/>
      <c r="R334" s="171"/>
      <c r="S334" s="194"/>
      <c r="T334" s="195"/>
      <c r="U334" s="171"/>
      <c r="V334" s="171"/>
      <c r="W334" s="194"/>
      <c r="X334" s="195"/>
      <c r="Y334" s="171"/>
      <c r="Z334" s="171"/>
      <c r="AA334" s="194"/>
      <c r="AB334" s="195"/>
      <c r="AC334" s="171"/>
      <c r="AD334" s="171"/>
      <c r="AE334" s="194"/>
      <c r="AF334" s="195"/>
      <c r="AG334" s="171"/>
      <c r="AH334" s="171"/>
      <c r="AI334" s="194"/>
      <c r="AJ334" s="196"/>
    </row>
    <row r="335" spans="2:36">
      <c r="B335" s="166"/>
      <c r="C335" s="167"/>
      <c r="D335" s="171"/>
      <c r="E335" s="171"/>
      <c r="F335" s="171"/>
      <c r="G335" s="172"/>
      <c r="H335" s="173"/>
      <c r="I335" s="193"/>
      <c r="J335" s="171"/>
      <c r="K335" s="194"/>
      <c r="L335" s="173"/>
      <c r="M335" s="171"/>
      <c r="N335" s="171"/>
      <c r="O335" s="194"/>
      <c r="P335" s="195"/>
      <c r="Q335" s="171"/>
      <c r="R335" s="171"/>
      <c r="S335" s="194"/>
      <c r="T335" s="195"/>
      <c r="U335" s="171"/>
      <c r="V335" s="171"/>
      <c r="W335" s="194"/>
      <c r="X335" s="195"/>
      <c r="Y335" s="171"/>
      <c r="Z335" s="171"/>
      <c r="AA335" s="194"/>
      <c r="AB335" s="195"/>
      <c r="AC335" s="171"/>
      <c r="AD335" s="171"/>
      <c r="AE335" s="194"/>
      <c r="AF335" s="195"/>
      <c r="AG335" s="171"/>
      <c r="AH335" s="171"/>
      <c r="AI335" s="194"/>
      <c r="AJ335" s="196"/>
    </row>
    <row r="336" spans="2:36">
      <c r="B336" s="166"/>
      <c r="C336" s="167"/>
      <c r="D336" s="171"/>
      <c r="E336" s="171"/>
      <c r="F336" s="171"/>
      <c r="G336" s="172"/>
      <c r="H336" s="173"/>
      <c r="I336" s="193"/>
      <c r="J336" s="171"/>
      <c r="K336" s="194"/>
      <c r="L336" s="173"/>
      <c r="M336" s="171"/>
      <c r="N336" s="171"/>
      <c r="O336" s="194"/>
      <c r="P336" s="195"/>
      <c r="Q336" s="171"/>
      <c r="R336" s="171"/>
      <c r="S336" s="194"/>
      <c r="T336" s="195"/>
      <c r="U336" s="171"/>
      <c r="V336" s="171"/>
      <c r="W336" s="194"/>
      <c r="X336" s="195"/>
      <c r="Y336" s="171"/>
      <c r="Z336" s="171"/>
      <c r="AA336" s="194"/>
      <c r="AB336" s="195"/>
      <c r="AC336" s="171"/>
      <c r="AD336" s="171"/>
      <c r="AE336" s="194"/>
      <c r="AF336" s="195"/>
      <c r="AG336" s="171"/>
      <c r="AH336" s="171"/>
      <c r="AI336" s="194"/>
      <c r="AJ336" s="196"/>
    </row>
    <row r="337" spans="2:36">
      <c r="B337" s="166"/>
      <c r="C337" s="167"/>
      <c r="D337" s="171"/>
      <c r="E337" s="171"/>
      <c r="F337" s="171"/>
      <c r="G337" s="172"/>
      <c r="H337" s="173"/>
      <c r="I337" s="193"/>
      <c r="J337" s="171"/>
      <c r="K337" s="194"/>
      <c r="L337" s="173"/>
      <c r="M337" s="171"/>
      <c r="N337" s="171"/>
      <c r="O337" s="194"/>
      <c r="P337" s="195"/>
      <c r="Q337" s="171"/>
      <c r="R337" s="171"/>
      <c r="S337" s="194"/>
      <c r="T337" s="195"/>
      <c r="U337" s="171"/>
      <c r="V337" s="171"/>
      <c r="W337" s="194"/>
      <c r="X337" s="195"/>
      <c r="Y337" s="171"/>
      <c r="Z337" s="171"/>
      <c r="AA337" s="194"/>
      <c r="AB337" s="195"/>
      <c r="AC337" s="171"/>
      <c r="AD337" s="171"/>
      <c r="AE337" s="194"/>
      <c r="AF337" s="195"/>
      <c r="AG337" s="171"/>
      <c r="AH337" s="171"/>
      <c r="AI337" s="194"/>
      <c r="AJ337" s="196"/>
    </row>
    <row r="338" spans="2:36">
      <c r="B338" s="166"/>
      <c r="C338" s="167"/>
      <c r="D338" s="171"/>
      <c r="E338" s="171"/>
      <c r="F338" s="171"/>
      <c r="G338" s="172"/>
      <c r="H338" s="173"/>
      <c r="I338" s="193"/>
      <c r="J338" s="171"/>
      <c r="K338" s="194"/>
      <c r="L338" s="173"/>
      <c r="M338" s="171"/>
      <c r="N338" s="171"/>
      <c r="O338" s="194"/>
      <c r="P338" s="195"/>
      <c r="Q338" s="171"/>
      <c r="R338" s="171"/>
      <c r="S338" s="194"/>
      <c r="T338" s="195"/>
      <c r="U338" s="171"/>
      <c r="V338" s="171"/>
      <c r="W338" s="194"/>
      <c r="X338" s="195"/>
      <c r="Y338" s="171"/>
      <c r="Z338" s="171"/>
      <c r="AA338" s="194"/>
      <c r="AB338" s="195"/>
      <c r="AC338" s="171"/>
      <c r="AD338" s="171"/>
      <c r="AE338" s="194"/>
      <c r="AF338" s="195"/>
      <c r="AG338" s="171"/>
      <c r="AH338" s="171"/>
      <c r="AI338" s="194"/>
      <c r="AJ338" s="196"/>
    </row>
    <row r="339" spans="2:36">
      <c r="B339" s="166"/>
      <c r="C339" s="167"/>
      <c r="D339" s="171"/>
      <c r="E339" s="171"/>
      <c r="F339" s="171"/>
      <c r="G339" s="172"/>
      <c r="H339" s="173"/>
      <c r="I339" s="193"/>
      <c r="J339" s="171"/>
      <c r="K339" s="194"/>
      <c r="L339" s="173"/>
      <c r="M339" s="171"/>
      <c r="N339" s="171"/>
      <c r="O339" s="194"/>
      <c r="P339" s="195"/>
      <c r="Q339" s="171"/>
      <c r="R339" s="171"/>
      <c r="S339" s="194"/>
      <c r="T339" s="195"/>
      <c r="U339" s="171"/>
      <c r="V339" s="171"/>
      <c r="W339" s="194"/>
      <c r="X339" s="195"/>
      <c r="Y339" s="171"/>
      <c r="Z339" s="171"/>
      <c r="AA339" s="194"/>
      <c r="AB339" s="195"/>
      <c r="AC339" s="171"/>
      <c r="AD339" s="171"/>
      <c r="AE339" s="194"/>
      <c r="AF339" s="195"/>
      <c r="AG339" s="171"/>
      <c r="AH339" s="171"/>
      <c r="AI339" s="194"/>
      <c r="AJ339" s="196"/>
    </row>
    <row r="340" spans="2:36">
      <c r="B340" s="166"/>
      <c r="C340" s="167"/>
      <c r="D340" s="171"/>
      <c r="E340" s="171"/>
      <c r="F340" s="171"/>
      <c r="G340" s="172"/>
      <c r="H340" s="173"/>
      <c r="I340" s="193"/>
      <c r="J340" s="171"/>
      <c r="K340" s="194"/>
      <c r="L340" s="173"/>
      <c r="M340" s="171"/>
      <c r="N340" s="171"/>
      <c r="O340" s="194"/>
      <c r="P340" s="195"/>
      <c r="Q340" s="171"/>
      <c r="R340" s="171"/>
      <c r="S340" s="194"/>
      <c r="T340" s="195"/>
      <c r="U340" s="171"/>
      <c r="V340" s="171"/>
      <c r="W340" s="194"/>
      <c r="X340" s="195"/>
      <c r="Y340" s="171"/>
      <c r="Z340" s="171"/>
      <c r="AA340" s="194"/>
      <c r="AB340" s="195"/>
      <c r="AC340" s="171"/>
      <c r="AD340" s="171"/>
      <c r="AE340" s="194"/>
      <c r="AF340" s="195"/>
      <c r="AG340" s="171"/>
      <c r="AH340" s="171"/>
      <c r="AI340" s="194"/>
      <c r="AJ340" s="196"/>
    </row>
    <row r="341" spans="2:36">
      <c r="B341" s="166"/>
      <c r="C341" s="167"/>
      <c r="D341" s="171"/>
      <c r="E341" s="171"/>
      <c r="F341" s="171"/>
      <c r="G341" s="172"/>
      <c r="H341" s="173"/>
      <c r="I341" s="193"/>
      <c r="J341" s="171"/>
      <c r="K341" s="194"/>
      <c r="L341" s="173"/>
      <c r="M341" s="171"/>
      <c r="N341" s="171"/>
      <c r="O341" s="194"/>
      <c r="P341" s="195"/>
      <c r="Q341" s="171"/>
      <c r="R341" s="171"/>
      <c r="S341" s="194"/>
      <c r="T341" s="195"/>
      <c r="U341" s="171"/>
      <c r="V341" s="171"/>
      <c r="W341" s="194"/>
      <c r="X341" s="195"/>
      <c r="Y341" s="171"/>
      <c r="Z341" s="171"/>
      <c r="AA341" s="194"/>
      <c r="AB341" s="195"/>
      <c r="AC341" s="171"/>
      <c r="AD341" s="171"/>
      <c r="AE341" s="194"/>
      <c r="AF341" s="195"/>
      <c r="AG341" s="171"/>
      <c r="AH341" s="171"/>
      <c r="AI341" s="194"/>
      <c r="AJ341" s="196"/>
    </row>
    <row r="342" spans="2:36">
      <c r="B342" s="166"/>
      <c r="C342" s="167"/>
      <c r="D342" s="171"/>
      <c r="E342" s="171"/>
      <c r="F342" s="171"/>
      <c r="G342" s="172"/>
      <c r="H342" s="173"/>
      <c r="I342" s="193"/>
      <c r="J342" s="171"/>
      <c r="K342" s="194"/>
      <c r="L342" s="173"/>
      <c r="M342" s="171"/>
      <c r="N342" s="171"/>
      <c r="O342" s="194"/>
      <c r="P342" s="195"/>
      <c r="Q342" s="171"/>
      <c r="R342" s="171"/>
      <c r="S342" s="194"/>
      <c r="T342" s="195"/>
      <c r="U342" s="171"/>
      <c r="V342" s="171"/>
      <c r="W342" s="194"/>
      <c r="X342" s="195"/>
      <c r="Y342" s="171"/>
      <c r="Z342" s="171"/>
      <c r="AA342" s="194"/>
      <c r="AB342" s="195"/>
      <c r="AC342" s="171"/>
      <c r="AD342" s="171"/>
      <c r="AE342" s="194"/>
      <c r="AF342" s="195"/>
      <c r="AG342" s="171"/>
      <c r="AH342" s="171"/>
      <c r="AI342" s="194"/>
      <c r="AJ342" s="196"/>
    </row>
    <row r="343" spans="2:36">
      <c r="B343" s="166"/>
      <c r="C343" s="167"/>
      <c r="D343" s="171"/>
      <c r="E343" s="171"/>
      <c r="F343" s="171"/>
      <c r="G343" s="172"/>
      <c r="H343" s="173"/>
      <c r="I343" s="193"/>
      <c r="J343" s="171"/>
      <c r="K343" s="194"/>
      <c r="L343" s="173"/>
      <c r="M343" s="171"/>
      <c r="N343" s="171"/>
      <c r="O343" s="194"/>
      <c r="P343" s="195"/>
      <c r="Q343" s="171"/>
      <c r="R343" s="171"/>
      <c r="S343" s="194"/>
      <c r="T343" s="195"/>
      <c r="U343" s="171"/>
      <c r="V343" s="171"/>
      <c r="W343" s="194"/>
      <c r="X343" s="195"/>
      <c r="Y343" s="171"/>
      <c r="Z343" s="171"/>
      <c r="AA343" s="194"/>
      <c r="AB343" s="195"/>
      <c r="AC343" s="171"/>
      <c r="AD343" s="171"/>
      <c r="AE343" s="194"/>
      <c r="AF343" s="195"/>
      <c r="AG343" s="171"/>
      <c r="AH343" s="171"/>
      <c r="AI343" s="194"/>
      <c r="AJ343" s="196"/>
    </row>
    <row r="344" spans="2:36">
      <c r="B344" s="166"/>
      <c r="C344" s="167"/>
      <c r="D344" s="171"/>
      <c r="E344" s="171"/>
      <c r="F344" s="171"/>
      <c r="G344" s="172"/>
      <c r="H344" s="173"/>
      <c r="I344" s="193"/>
      <c r="J344" s="171"/>
      <c r="K344" s="194"/>
      <c r="L344" s="173"/>
      <c r="M344" s="171"/>
      <c r="N344" s="171"/>
      <c r="O344" s="194"/>
      <c r="P344" s="195"/>
      <c r="Q344" s="171"/>
      <c r="R344" s="171"/>
      <c r="S344" s="194"/>
      <c r="T344" s="195"/>
      <c r="U344" s="171"/>
      <c r="V344" s="171"/>
      <c r="W344" s="194"/>
      <c r="X344" s="195"/>
      <c r="Y344" s="171"/>
      <c r="Z344" s="171"/>
      <c r="AA344" s="194"/>
      <c r="AB344" s="195"/>
      <c r="AC344" s="171"/>
      <c r="AD344" s="171"/>
      <c r="AE344" s="194"/>
      <c r="AF344" s="195"/>
      <c r="AG344" s="171"/>
      <c r="AH344" s="171"/>
      <c r="AI344" s="194"/>
      <c r="AJ344" s="196"/>
    </row>
    <row r="345" spans="2:36">
      <c r="B345" s="166"/>
      <c r="C345" s="167"/>
      <c r="D345" s="171"/>
      <c r="E345" s="171"/>
      <c r="F345" s="171"/>
      <c r="G345" s="172"/>
      <c r="H345" s="173"/>
      <c r="I345" s="193"/>
      <c r="J345" s="171"/>
      <c r="K345" s="194"/>
      <c r="L345" s="173"/>
      <c r="M345" s="171"/>
      <c r="N345" s="171"/>
      <c r="O345" s="194"/>
      <c r="P345" s="195"/>
      <c r="Q345" s="171"/>
      <c r="R345" s="171"/>
      <c r="S345" s="194"/>
      <c r="T345" s="195"/>
      <c r="U345" s="171"/>
      <c r="V345" s="171"/>
      <c r="W345" s="194"/>
      <c r="X345" s="195"/>
      <c r="Y345" s="171"/>
      <c r="Z345" s="171"/>
      <c r="AA345" s="194"/>
      <c r="AB345" s="195"/>
      <c r="AC345" s="171"/>
      <c r="AD345" s="171"/>
      <c r="AE345" s="194"/>
      <c r="AF345" s="195"/>
      <c r="AG345" s="171"/>
      <c r="AH345" s="171"/>
      <c r="AI345" s="194"/>
      <c r="AJ345" s="196"/>
    </row>
    <row r="346" spans="2:36">
      <c r="B346" s="166"/>
      <c r="C346" s="167"/>
      <c r="D346" s="171"/>
      <c r="E346" s="171"/>
      <c r="F346" s="171"/>
      <c r="G346" s="172"/>
      <c r="H346" s="173"/>
      <c r="I346" s="193"/>
      <c r="J346" s="171"/>
      <c r="K346" s="194"/>
      <c r="L346" s="173"/>
      <c r="M346" s="171"/>
      <c r="N346" s="171"/>
      <c r="O346" s="194"/>
      <c r="P346" s="195"/>
      <c r="Q346" s="171"/>
      <c r="R346" s="171"/>
      <c r="S346" s="194"/>
      <c r="T346" s="195"/>
      <c r="U346" s="171"/>
      <c r="V346" s="171"/>
      <c r="W346" s="194"/>
      <c r="X346" s="195"/>
      <c r="Y346" s="171"/>
      <c r="Z346" s="171"/>
      <c r="AA346" s="194"/>
      <c r="AB346" s="195"/>
      <c r="AC346" s="171"/>
      <c r="AD346" s="171"/>
      <c r="AE346" s="194"/>
      <c r="AF346" s="195"/>
      <c r="AG346" s="171"/>
      <c r="AH346" s="171"/>
      <c r="AI346" s="194"/>
      <c r="AJ346" s="196"/>
    </row>
    <row r="347" spans="2:36">
      <c r="B347" s="166"/>
      <c r="C347" s="167"/>
      <c r="D347" s="171"/>
      <c r="E347" s="171"/>
      <c r="F347" s="171"/>
      <c r="G347" s="172"/>
      <c r="H347" s="173"/>
      <c r="I347" s="193"/>
      <c r="J347" s="171"/>
      <c r="K347" s="194"/>
      <c r="L347" s="173"/>
      <c r="M347" s="171"/>
      <c r="N347" s="171"/>
      <c r="O347" s="194"/>
      <c r="P347" s="195"/>
      <c r="Q347" s="171"/>
      <c r="R347" s="171"/>
      <c r="S347" s="194"/>
      <c r="T347" s="195"/>
      <c r="U347" s="171"/>
      <c r="V347" s="171"/>
      <c r="W347" s="194"/>
      <c r="X347" s="195"/>
      <c r="Y347" s="171"/>
      <c r="Z347" s="171"/>
      <c r="AA347" s="194"/>
      <c r="AB347" s="195"/>
      <c r="AC347" s="171"/>
      <c r="AD347" s="171"/>
      <c r="AE347" s="194"/>
      <c r="AF347" s="195"/>
      <c r="AG347" s="171"/>
      <c r="AH347" s="171"/>
      <c r="AI347" s="194"/>
      <c r="AJ347" s="196"/>
    </row>
    <row r="348" spans="2:36">
      <c r="B348" s="166"/>
      <c r="C348" s="167"/>
      <c r="D348" s="171"/>
      <c r="E348" s="171"/>
      <c r="F348" s="171"/>
      <c r="G348" s="172"/>
      <c r="H348" s="173"/>
      <c r="I348" s="193"/>
      <c r="J348" s="171"/>
      <c r="K348" s="194"/>
      <c r="L348" s="173"/>
      <c r="M348" s="171"/>
      <c r="N348" s="171"/>
      <c r="O348" s="194"/>
      <c r="P348" s="195"/>
      <c r="Q348" s="171"/>
      <c r="R348" s="171"/>
      <c r="S348" s="194"/>
      <c r="T348" s="195"/>
      <c r="U348" s="171"/>
      <c r="V348" s="171"/>
      <c r="W348" s="194"/>
      <c r="X348" s="195"/>
      <c r="Y348" s="171"/>
      <c r="Z348" s="171"/>
      <c r="AA348" s="194"/>
      <c r="AB348" s="195"/>
      <c r="AC348" s="171"/>
      <c r="AD348" s="171"/>
      <c r="AE348" s="194"/>
      <c r="AF348" s="195"/>
      <c r="AG348" s="171"/>
      <c r="AH348" s="171"/>
      <c r="AI348" s="194"/>
      <c r="AJ348" s="196"/>
    </row>
    <row r="349" spans="2:36">
      <c r="B349" s="166"/>
      <c r="C349" s="167"/>
      <c r="D349" s="171"/>
      <c r="E349" s="171"/>
      <c r="F349" s="171"/>
      <c r="G349" s="172"/>
      <c r="H349" s="173"/>
      <c r="I349" s="193"/>
      <c r="J349" s="171"/>
      <c r="K349" s="194"/>
      <c r="L349" s="173"/>
      <c r="M349" s="171"/>
      <c r="N349" s="171"/>
      <c r="O349" s="194"/>
      <c r="P349" s="195"/>
      <c r="Q349" s="171"/>
      <c r="R349" s="171"/>
      <c r="S349" s="194"/>
      <c r="T349" s="195"/>
      <c r="U349" s="171"/>
      <c r="V349" s="171"/>
      <c r="W349" s="194"/>
      <c r="X349" s="195"/>
      <c r="Y349" s="171"/>
      <c r="Z349" s="171"/>
      <c r="AA349" s="194"/>
      <c r="AB349" s="195"/>
      <c r="AC349" s="171"/>
      <c r="AD349" s="171"/>
      <c r="AE349" s="194"/>
      <c r="AF349" s="195"/>
      <c r="AG349" s="171"/>
      <c r="AH349" s="171"/>
      <c r="AI349" s="194"/>
      <c r="AJ349" s="196"/>
    </row>
    <row r="350" spans="2:36">
      <c r="B350" s="166"/>
      <c r="C350" s="167"/>
      <c r="D350" s="171"/>
      <c r="E350" s="171"/>
      <c r="F350" s="171"/>
      <c r="G350" s="172"/>
      <c r="H350" s="173"/>
      <c r="I350" s="193"/>
      <c r="J350" s="171"/>
      <c r="K350" s="194"/>
      <c r="L350" s="173"/>
      <c r="M350" s="171"/>
      <c r="N350" s="171"/>
      <c r="O350" s="194"/>
      <c r="P350" s="195"/>
      <c r="Q350" s="171"/>
      <c r="R350" s="171"/>
      <c r="S350" s="194"/>
      <c r="T350" s="195"/>
      <c r="U350" s="171"/>
      <c r="V350" s="171"/>
      <c r="W350" s="194"/>
      <c r="X350" s="195"/>
      <c r="Y350" s="171"/>
      <c r="Z350" s="171"/>
      <c r="AA350" s="194"/>
      <c r="AB350" s="195"/>
      <c r="AC350" s="171"/>
      <c r="AD350" s="171"/>
      <c r="AE350" s="194"/>
      <c r="AF350" s="195"/>
      <c r="AG350" s="171"/>
      <c r="AH350" s="171"/>
      <c r="AI350" s="194"/>
      <c r="AJ350" s="196"/>
    </row>
    <row r="351" spans="2:36">
      <c r="B351" s="166"/>
      <c r="C351" s="167"/>
      <c r="D351" s="171"/>
      <c r="E351" s="171"/>
      <c r="F351" s="171"/>
      <c r="G351" s="172"/>
      <c r="H351" s="173"/>
      <c r="I351" s="193"/>
      <c r="J351" s="171"/>
      <c r="K351" s="194"/>
      <c r="L351" s="173"/>
      <c r="M351" s="171"/>
      <c r="N351" s="171"/>
      <c r="O351" s="194"/>
      <c r="P351" s="195"/>
      <c r="Q351" s="171"/>
      <c r="R351" s="171"/>
      <c r="S351" s="194"/>
      <c r="T351" s="195"/>
      <c r="U351" s="171"/>
      <c r="V351" s="171"/>
      <c r="W351" s="194"/>
      <c r="X351" s="195"/>
      <c r="Y351" s="171"/>
      <c r="Z351" s="171"/>
      <c r="AA351" s="194"/>
      <c r="AB351" s="195"/>
      <c r="AC351" s="171"/>
      <c r="AD351" s="171"/>
      <c r="AE351" s="194"/>
      <c r="AF351" s="195"/>
      <c r="AG351" s="171"/>
      <c r="AH351" s="171"/>
      <c r="AI351" s="194"/>
      <c r="AJ351" s="196"/>
    </row>
    <row r="352" spans="2:36">
      <c r="B352" s="166"/>
      <c r="C352" s="167"/>
      <c r="D352" s="171"/>
      <c r="E352" s="171"/>
      <c r="F352" s="171"/>
      <c r="G352" s="172"/>
      <c r="H352" s="173"/>
      <c r="I352" s="193"/>
      <c r="J352" s="171"/>
      <c r="K352" s="194"/>
      <c r="L352" s="173"/>
      <c r="M352" s="171"/>
      <c r="N352" s="171"/>
      <c r="O352" s="194"/>
      <c r="P352" s="195"/>
      <c r="Q352" s="171"/>
      <c r="R352" s="171"/>
      <c r="S352" s="194"/>
      <c r="T352" s="195"/>
      <c r="U352" s="171"/>
      <c r="V352" s="171"/>
      <c r="W352" s="194"/>
      <c r="X352" s="195"/>
      <c r="Y352" s="171"/>
      <c r="Z352" s="171"/>
      <c r="AA352" s="194"/>
      <c r="AB352" s="195"/>
      <c r="AC352" s="171"/>
      <c r="AD352" s="171"/>
      <c r="AE352" s="194"/>
      <c r="AF352" s="195"/>
      <c r="AG352" s="171"/>
      <c r="AH352" s="171"/>
      <c r="AI352" s="194"/>
      <c r="AJ352" s="196"/>
    </row>
    <row r="353" spans="2:36">
      <c r="B353" s="166"/>
      <c r="C353" s="167"/>
      <c r="D353" s="171"/>
      <c r="E353" s="171"/>
      <c r="F353" s="171"/>
      <c r="G353" s="172"/>
      <c r="H353" s="173"/>
      <c r="I353" s="193"/>
      <c r="J353" s="171"/>
      <c r="K353" s="194"/>
      <c r="L353" s="173"/>
      <c r="M353" s="171"/>
      <c r="N353" s="171"/>
      <c r="O353" s="194"/>
      <c r="P353" s="195"/>
      <c r="Q353" s="171"/>
      <c r="R353" s="171"/>
      <c r="S353" s="194"/>
      <c r="T353" s="195"/>
      <c r="U353" s="171"/>
      <c r="V353" s="171"/>
      <c r="W353" s="194"/>
      <c r="X353" s="195"/>
      <c r="Y353" s="171"/>
      <c r="Z353" s="171"/>
      <c r="AA353" s="194"/>
      <c r="AB353" s="195"/>
      <c r="AC353" s="171"/>
      <c r="AD353" s="171"/>
      <c r="AE353" s="194"/>
      <c r="AF353" s="195"/>
      <c r="AG353" s="171"/>
      <c r="AH353" s="171"/>
      <c r="AI353" s="194"/>
      <c r="AJ353" s="196"/>
    </row>
    <row r="354" spans="2:36">
      <c r="B354" s="166"/>
      <c r="C354" s="167"/>
      <c r="D354" s="171"/>
      <c r="E354" s="171"/>
      <c r="F354" s="171"/>
      <c r="G354" s="172"/>
      <c r="H354" s="173"/>
      <c r="I354" s="193"/>
      <c r="J354" s="171"/>
      <c r="K354" s="194"/>
      <c r="L354" s="173"/>
      <c r="M354" s="171"/>
      <c r="N354" s="171"/>
      <c r="O354" s="194"/>
      <c r="P354" s="195"/>
      <c r="Q354" s="171"/>
      <c r="R354" s="171"/>
      <c r="S354" s="194"/>
      <c r="T354" s="195"/>
      <c r="U354" s="171"/>
      <c r="V354" s="171"/>
      <c r="W354" s="194"/>
      <c r="X354" s="195"/>
      <c r="Y354" s="171"/>
      <c r="Z354" s="171"/>
      <c r="AA354" s="194"/>
      <c r="AB354" s="195"/>
      <c r="AC354" s="171"/>
      <c r="AD354" s="171"/>
      <c r="AE354" s="194"/>
      <c r="AF354" s="195"/>
      <c r="AG354" s="171"/>
      <c r="AH354" s="171"/>
      <c r="AI354" s="194"/>
      <c r="AJ354" s="196"/>
    </row>
    <row r="355" spans="2:36">
      <c r="B355" s="166"/>
      <c r="C355" s="167"/>
      <c r="D355" s="171"/>
      <c r="E355" s="171"/>
      <c r="F355" s="171"/>
      <c r="G355" s="172"/>
      <c r="H355" s="173"/>
      <c r="I355" s="193"/>
      <c r="J355" s="171"/>
      <c r="K355" s="194"/>
      <c r="L355" s="173"/>
      <c r="M355" s="171"/>
      <c r="N355" s="171"/>
      <c r="O355" s="194"/>
      <c r="P355" s="195"/>
      <c r="Q355" s="171"/>
      <c r="R355" s="171"/>
      <c r="S355" s="194"/>
      <c r="T355" s="195"/>
      <c r="U355" s="171"/>
      <c r="V355" s="171"/>
      <c r="W355" s="194"/>
      <c r="X355" s="195"/>
      <c r="Y355" s="171"/>
      <c r="Z355" s="171"/>
      <c r="AA355" s="194"/>
      <c r="AB355" s="195"/>
      <c r="AC355" s="171"/>
      <c r="AD355" s="171"/>
      <c r="AE355" s="194"/>
      <c r="AF355" s="195"/>
      <c r="AG355" s="171"/>
      <c r="AH355" s="171"/>
      <c r="AI355" s="194"/>
      <c r="AJ355" s="196"/>
    </row>
    <row r="356" spans="2:36">
      <c r="B356" s="166"/>
      <c r="C356" s="167"/>
      <c r="D356" s="171"/>
      <c r="E356" s="171"/>
      <c r="F356" s="171"/>
      <c r="G356" s="172"/>
      <c r="H356" s="173"/>
      <c r="I356" s="193"/>
      <c r="J356" s="171"/>
      <c r="K356" s="194"/>
      <c r="L356" s="173"/>
      <c r="M356" s="171"/>
      <c r="N356" s="171"/>
      <c r="O356" s="194"/>
      <c r="P356" s="195"/>
      <c r="Q356" s="171"/>
      <c r="R356" s="171"/>
      <c r="S356" s="194"/>
      <c r="T356" s="195"/>
      <c r="U356" s="171"/>
      <c r="V356" s="171"/>
      <c r="W356" s="194"/>
      <c r="X356" s="195"/>
      <c r="Y356" s="171"/>
      <c r="Z356" s="171"/>
      <c r="AA356" s="194"/>
      <c r="AB356" s="195"/>
      <c r="AC356" s="171"/>
      <c r="AD356" s="171"/>
      <c r="AE356" s="194"/>
      <c r="AF356" s="195"/>
      <c r="AG356" s="171"/>
      <c r="AH356" s="171"/>
      <c r="AI356" s="194"/>
      <c r="AJ356" s="196"/>
    </row>
    <row r="357" spans="2:36">
      <c r="B357" s="166"/>
      <c r="C357" s="167"/>
      <c r="D357" s="171"/>
      <c r="E357" s="171"/>
      <c r="F357" s="171"/>
      <c r="G357" s="172"/>
      <c r="H357" s="173"/>
      <c r="I357" s="193"/>
      <c r="J357" s="171"/>
      <c r="K357" s="194"/>
      <c r="L357" s="173"/>
      <c r="M357" s="171"/>
      <c r="N357" s="171"/>
      <c r="O357" s="194"/>
      <c r="P357" s="195"/>
      <c r="Q357" s="171"/>
      <c r="R357" s="171"/>
      <c r="S357" s="194"/>
      <c r="T357" s="195"/>
      <c r="U357" s="171"/>
      <c r="V357" s="171"/>
      <c r="W357" s="194"/>
      <c r="X357" s="195"/>
      <c r="Y357" s="171"/>
      <c r="Z357" s="171"/>
      <c r="AA357" s="194"/>
      <c r="AB357" s="195"/>
      <c r="AC357" s="171"/>
      <c r="AD357" s="171"/>
      <c r="AE357" s="194"/>
      <c r="AF357" s="195"/>
      <c r="AG357" s="171"/>
      <c r="AH357" s="171"/>
      <c r="AI357" s="194"/>
      <c r="AJ357" s="196"/>
    </row>
    <row r="358" spans="2:36">
      <c r="B358" s="166"/>
      <c r="C358" s="167"/>
      <c r="D358" s="171"/>
      <c r="E358" s="171"/>
      <c r="F358" s="171"/>
      <c r="G358" s="172"/>
      <c r="H358" s="173"/>
      <c r="I358" s="193"/>
      <c r="J358" s="171"/>
      <c r="K358" s="194"/>
      <c r="L358" s="173"/>
      <c r="M358" s="171"/>
      <c r="N358" s="171"/>
      <c r="O358" s="194"/>
      <c r="P358" s="195"/>
      <c r="Q358" s="171"/>
      <c r="R358" s="171"/>
      <c r="S358" s="194"/>
      <c r="T358" s="195"/>
      <c r="U358" s="171"/>
      <c r="V358" s="171"/>
      <c r="W358" s="194"/>
      <c r="X358" s="195"/>
      <c r="Y358" s="171"/>
      <c r="Z358" s="171"/>
      <c r="AA358" s="194"/>
      <c r="AB358" s="195"/>
      <c r="AC358" s="171"/>
      <c r="AD358" s="171"/>
      <c r="AE358" s="194"/>
      <c r="AF358" s="195"/>
      <c r="AG358" s="171"/>
      <c r="AH358" s="171"/>
      <c r="AI358" s="194"/>
      <c r="AJ358" s="196"/>
    </row>
    <row r="359" spans="2:36">
      <c r="B359" s="166"/>
      <c r="C359" s="167"/>
      <c r="D359" s="171"/>
      <c r="E359" s="171"/>
      <c r="F359" s="171"/>
      <c r="G359" s="172"/>
      <c r="H359" s="173"/>
      <c r="I359" s="193"/>
      <c r="J359" s="171"/>
      <c r="K359" s="194"/>
      <c r="L359" s="173"/>
      <c r="M359" s="171"/>
      <c r="N359" s="171"/>
      <c r="O359" s="194"/>
      <c r="P359" s="195"/>
      <c r="Q359" s="171"/>
      <c r="R359" s="171"/>
      <c r="S359" s="194"/>
      <c r="T359" s="195"/>
      <c r="U359" s="171"/>
      <c r="V359" s="171"/>
      <c r="W359" s="194"/>
      <c r="X359" s="195"/>
      <c r="Y359" s="171"/>
      <c r="Z359" s="171"/>
      <c r="AA359" s="194"/>
      <c r="AB359" s="195"/>
      <c r="AC359" s="171"/>
      <c r="AD359" s="171"/>
      <c r="AE359" s="194"/>
      <c r="AF359" s="195"/>
      <c r="AG359" s="171"/>
      <c r="AH359" s="171"/>
      <c r="AI359" s="194"/>
      <c r="AJ359" s="196"/>
    </row>
    <row r="360" spans="2:36">
      <c r="B360" s="166"/>
      <c r="C360" s="167"/>
      <c r="D360" s="171"/>
      <c r="E360" s="171"/>
      <c r="F360" s="171"/>
      <c r="G360" s="172"/>
      <c r="H360" s="173"/>
      <c r="I360" s="193"/>
      <c r="J360" s="171"/>
      <c r="K360" s="194"/>
      <c r="L360" s="173"/>
      <c r="M360" s="171"/>
      <c r="N360" s="171"/>
      <c r="O360" s="194"/>
      <c r="P360" s="195"/>
      <c r="Q360" s="171"/>
      <c r="R360" s="171"/>
      <c r="S360" s="194"/>
      <c r="T360" s="195"/>
      <c r="U360" s="171"/>
      <c r="V360" s="171"/>
      <c r="W360" s="194"/>
      <c r="X360" s="195"/>
      <c r="Y360" s="171"/>
      <c r="Z360" s="171"/>
      <c r="AA360" s="194"/>
      <c r="AB360" s="195"/>
      <c r="AC360" s="171"/>
      <c r="AD360" s="171"/>
      <c r="AE360" s="194"/>
      <c r="AF360" s="195"/>
      <c r="AG360" s="171"/>
      <c r="AH360" s="171"/>
      <c r="AI360" s="194"/>
      <c r="AJ360" s="196"/>
    </row>
    <row r="361" spans="2:36">
      <c r="B361" s="166"/>
      <c r="C361" s="167"/>
      <c r="D361" s="171"/>
      <c r="E361" s="171"/>
      <c r="F361" s="171"/>
      <c r="G361" s="172"/>
      <c r="H361" s="173"/>
      <c r="I361" s="193"/>
      <c r="J361" s="171"/>
      <c r="K361" s="194"/>
      <c r="L361" s="173"/>
      <c r="M361" s="171"/>
      <c r="N361" s="171"/>
      <c r="O361" s="194"/>
      <c r="P361" s="195"/>
      <c r="Q361" s="171"/>
      <c r="R361" s="171"/>
      <c r="S361" s="194"/>
      <c r="T361" s="195"/>
      <c r="U361" s="171"/>
      <c r="V361" s="171"/>
      <c r="W361" s="194"/>
      <c r="X361" s="195"/>
      <c r="Y361" s="171"/>
      <c r="Z361" s="171"/>
      <c r="AA361" s="194"/>
      <c r="AB361" s="195"/>
      <c r="AC361" s="171"/>
      <c r="AD361" s="171"/>
      <c r="AE361" s="194"/>
      <c r="AF361" s="195"/>
      <c r="AG361" s="171"/>
      <c r="AH361" s="171"/>
      <c r="AI361" s="194"/>
      <c r="AJ361" s="196"/>
    </row>
    <row r="362" spans="2:36">
      <c r="B362" s="166"/>
      <c r="C362" s="167"/>
      <c r="D362" s="171"/>
      <c r="E362" s="171"/>
      <c r="F362" s="171"/>
      <c r="G362" s="172"/>
      <c r="H362" s="173"/>
      <c r="I362" s="193"/>
      <c r="J362" s="171"/>
      <c r="K362" s="194"/>
      <c r="L362" s="173"/>
      <c r="M362" s="171"/>
      <c r="N362" s="171"/>
      <c r="O362" s="194"/>
      <c r="P362" s="195"/>
      <c r="Q362" s="171"/>
      <c r="R362" s="171"/>
      <c r="S362" s="194"/>
      <c r="T362" s="195"/>
      <c r="U362" s="171"/>
      <c r="V362" s="171"/>
      <c r="W362" s="194"/>
      <c r="X362" s="195"/>
      <c r="Y362" s="171"/>
      <c r="Z362" s="171"/>
      <c r="AA362" s="194"/>
      <c r="AB362" s="195"/>
      <c r="AC362" s="171"/>
      <c r="AD362" s="171"/>
      <c r="AE362" s="194"/>
      <c r="AF362" s="195"/>
      <c r="AG362" s="171"/>
      <c r="AH362" s="171"/>
      <c r="AI362" s="194"/>
      <c r="AJ362" s="196"/>
    </row>
    <row r="363" spans="2:36">
      <c r="B363" s="166"/>
      <c r="C363" s="167"/>
      <c r="D363" s="171"/>
      <c r="E363" s="171"/>
      <c r="F363" s="171"/>
      <c r="G363" s="172"/>
      <c r="H363" s="173"/>
      <c r="I363" s="193"/>
      <c r="J363" s="171"/>
      <c r="K363" s="194"/>
      <c r="L363" s="173"/>
      <c r="M363" s="171"/>
      <c r="N363" s="171"/>
      <c r="O363" s="194"/>
      <c r="P363" s="195"/>
      <c r="Q363" s="171"/>
      <c r="R363" s="171"/>
      <c r="S363" s="194"/>
      <c r="T363" s="195"/>
      <c r="U363" s="171"/>
      <c r="V363" s="171"/>
      <c r="W363" s="194"/>
      <c r="X363" s="195"/>
      <c r="Y363" s="171"/>
      <c r="Z363" s="171"/>
      <c r="AA363" s="194"/>
      <c r="AB363" s="195"/>
      <c r="AC363" s="171"/>
      <c r="AD363" s="171"/>
      <c r="AE363" s="194"/>
      <c r="AF363" s="195"/>
      <c r="AG363" s="171"/>
      <c r="AH363" s="171"/>
      <c r="AI363" s="194"/>
      <c r="AJ363" s="196"/>
    </row>
    <row r="364" spans="2:36">
      <c r="B364" s="166"/>
      <c r="C364" s="167"/>
      <c r="D364" s="171"/>
      <c r="E364" s="171"/>
      <c r="F364" s="171"/>
      <c r="G364" s="172"/>
      <c r="H364" s="173"/>
      <c r="I364" s="193"/>
      <c r="J364" s="171"/>
      <c r="K364" s="194"/>
      <c r="L364" s="173"/>
      <c r="M364" s="171"/>
      <c r="N364" s="171"/>
      <c r="O364" s="194"/>
      <c r="P364" s="195"/>
      <c r="Q364" s="171"/>
      <c r="R364" s="171"/>
      <c r="S364" s="194"/>
      <c r="T364" s="195"/>
      <c r="U364" s="171"/>
      <c r="V364" s="171"/>
      <c r="W364" s="194"/>
      <c r="X364" s="195"/>
      <c r="Y364" s="171"/>
      <c r="Z364" s="171"/>
      <c r="AA364" s="194"/>
      <c r="AB364" s="195"/>
      <c r="AC364" s="171"/>
      <c r="AD364" s="171"/>
      <c r="AE364" s="194"/>
      <c r="AF364" s="195"/>
      <c r="AG364" s="171"/>
      <c r="AH364" s="171"/>
      <c r="AI364" s="194"/>
      <c r="AJ364" s="196"/>
    </row>
    <row r="365" spans="2:36">
      <c r="B365" s="166"/>
      <c r="C365" s="167"/>
      <c r="D365" s="171"/>
      <c r="E365" s="171"/>
      <c r="F365" s="171"/>
      <c r="G365" s="172"/>
      <c r="H365" s="173"/>
      <c r="I365" s="193"/>
      <c r="J365" s="171"/>
      <c r="K365" s="194"/>
      <c r="L365" s="173"/>
      <c r="M365" s="171"/>
      <c r="N365" s="171"/>
      <c r="O365" s="194"/>
      <c r="P365" s="195"/>
      <c r="Q365" s="171"/>
      <c r="R365" s="171"/>
      <c r="S365" s="194"/>
      <c r="T365" s="195"/>
      <c r="U365" s="171"/>
      <c r="V365" s="171"/>
      <c r="W365" s="194"/>
      <c r="X365" s="195"/>
      <c r="Y365" s="171"/>
      <c r="Z365" s="171"/>
      <c r="AA365" s="194"/>
      <c r="AB365" s="195"/>
      <c r="AC365" s="171"/>
      <c r="AD365" s="171"/>
      <c r="AE365" s="194"/>
      <c r="AF365" s="195"/>
      <c r="AG365" s="171"/>
      <c r="AH365" s="171"/>
      <c r="AI365" s="194"/>
      <c r="AJ365" s="196"/>
    </row>
    <row r="366" spans="2:36">
      <c r="B366" s="166"/>
      <c r="C366" s="167"/>
      <c r="D366" s="171"/>
      <c r="E366" s="171"/>
      <c r="F366" s="171"/>
      <c r="G366" s="172"/>
      <c r="H366" s="173"/>
      <c r="I366" s="193"/>
      <c r="J366" s="171"/>
      <c r="K366" s="194"/>
      <c r="L366" s="173"/>
      <c r="M366" s="171"/>
      <c r="N366" s="171"/>
      <c r="O366" s="194"/>
      <c r="P366" s="195"/>
      <c r="Q366" s="171"/>
      <c r="R366" s="171"/>
      <c r="S366" s="194"/>
      <c r="T366" s="195"/>
      <c r="U366" s="171"/>
      <c r="V366" s="171"/>
      <c r="W366" s="194"/>
      <c r="X366" s="195"/>
      <c r="Y366" s="171"/>
      <c r="Z366" s="171"/>
      <c r="AA366" s="194"/>
      <c r="AB366" s="195"/>
      <c r="AC366" s="171"/>
      <c r="AD366" s="171"/>
      <c r="AE366" s="194"/>
      <c r="AF366" s="195"/>
      <c r="AG366" s="171"/>
      <c r="AH366" s="171"/>
      <c r="AI366" s="194"/>
      <c r="AJ366" s="196"/>
    </row>
    <row r="367" spans="2:36">
      <c r="B367" s="166"/>
      <c r="C367" s="167"/>
      <c r="D367" s="171"/>
      <c r="E367" s="171"/>
      <c r="F367" s="171"/>
      <c r="G367" s="172"/>
      <c r="H367" s="173"/>
      <c r="I367" s="193"/>
      <c r="J367" s="171"/>
      <c r="K367" s="194"/>
      <c r="L367" s="173"/>
      <c r="M367" s="171"/>
      <c r="N367" s="171"/>
      <c r="O367" s="194"/>
      <c r="P367" s="195"/>
      <c r="Q367" s="171"/>
      <c r="R367" s="171"/>
      <c r="S367" s="194"/>
      <c r="T367" s="195"/>
      <c r="U367" s="171"/>
      <c r="V367" s="171"/>
      <c r="W367" s="194"/>
      <c r="X367" s="195"/>
      <c r="Y367" s="171"/>
      <c r="Z367" s="171"/>
      <c r="AA367" s="194"/>
      <c r="AB367" s="195"/>
      <c r="AC367" s="171"/>
      <c r="AD367" s="171"/>
      <c r="AE367" s="194"/>
      <c r="AF367" s="195"/>
      <c r="AG367" s="171"/>
      <c r="AH367" s="171"/>
      <c r="AI367" s="194"/>
      <c r="AJ367" s="196"/>
    </row>
    <row r="368" spans="2:36">
      <c r="B368" s="166"/>
      <c r="C368" s="167"/>
      <c r="D368" s="171"/>
      <c r="E368" s="171"/>
      <c r="F368" s="171"/>
      <c r="G368" s="172"/>
      <c r="H368" s="173"/>
      <c r="I368" s="193"/>
      <c r="J368" s="171"/>
      <c r="K368" s="194"/>
      <c r="L368" s="173"/>
      <c r="M368" s="171"/>
      <c r="N368" s="171"/>
      <c r="O368" s="194"/>
      <c r="P368" s="195"/>
      <c r="Q368" s="171"/>
      <c r="R368" s="171"/>
      <c r="S368" s="194"/>
      <c r="T368" s="195"/>
      <c r="U368" s="171"/>
      <c r="V368" s="171"/>
      <c r="W368" s="194"/>
      <c r="X368" s="195"/>
      <c r="Y368" s="171"/>
      <c r="Z368" s="171"/>
      <c r="AA368" s="194"/>
      <c r="AB368" s="195"/>
      <c r="AC368" s="171"/>
      <c r="AD368" s="171"/>
      <c r="AE368" s="194"/>
      <c r="AF368" s="195"/>
      <c r="AG368" s="171"/>
      <c r="AH368" s="171"/>
      <c r="AI368" s="194"/>
      <c r="AJ368" s="196"/>
    </row>
    <row r="369" spans="2:36">
      <c r="B369" s="166"/>
      <c r="C369" s="167"/>
      <c r="D369" s="171"/>
      <c r="E369" s="171"/>
      <c r="F369" s="171"/>
      <c r="G369" s="172"/>
      <c r="H369" s="173"/>
      <c r="I369" s="193"/>
      <c r="J369" s="171"/>
      <c r="K369" s="194"/>
      <c r="L369" s="173"/>
      <c r="M369" s="171"/>
      <c r="N369" s="171"/>
      <c r="O369" s="194"/>
      <c r="P369" s="195"/>
      <c r="Q369" s="171"/>
      <c r="R369" s="171"/>
      <c r="S369" s="194"/>
      <c r="T369" s="195"/>
      <c r="U369" s="171"/>
      <c r="V369" s="171"/>
      <c r="W369" s="194"/>
      <c r="X369" s="195"/>
      <c r="Y369" s="171"/>
      <c r="Z369" s="171"/>
      <c r="AA369" s="194"/>
      <c r="AB369" s="195"/>
      <c r="AC369" s="171"/>
      <c r="AD369" s="171"/>
      <c r="AE369" s="194"/>
      <c r="AF369" s="195"/>
      <c r="AG369" s="171"/>
      <c r="AH369" s="171"/>
      <c r="AI369" s="194"/>
      <c r="AJ369" s="196"/>
    </row>
    <row r="370" spans="2:36">
      <c r="B370" s="166"/>
      <c r="C370" s="167"/>
      <c r="D370" s="171"/>
      <c r="E370" s="171"/>
      <c r="F370" s="171"/>
      <c r="G370" s="172"/>
      <c r="H370" s="173"/>
      <c r="I370" s="193"/>
      <c r="J370" s="171"/>
      <c r="K370" s="194"/>
      <c r="L370" s="173"/>
      <c r="M370" s="171"/>
      <c r="N370" s="171"/>
      <c r="O370" s="194"/>
      <c r="P370" s="195"/>
      <c r="Q370" s="171"/>
      <c r="R370" s="171"/>
      <c r="S370" s="194"/>
      <c r="T370" s="195"/>
      <c r="U370" s="171"/>
      <c r="V370" s="171"/>
      <c r="W370" s="194"/>
      <c r="X370" s="195"/>
      <c r="Y370" s="171"/>
      <c r="Z370" s="171"/>
      <c r="AA370" s="194"/>
      <c r="AB370" s="195"/>
      <c r="AC370" s="171"/>
      <c r="AD370" s="171"/>
      <c r="AE370" s="194"/>
      <c r="AF370" s="195"/>
      <c r="AG370" s="171"/>
      <c r="AH370" s="171"/>
      <c r="AI370" s="194"/>
      <c r="AJ370" s="196"/>
    </row>
    <row r="371" spans="2:36">
      <c r="B371" s="166"/>
      <c r="C371" s="167"/>
      <c r="D371" s="171"/>
      <c r="E371" s="171"/>
      <c r="F371" s="171"/>
      <c r="G371" s="172"/>
      <c r="H371" s="173"/>
      <c r="I371" s="193"/>
      <c r="J371" s="171"/>
      <c r="K371" s="194"/>
      <c r="L371" s="173"/>
      <c r="M371" s="171"/>
      <c r="N371" s="171"/>
      <c r="O371" s="194"/>
      <c r="P371" s="195"/>
      <c r="Q371" s="171"/>
      <c r="R371" s="171"/>
      <c r="S371" s="194"/>
      <c r="T371" s="195"/>
      <c r="U371" s="171"/>
      <c r="V371" s="171"/>
      <c r="W371" s="194"/>
      <c r="X371" s="195"/>
      <c r="Y371" s="171"/>
      <c r="Z371" s="171"/>
      <c r="AA371" s="194"/>
      <c r="AB371" s="195"/>
      <c r="AC371" s="171"/>
      <c r="AD371" s="171"/>
      <c r="AE371" s="194"/>
      <c r="AF371" s="195"/>
      <c r="AG371" s="171"/>
      <c r="AH371" s="171"/>
      <c r="AI371" s="194"/>
      <c r="AJ371" s="196"/>
    </row>
    <row r="372" spans="2:36">
      <c r="B372" s="166"/>
      <c r="C372" s="167"/>
      <c r="D372" s="171"/>
      <c r="E372" s="171"/>
      <c r="F372" s="171"/>
      <c r="G372" s="172"/>
      <c r="H372" s="173"/>
      <c r="I372" s="193"/>
      <c r="J372" s="171"/>
      <c r="K372" s="194"/>
      <c r="L372" s="173"/>
      <c r="M372" s="171"/>
      <c r="N372" s="171"/>
      <c r="O372" s="194"/>
      <c r="P372" s="195"/>
      <c r="Q372" s="171"/>
      <c r="R372" s="171"/>
      <c r="S372" s="194"/>
      <c r="T372" s="195"/>
      <c r="U372" s="171"/>
      <c r="V372" s="171"/>
      <c r="W372" s="194"/>
      <c r="X372" s="195"/>
      <c r="Y372" s="171"/>
      <c r="Z372" s="171"/>
      <c r="AA372" s="194"/>
      <c r="AB372" s="195"/>
      <c r="AC372" s="171"/>
      <c r="AD372" s="171"/>
      <c r="AE372" s="194"/>
      <c r="AF372" s="195"/>
      <c r="AG372" s="171"/>
      <c r="AH372" s="171"/>
      <c r="AI372" s="194"/>
      <c r="AJ372" s="196"/>
    </row>
    <row r="373" spans="2:36">
      <c r="B373" s="166"/>
      <c r="C373" s="167"/>
      <c r="D373" s="171"/>
      <c r="E373" s="171"/>
      <c r="F373" s="171"/>
      <c r="G373" s="172"/>
      <c r="H373" s="173"/>
      <c r="I373" s="193"/>
      <c r="J373" s="171"/>
      <c r="K373" s="194"/>
      <c r="L373" s="173"/>
      <c r="M373" s="171"/>
      <c r="N373" s="171"/>
      <c r="O373" s="194"/>
      <c r="P373" s="195"/>
      <c r="Q373" s="171"/>
      <c r="R373" s="171"/>
      <c r="S373" s="194"/>
      <c r="T373" s="195"/>
      <c r="U373" s="171"/>
      <c r="V373" s="171"/>
      <c r="W373" s="194"/>
      <c r="X373" s="195"/>
      <c r="Y373" s="171"/>
      <c r="Z373" s="171"/>
      <c r="AA373" s="194"/>
      <c r="AB373" s="195"/>
      <c r="AC373" s="171"/>
      <c r="AD373" s="171"/>
      <c r="AE373" s="194"/>
      <c r="AF373" s="195"/>
      <c r="AG373" s="171"/>
      <c r="AH373" s="171"/>
      <c r="AI373" s="194"/>
      <c r="AJ373" s="196"/>
    </row>
    <row r="374" spans="2:36">
      <c r="B374" s="166"/>
      <c r="C374" s="167"/>
      <c r="D374" s="171"/>
      <c r="E374" s="171"/>
      <c r="F374" s="171"/>
      <c r="G374" s="172"/>
      <c r="H374" s="173"/>
      <c r="I374" s="193"/>
      <c r="J374" s="171"/>
      <c r="K374" s="194"/>
      <c r="L374" s="173"/>
      <c r="M374" s="171"/>
      <c r="N374" s="171"/>
      <c r="O374" s="194"/>
      <c r="P374" s="195"/>
      <c r="Q374" s="171"/>
      <c r="R374" s="171"/>
      <c r="S374" s="194"/>
      <c r="T374" s="195"/>
      <c r="U374" s="171"/>
      <c r="V374" s="171"/>
      <c r="W374" s="194"/>
      <c r="X374" s="195"/>
      <c r="Y374" s="171"/>
      <c r="Z374" s="171"/>
      <c r="AA374" s="194"/>
      <c r="AB374" s="195"/>
      <c r="AC374" s="171"/>
      <c r="AD374" s="171"/>
      <c r="AE374" s="194"/>
      <c r="AF374" s="195"/>
      <c r="AG374" s="171"/>
      <c r="AH374" s="171"/>
      <c r="AI374" s="194"/>
      <c r="AJ374" s="196"/>
    </row>
    <row r="375" spans="2:36">
      <c r="B375" s="166"/>
      <c r="C375" s="167"/>
      <c r="D375" s="171"/>
      <c r="E375" s="171"/>
      <c r="F375" s="171"/>
      <c r="G375" s="172"/>
      <c r="H375" s="173"/>
      <c r="I375" s="193"/>
      <c r="J375" s="171"/>
      <c r="K375" s="194"/>
      <c r="L375" s="173"/>
      <c r="M375" s="171"/>
      <c r="N375" s="171"/>
      <c r="O375" s="194"/>
      <c r="P375" s="195"/>
      <c r="Q375" s="171"/>
      <c r="R375" s="171"/>
      <c r="S375" s="194"/>
      <c r="T375" s="195"/>
      <c r="U375" s="171"/>
      <c r="V375" s="171"/>
      <c r="W375" s="194"/>
      <c r="X375" s="195"/>
      <c r="Y375" s="171"/>
      <c r="Z375" s="171"/>
      <c r="AA375" s="194"/>
      <c r="AB375" s="195"/>
      <c r="AC375" s="171"/>
      <c r="AD375" s="171"/>
      <c r="AE375" s="194"/>
      <c r="AF375" s="195"/>
      <c r="AG375" s="171"/>
      <c r="AH375" s="171"/>
      <c r="AI375" s="194"/>
      <c r="AJ375" s="196"/>
    </row>
    <row r="376" spans="2:36">
      <c r="B376" s="166"/>
      <c r="C376" s="167"/>
      <c r="D376" s="171"/>
      <c r="E376" s="171"/>
      <c r="F376" s="171"/>
      <c r="G376" s="172"/>
      <c r="H376" s="173"/>
      <c r="I376" s="193"/>
      <c r="J376" s="171"/>
      <c r="K376" s="194"/>
      <c r="L376" s="173"/>
      <c r="M376" s="171"/>
      <c r="N376" s="171"/>
      <c r="O376" s="194"/>
      <c r="P376" s="195"/>
      <c r="Q376" s="171"/>
      <c r="R376" s="171"/>
      <c r="S376" s="194"/>
      <c r="T376" s="195"/>
      <c r="U376" s="171"/>
      <c r="V376" s="171"/>
      <c r="W376" s="194"/>
      <c r="X376" s="195"/>
      <c r="Y376" s="171"/>
      <c r="Z376" s="171"/>
      <c r="AA376" s="194"/>
      <c r="AB376" s="195"/>
      <c r="AC376" s="171"/>
      <c r="AD376" s="171"/>
      <c r="AE376" s="194"/>
      <c r="AF376" s="195"/>
      <c r="AG376" s="171"/>
      <c r="AH376" s="171"/>
      <c r="AI376" s="194"/>
      <c r="AJ376" s="196"/>
    </row>
    <row r="377" spans="2:36">
      <c r="B377" s="166"/>
      <c r="C377" s="167"/>
      <c r="D377" s="171"/>
      <c r="E377" s="171"/>
      <c r="F377" s="171"/>
      <c r="G377" s="172"/>
      <c r="H377" s="173"/>
      <c r="I377" s="193"/>
      <c r="J377" s="171"/>
      <c r="K377" s="194"/>
      <c r="L377" s="173"/>
      <c r="M377" s="171"/>
      <c r="N377" s="171"/>
      <c r="O377" s="194"/>
      <c r="P377" s="195"/>
      <c r="Q377" s="171"/>
      <c r="R377" s="171"/>
      <c r="S377" s="194"/>
      <c r="T377" s="195"/>
      <c r="U377" s="171"/>
      <c r="V377" s="171"/>
      <c r="W377" s="194"/>
      <c r="X377" s="195"/>
      <c r="Y377" s="171"/>
      <c r="Z377" s="171"/>
      <c r="AA377" s="194"/>
      <c r="AB377" s="195"/>
      <c r="AC377" s="171"/>
      <c r="AD377" s="171"/>
      <c r="AE377" s="194"/>
      <c r="AF377" s="195"/>
      <c r="AG377" s="171"/>
      <c r="AH377" s="171"/>
      <c r="AI377" s="194"/>
      <c r="AJ377" s="196"/>
    </row>
    <row r="378" spans="2:36">
      <c r="B378" s="166"/>
      <c r="C378" s="167"/>
      <c r="D378" s="171"/>
      <c r="E378" s="171"/>
      <c r="F378" s="171"/>
      <c r="G378" s="172"/>
      <c r="H378" s="173"/>
      <c r="I378" s="193"/>
      <c r="J378" s="171"/>
      <c r="K378" s="194"/>
      <c r="L378" s="173"/>
      <c r="M378" s="171"/>
      <c r="N378" s="171"/>
      <c r="O378" s="194"/>
      <c r="P378" s="195"/>
      <c r="Q378" s="171"/>
      <c r="R378" s="171"/>
      <c r="S378" s="194"/>
      <c r="T378" s="195"/>
      <c r="U378" s="171"/>
      <c r="V378" s="171"/>
      <c r="W378" s="194"/>
      <c r="X378" s="195"/>
      <c r="Y378" s="171"/>
      <c r="Z378" s="171"/>
      <c r="AA378" s="194"/>
      <c r="AB378" s="195"/>
      <c r="AC378" s="171"/>
      <c r="AD378" s="171"/>
      <c r="AE378" s="194"/>
      <c r="AF378" s="195"/>
      <c r="AG378" s="171"/>
      <c r="AH378" s="171"/>
      <c r="AI378" s="194"/>
      <c r="AJ378" s="196"/>
    </row>
    <row r="379" spans="2:36">
      <c r="B379" s="166"/>
      <c r="C379" s="167"/>
      <c r="D379" s="171"/>
      <c r="E379" s="171"/>
      <c r="F379" s="171"/>
      <c r="G379" s="172"/>
      <c r="H379" s="173"/>
      <c r="I379" s="193"/>
      <c r="J379" s="171"/>
      <c r="K379" s="194"/>
      <c r="L379" s="173"/>
      <c r="M379" s="171"/>
      <c r="N379" s="171"/>
      <c r="O379" s="194"/>
      <c r="P379" s="195"/>
      <c r="Q379" s="171"/>
      <c r="R379" s="171"/>
      <c r="S379" s="194"/>
      <c r="T379" s="195"/>
      <c r="U379" s="171"/>
      <c r="V379" s="171"/>
      <c r="W379" s="194"/>
      <c r="X379" s="195"/>
      <c r="Y379" s="171"/>
      <c r="Z379" s="171"/>
      <c r="AA379" s="194"/>
      <c r="AB379" s="195"/>
      <c r="AC379" s="171"/>
      <c r="AD379" s="171"/>
      <c r="AE379" s="194"/>
      <c r="AF379" s="195"/>
      <c r="AG379" s="171"/>
      <c r="AH379" s="171"/>
      <c r="AI379" s="194"/>
      <c r="AJ379" s="196"/>
    </row>
    <row r="380" spans="2:36">
      <c r="B380" s="166"/>
      <c r="C380" s="167"/>
      <c r="D380" s="171"/>
      <c r="E380" s="171"/>
      <c r="F380" s="171"/>
      <c r="G380" s="172"/>
      <c r="H380" s="173"/>
      <c r="I380" s="193"/>
      <c r="J380" s="171"/>
      <c r="K380" s="194"/>
      <c r="L380" s="173"/>
      <c r="M380" s="171"/>
      <c r="N380" s="171"/>
      <c r="O380" s="194"/>
      <c r="P380" s="195"/>
      <c r="Q380" s="171"/>
      <c r="R380" s="171"/>
      <c r="S380" s="194"/>
      <c r="T380" s="195"/>
      <c r="U380" s="171"/>
      <c r="V380" s="171"/>
      <c r="W380" s="194"/>
      <c r="X380" s="195"/>
      <c r="Y380" s="171"/>
      <c r="Z380" s="171"/>
      <c r="AA380" s="194"/>
      <c r="AB380" s="195"/>
      <c r="AC380" s="171"/>
      <c r="AD380" s="171"/>
      <c r="AE380" s="194"/>
      <c r="AF380" s="195"/>
      <c r="AG380" s="171"/>
      <c r="AH380" s="171"/>
      <c r="AI380" s="194"/>
      <c r="AJ380" s="196"/>
    </row>
    <row r="381" spans="2:36">
      <c r="B381" s="166"/>
      <c r="C381" s="167"/>
      <c r="D381" s="171"/>
      <c r="E381" s="171"/>
      <c r="F381" s="171"/>
      <c r="G381" s="172"/>
      <c r="H381" s="173"/>
      <c r="I381" s="193"/>
      <c r="J381" s="171"/>
      <c r="K381" s="194"/>
      <c r="L381" s="173"/>
      <c r="M381" s="171"/>
      <c r="N381" s="171"/>
      <c r="O381" s="194"/>
      <c r="P381" s="195"/>
      <c r="Q381" s="171"/>
      <c r="R381" s="171"/>
      <c r="S381" s="194"/>
      <c r="T381" s="195"/>
      <c r="U381" s="171"/>
      <c r="V381" s="171"/>
      <c r="W381" s="194"/>
      <c r="X381" s="195"/>
      <c r="Y381" s="171"/>
      <c r="Z381" s="171"/>
      <c r="AA381" s="194"/>
      <c r="AB381" s="195"/>
      <c r="AC381" s="171"/>
      <c r="AD381" s="171"/>
      <c r="AE381" s="194"/>
      <c r="AF381" s="195"/>
      <c r="AG381" s="171"/>
      <c r="AH381" s="171"/>
      <c r="AI381" s="194"/>
      <c r="AJ381" s="196"/>
    </row>
    <row r="382" spans="2:36">
      <c r="B382" s="166"/>
      <c r="C382" s="167"/>
      <c r="D382" s="171"/>
      <c r="E382" s="171"/>
      <c r="F382" s="171"/>
      <c r="G382" s="172"/>
      <c r="H382" s="173"/>
      <c r="I382" s="193"/>
      <c r="J382" s="171"/>
      <c r="K382" s="194"/>
      <c r="L382" s="173"/>
      <c r="M382" s="171"/>
      <c r="N382" s="171"/>
      <c r="O382" s="194"/>
      <c r="P382" s="195"/>
      <c r="Q382" s="171"/>
      <c r="R382" s="171"/>
      <c r="S382" s="194"/>
      <c r="T382" s="195"/>
      <c r="U382" s="171"/>
      <c r="V382" s="171"/>
      <c r="W382" s="194"/>
      <c r="X382" s="195"/>
      <c r="Y382" s="171"/>
      <c r="Z382" s="171"/>
      <c r="AA382" s="194"/>
      <c r="AB382" s="195"/>
      <c r="AC382" s="171"/>
      <c r="AD382" s="171"/>
      <c r="AE382" s="194"/>
      <c r="AF382" s="195"/>
      <c r="AG382" s="171"/>
      <c r="AH382" s="171"/>
      <c r="AI382" s="194"/>
      <c r="AJ382" s="196"/>
    </row>
    <row r="383" spans="2:36">
      <c r="B383" s="166"/>
      <c r="C383" s="167"/>
      <c r="D383" s="171"/>
      <c r="E383" s="171"/>
      <c r="F383" s="171"/>
      <c r="G383" s="172"/>
      <c r="H383" s="173"/>
      <c r="I383" s="193"/>
      <c r="J383" s="171"/>
      <c r="K383" s="194"/>
      <c r="L383" s="173"/>
      <c r="M383" s="171"/>
      <c r="N383" s="171"/>
      <c r="O383" s="194"/>
      <c r="P383" s="195"/>
      <c r="Q383" s="171"/>
      <c r="R383" s="171"/>
      <c r="S383" s="194"/>
      <c r="T383" s="195"/>
      <c r="U383" s="171"/>
      <c r="V383" s="171"/>
      <c r="W383" s="194"/>
      <c r="X383" s="195"/>
      <c r="Y383" s="171"/>
      <c r="Z383" s="171"/>
      <c r="AA383" s="194"/>
      <c r="AB383" s="195"/>
      <c r="AC383" s="171"/>
      <c r="AD383" s="171"/>
      <c r="AE383" s="194"/>
      <c r="AF383" s="195"/>
      <c r="AG383" s="171"/>
      <c r="AH383" s="171"/>
      <c r="AI383" s="194"/>
      <c r="AJ383" s="196"/>
    </row>
    <row r="384" spans="2:36">
      <c r="B384" s="166"/>
      <c r="C384" s="167"/>
      <c r="D384" s="171"/>
      <c r="E384" s="171"/>
      <c r="F384" s="171"/>
      <c r="G384" s="172"/>
      <c r="H384" s="173"/>
      <c r="I384" s="193"/>
      <c r="J384" s="171"/>
      <c r="K384" s="194"/>
      <c r="L384" s="173"/>
      <c r="M384" s="171"/>
      <c r="N384" s="171"/>
      <c r="O384" s="194"/>
      <c r="P384" s="195"/>
      <c r="Q384" s="171"/>
      <c r="R384" s="171"/>
      <c r="S384" s="194"/>
      <c r="T384" s="195"/>
      <c r="U384" s="171"/>
      <c r="V384" s="171"/>
      <c r="W384" s="194"/>
      <c r="X384" s="195"/>
      <c r="Y384" s="171"/>
      <c r="Z384" s="171"/>
      <c r="AA384" s="194"/>
      <c r="AB384" s="195"/>
      <c r="AC384" s="171"/>
      <c r="AD384" s="171"/>
      <c r="AE384" s="194"/>
      <c r="AF384" s="195"/>
      <c r="AG384" s="171"/>
      <c r="AH384" s="171"/>
      <c r="AI384" s="194"/>
      <c r="AJ384" s="196"/>
    </row>
    <row r="385" spans="2:36">
      <c r="B385" s="166"/>
      <c r="C385" s="167"/>
      <c r="D385" s="171"/>
      <c r="E385" s="171"/>
      <c r="F385" s="171"/>
      <c r="G385" s="172"/>
      <c r="H385" s="173"/>
      <c r="I385" s="193"/>
      <c r="J385" s="171"/>
      <c r="K385" s="194"/>
      <c r="L385" s="173"/>
      <c r="M385" s="171"/>
      <c r="N385" s="171"/>
      <c r="O385" s="194"/>
      <c r="P385" s="195"/>
      <c r="Q385" s="171"/>
      <c r="R385" s="171"/>
      <c r="S385" s="194"/>
      <c r="T385" s="195"/>
      <c r="U385" s="171"/>
      <c r="V385" s="171"/>
      <c r="W385" s="194"/>
      <c r="X385" s="195"/>
      <c r="Y385" s="171"/>
      <c r="Z385" s="171"/>
      <c r="AA385" s="194"/>
      <c r="AB385" s="195"/>
      <c r="AC385" s="171"/>
      <c r="AD385" s="171"/>
      <c r="AE385" s="194"/>
      <c r="AF385" s="195"/>
      <c r="AG385" s="171"/>
      <c r="AH385" s="171"/>
      <c r="AI385" s="194"/>
      <c r="AJ385" s="196"/>
    </row>
    <row r="386" spans="2:36">
      <c r="B386" s="166"/>
      <c r="C386" s="167"/>
      <c r="D386" s="171"/>
      <c r="E386" s="171"/>
      <c r="F386" s="171"/>
      <c r="G386" s="172"/>
      <c r="H386" s="173"/>
      <c r="I386" s="193"/>
      <c r="J386" s="171"/>
      <c r="K386" s="194"/>
      <c r="L386" s="173"/>
      <c r="M386" s="171"/>
      <c r="N386" s="171"/>
      <c r="O386" s="194"/>
      <c r="P386" s="195"/>
      <c r="Q386" s="171"/>
      <c r="R386" s="171"/>
      <c r="S386" s="194"/>
      <c r="T386" s="195"/>
      <c r="U386" s="171"/>
      <c r="V386" s="171"/>
      <c r="W386" s="194"/>
      <c r="X386" s="195"/>
      <c r="Y386" s="171"/>
      <c r="Z386" s="171"/>
      <c r="AA386" s="194"/>
      <c r="AB386" s="195"/>
      <c r="AC386" s="171"/>
      <c r="AD386" s="171"/>
      <c r="AE386" s="194"/>
      <c r="AF386" s="195"/>
      <c r="AG386" s="171"/>
      <c r="AH386" s="171"/>
      <c r="AI386" s="194"/>
      <c r="AJ386" s="196"/>
    </row>
    <row r="387" spans="2:36">
      <c r="B387" s="166"/>
      <c r="C387" s="167"/>
      <c r="D387" s="171"/>
      <c r="E387" s="171"/>
      <c r="F387" s="171"/>
      <c r="G387" s="172"/>
      <c r="H387" s="173"/>
      <c r="I387" s="193"/>
      <c r="J387" s="171"/>
      <c r="K387" s="194"/>
      <c r="L387" s="173"/>
      <c r="M387" s="171"/>
      <c r="N387" s="171"/>
      <c r="O387" s="194"/>
      <c r="P387" s="195"/>
      <c r="Q387" s="171"/>
      <c r="R387" s="171"/>
      <c r="S387" s="194"/>
      <c r="T387" s="195"/>
      <c r="U387" s="171"/>
      <c r="V387" s="171"/>
      <c r="W387" s="194"/>
      <c r="X387" s="195"/>
      <c r="Y387" s="171"/>
      <c r="Z387" s="171"/>
      <c r="AA387" s="194"/>
      <c r="AB387" s="195"/>
      <c r="AC387" s="171"/>
      <c r="AD387" s="171"/>
      <c r="AE387" s="194"/>
      <c r="AF387" s="195"/>
      <c r="AG387" s="171"/>
      <c r="AH387" s="171"/>
      <c r="AI387" s="194"/>
      <c r="AJ387" s="196"/>
    </row>
    <row r="388" spans="2:36">
      <c r="B388" s="166"/>
      <c r="C388" s="167"/>
      <c r="D388" s="171"/>
      <c r="E388" s="171"/>
      <c r="F388" s="171"/>
      <c r="G388" s="172"/>
      <c r="H388" s="173"/>
      <c r="I388" s="193"/>
      <c r="J388" s="171"/>
      <c r="K388" s="194"/>
      <c r="L388" s="173"/>
      <c r="M388" s="171"/>
      <c r="N388" s="171"/>
      <c r="O388" s="194"/>
      <c r="P388" s="195"/>
      <c r="Q388" s="171"/>
      <c r="R388" s="171"/>
      <c r="S388" s="194"/>
      <c r="T388" s="195"/>
      <c r="U388" s="171"/>
      <c r="V388" s="171"/>
      <c r="W388" s="194"/>
      <c r="X388" s="195"/>
      <c r="Y388" s="171"/>
      <c r="Z388" s="171"/>
      <c r="AA388" s="194"/>
      <c r="AB388" s="195"/>
      <c r="AC388" s="171"/>
      <c r="AD388" s="171"/>
      <c r="AE388" s="194"/>
      <c r="AF388" s="195"/>
      <c r="AG388" s="171"/>
      <c r="AH388" s="171"/>
      <c r="AI388" s="194"/>
      <c r="AJ388" s="196"/>
    </row>
    <row r="389" spans="2:36">
      <c r="B389" s="166"/>
      <c r="C389" s="167"/>
      <c r="D389" s="171"/>
      <c r="E389" s="171"/>
      <c r="F389" s="171"/>
      <c r="G389" s="172"/>
      <c r="H389" s="173"/>
      <c r="I389" s="193"/>
      <c r="J389" s="171"/>
      <c r="K389" s="194"/>
      <c r="L389" s="173"/>
      <c r="M389" s="171"/>
      <c r="N389" s="171"/>
      <c r="O389" s="194"/>
      <c r="P389" s="195"/>
      <c r="Q389" s="171"/>
      <c r="R389" s="171"/>
      <c r="S389" s="194"/>
      <c r="T389" s="195"/>
      <c r="U389" s="171"/>
      <c r="V389" s="171"/>
      <c r="W389" s="194"/>
      <c r="X389" s="195"/>
      <c r="Y389" s="171"/>
      <c r="Z389" s="171"/>
      <c r="AA389" s="194"/>
      <c r="AB389" s="195"/>
      <c r="AC389" s="171"/>
      <c r="AD389" s="171"/>
      <c r="AE389" s="194"/>
      <c r="AF389" s="195"/>
      <c r="AG389" s="171"/>
      <c r="AH389" s="171"/>
      <c r="AI389" s="194"/>
      <c r="AJ389" s="196"/>
    </row>
    <row r="390" spans="2:36">
      <c r="B390" s="166"/>
      <c r="C390" s="167"/>
      <c r="D390" s="171"/>
      <c r="E390" s="171"/>
      <c r="F390" s="171"/>
      <c r="G390" s="172"/>
      <c r="H390" s="173"/>
      <c r="I390" s="193"/>
      <c r="J390" s="171"/>
      <c r="K390" s="194"/>
      <c r="L390" s="173"/>
      <c r="M390" s="171"/>
      <c r="N390" s="171"/>
      <c r="O390" s="194"/>
      <c r="P390" s="195"/>
      <c r="Q390" s="171"/>
      <c r="R390" s="171"/>
      <c r="S390" s="194"/>
      <c r="T390" s="195"/>
      <c r="U390" s="171"/>
      <c r="V390" s="171"/>
      <c r="W390" s="194"/>
      <c r="X390" s="195"/>
      <c r="Y390" s="171"/>
      <c r="Z390" s="171"/>
      <c r="AA390" s="194"/>
      <c r="AB390" s="195"/>
      <c r="AC390" s="171"/>
      <c r="AD390" s="171"/>
      <c r="AE390" s="194"/>
      <c r="AF390" s="195"/>
      <c r="AG390" s="171"/>
      <c r="AH390" s="171"/>
      <c r="AI390" s="194"/>
      <c r="AJ390" s="196"/>
    </row>
    <row r="391" spans="2:36">
      <c r="B391" s="166"/>
      <c r="C391" s="167"/>
      <c r="D391" s="171"/>
      <c r="E391" s="171"/>
      <c r="F391" s="171"/>
      <c r="G391" s="172"/>
      <c r="H391" s="173"/>
      <c r="I391" s="193"/>
      <c r="J391" s="171"/>
      <c r="K391" s="194"/>
      <c r="L391" s="173"/>
      <c r="M391" s="171"/>
      <c r="N391" s="171"/>
      <c r="O391" s="194"/>
      <c r="P391" s="195"/>
      <c r="Q391" s="171"/>
      <c r="R391" s="171"/>
      <c r="S391" s="194"/>
      <c r="T391" s="195"/>
      <c r="U391" s="171"/>
      <c r="V391" s="171"/>
      <c r="W391" s="194"/>
      <c r="X391" s="195"/>
      <c r="Y391" s="171"/>
      <c r="Z391" s="171"/>
      <c r="AA391" s="194"/>
      <c r="AB391" s="195"/>
      <c r="AC391" s="171"/>
      <c r="AD391" s="171"/>
      <c r="AE391" s="194"/>
      <c r="AF391" s="195"/>
      <c r="AG391" s="171"/>
      <c r="AH391" s="171"/>
      <c r="AI391" s="194"/>
      <c r="AJ391" s="196"/>
    </row>
    <row r="392" spans="2:36">
      <c r="B392" s="166"/>
      <c r="C392" s="167"/>
      <c r="D392" s="171"/>
      <c r="E392" s="171"/>
      <c r="F392" s="171"/>
      <c r="G392" s="172"/>
      <c r="H392" s="173"/>
      <c r="I392" s="193"/>
      <c r="J392" s="171"/>
      <c r="K392" s="194"/>
      <c r="L392" s="173"/>
      <c r="M392" s="171"/>
      <c r="N392" s="171"/>
      <c r="O392" s="194"/>
      <c r="P392" s="195"/>
      <c r="Q392" s="171"/>
      <c r="R392" s="171"/>
      <c r="S392" s="194"/>
      <c r="T392" s="195"/>
      <c r="U392" s="171"/>
      <c r="V392" s="171"/>
      <c r="W392" s="194"/>
      <c r="X392" s="195"/>
      <c r="Y392" s="171"/>
      <c r="Z392" s="171"/>
      <c r="AA392" s="194"/>
      <c r="AB392" s="195"/>
      <c r="AC392" s="171"/>
      <c r="AD392" s="171"/>
      <c r="AE392" s="194"/>
      <c r="AF392" s="195"/>
      <c r="AG392" s="171"/>
      <c r="AH392" s="171"/>
      <c r="AI392" s="194"/>
      <c r="AJ392" s="196"/>
    </row>
    <row r="393" spans="2:36">
      <c r="B393" s="166"/>
      <c r="C393" s="167"/>
      <c r="D393" s="171"/>
      <c r="E393" s="171"/>
      <c r="F393" s="171"/>
      <c r="G393" s="172"/>
      <c r="H393" s="173"/>
      <c r="I393" s="193"/>
      <c r="J393" s="171"/>
      <c r="K393" s="194"/>
      <c r="L393" s="173"/>
      <c r="M393" s="171"/>
      <c r="N393" s="171"/>
      <c r="O393" s="194"/>
      <c r="P393" s="195"/>
      <c r="Q393" s="171"/>
      <c r="R393" s="171"/>
      <c r="S393" s="194"/>
      <c r="T393" s="195"/>
      <c r="U393" s="171"/>
      <c r="V393" s="171"/>
      <c r="W393" s="194"/>
      <c r="X393" s="195"/>
      <c r="Y393" s="171"/>
      <c r="Z393" s="171"/>
      <c r="AA393" s="194"/>
      <c r="AB393" s="195"/>
      <c r="AC393" s="171"/>
      <c r="AD393" s="171"/>
      <c r="AE393" s="194"/>
      <c r="AF393" s="195"/>
      <c r="AG393" s="171"/>
      <c r="AH393" s="171"/>
      <c r="AI393" s="194"/>
      <c r="AJ393" s="196"/>
    </row>
    <row r="394" spans="2:36">
      <c r="B394" s="166"/>
      <c r="C394" s="167"/>
      <c r="D394" s="171"/>
      <c r="E394" s="171"/>
      <c r="F394" s="171"/>
      <c r="G394" s="172"/>
      <c r="H394" s="173"/>
      <c r="I394" s="193"/>
      <c r="J394" s="171"/>
      <c r="K394" s="194"/>
      <c r="L394" s="173"/>
      <c r="M394" s="171"/>
      <c r="N394" s="171"/>
      <c r="O394" s="194"/>
      <c r="P394" s="195"/>
      <c r="Q394" s="171"/>
      <c r="R394" s="171"/>
      <c r="S394" s="194"/>
      <c r="T394" s="195"/>
      <c r="U394" s="171"/>
      <c r="V394" s="171"/>
      <c r="W394" s="194"/>
      <c r="X394" s="195"/>
      <c r="Y394" s="171"/>
      <c r="Z394" s="171"/>
      <c r="AA394" s="194"/>
      <c r="AB394" s="195"/>
      <c r="AC394" s="171"/>
      <c r="AD394" s="171"/>
      <c r="AE394" s="194"/>
      <c r="AF394" s="195"/>
      <c r="AG394" s="171"/>
      <c r="AH394" s="171"/>
      <c r="AI394" s="194"/>
      <c r="AJ394" s="196"/>
    </row>
    <row r="395" spans="2:36">
      <c r="B395" s="166"/>
      <c r="C395" s="167"/>
      <c r="D395" s="171"/>
      <c r="E395" s="171"/>
      <c r="F395" s="171"/>
      <c r="G395" s="172"/>
      <c r="H395" s="173"/>
      <c r="I395" s="193"/>
      <c r="J395" s="171"/>
      <c r="K395" s="194"/>
      <c r="L395" s="173"/>
      <c r="M395" s="171"/>
      <c r="N395" s="171"/>
      <c r="O395" s="194"/>
      <c r="P395" s="195"/>
      <c r="Q395" s="171"/>
      <c r="R395" s="171"/>
      <c r="S395" s="194"/>
      <c r="T395" s="195"/>
      <c r="U395" s="171"/>
      <c r="V395" s="171"/>
      <c r="W395" s="194"/>
      <c r="X395" s="195"/>
      <c r="Y395" s="171"/>
      <c r="Z395" s="171"/>
      <c r="AA395" s="194"/>
      <c r="AB395" s="195"/>
      <c r="AC395" s="171"/>
      <c r="AD395" s="171"/>
      <c r="AE395" s="194"/>
      <c r="AF395" s="195"/>
      <c r="AG395" s="171"/>
      <c r="AH395" s="171"/>
      <c r="AI395" s="194"/>
      <c r="AJ395" s="196"/>
    </row>
    <row r="396" spans="2:36">
      <c r="B396" s="166"/>
      <c r="C396" s="167"/>
      <c r="D396" s="171"/>
      <c r="E396" s="171"/>
      <c r="F396" s="171"/>
      <c r="G396" s="172"/>
      <c r="H396" s="173"/>
      <c r="I396" s="193"/>
      <c r="J396" s="171"/>
      <c r="K396" s="194"/>
      <c r="L396" s="173"/>
      <c r="M396" s="171"/>
      <c r="N396" s="171"/>
      <c r="O396" s="194"/>
      <c r="P396" s="195"/>
      <c r="Q396" s="171"/>
      <c r="R396" s="171"/>
      <c r="S396" s="194"/>
      <c r="T396" s="195"/>
      <c r="U396" s="171"/>
      <c r="V396" s="171"/>
      <c r="W396" s="194"/>
      <c r="X396" s="195"/>
      <c r="Y396" s="171"/>
      <c r="Z396" s="171"/>
      <c r="AA396" s="194"/>
      <c r="AB396" s="195"/>
      <c r="AC396" s="171"/>
      <c r="AD396" s="171"/>
      <c r="AE396" s="194"/>
      <c r="AF396" s="195"/>
      <c r="AG396" s="171"/>
      <c r="AH396" s="171"/>
      <c r="AI396" s="194"/>
      <c r="AJ396" s="196"/>
    </row>
    <row r="397" spans="2:36">
      <c r="B397" s="166"/>
      <c r="C397" s="167"/>
      <c r="D397" s="171"/>
      <c r="E397" s="171"/>
      <c r="F397" s="171"/>
      <c r="G397" s="172"/>
      <c r="H397" s="173"/>
      <c r="I397" s="193"/>
      <c r="J397" s="171"/>
      <c r="K397" s="194"/>
      <c r="L397" s="173"/>
      <c r="M397" s="171"/>
      <c r="N397" s="171"/>
      <c r="O397" s="194"/>
      <c r="P397" s="195"/>
      <c r="Q397" s="171"/>
      <c r="R397" s="171"/>
      <c r="S397" s="194"/>
      <c r="T397" s="195"/>
      <c r="U397" s="171"/>
      <c r="V397" s="171"/>
      <c r="W397" s="194"/>
      <c r="X397" s="195"/>
      <c r="Y397" s="171"/>
      <c r="Z397" s="171"/>
      <c r="AA397" s="194"/>
      <c r="AB397" s="195"/>
      <c r="AC397" s="171"/>
      <c r="AD397" s="171"/>
      <c r="AE397" s="194"/>
      <c r="AF397" s="195"/>
      <c r="AG397" s="171"/>
      <c r="AH397" s="171"/>
      <c r="AI397" s="194"/>
      <c r="AJ397" s="196"/>
    </row>
    <row r="398" spans="2:36">
      <c r="B398" s="166"/>
      <c r="C398" s="167"/>
      <c r="D398" s="171"/>
      <c r="E398" s="171"/>
      <c r="F398" s="171"/>
      <c r="G398" s="172"/>
      <c r="H398" s="173"/>
      <c r="I398" s="193"/>
      <c r="J398" s="171"/>
      <c r="K398" s="194"/>
      <c r="L398" s="173"/>
      <c r="M398" s="171"/>
      <c r="N398" s="171"/>
      <c r="O398" s="194"/>
      <c r="P398" s="195"/>
      <c r="Q398" s="171"/>
      <c r="R398" s="171"/>
      <c r="S398" s="194"/>
      <c r="T398" s="195"/>
      <c r="U398" s="171"/>
      <c r="V398" s="171"/>
      <c r="W398" s="194"/>
      <c r="X398" s="195"/>
      <c r="Y398" s="171"/>
      <c r="Z398" s="171"/>
      <c r="AA398" s="194"/>
      <c r="AB398" s="195"/>
      <c r="AC398" s="171"/>
      <c r="AD398" s="171"/>
      <c r="AE398" s="194"/>
      <c r="AF398" s="195"/>
      <c r="AG398" s="171"/>
      <c r="AH398" s="171"/>
      <c r="AI398" s="194"/>
      <c r="AJ398" s="196"/>
    </row>
    <row r="399" spans="2:36">
      <c r="B399" s="166"/>
      <c r="C399" s="167"/>
      <c r="D399" s="171"/>
      <c r="E399" s="171"/>
      <c r="F399" s="171"/>
      <c r="G399" s="172"/>
      <c r="H399" s="173"/>
      <c r="I399" s="193"/>
      <c r="J399" s="171"/>
      <c r="K399" s="194"/>
      <c r="L399" s="173"/>
      <c r="M399" s="171"/>
      <c r="N399" s="171"/>
      <c r="O399" s="194"/>
      <c r="P399" s="195"/>
      <c r="Q399" s="171"/>
      <c r="R399" s="171"/>
      <c r="S399" s="194"/>
      <c r="T399" s="195"/>
      <c r="U399" s="171"/>
      <c r="V399" s="171"/>
      <c r="W399" s="194"/>
      <c r="X399" s="195"/>
      <c r="Y399" s="171"/>
      <c r="Z399" s="171"/>
      <c r="AA399" s="194"/>
      <c r="AB399" s="195"/>
      <c r="AC399" s="171"/>
      <c r="AD399" s="171"/>
      <c r="AE399" s="194"/>
      <c r="AF399" s="195"/>
      <c r="AG399" s="171"/>
      <c r="AH399" s="171"/>
      <c r="AI399" s="194"/>
      <c r="AJ399" s="196"/>
    </row>
    <row r="400" spans="2:36">
      <c r="B400" s="166"/>
      <c r="C400" s="167"/>
      <c r="D400" s="171"/>
      <c r="E400" s="171"/>
      <c r="F400" s="171"/>
      <c r="G400" s="172"/>
      <c r="H400" s="173"/>
      <c r="I400" s="193"/>
      <c r="J400" s="171"/>
      <c r="K400" s="194"/>
      <c r="L400" s="173"/>
      <c r="M400" s="171"/>
      <c r="N400" s="171"/>
      <c r="O400" s="194"/>
      <c r="P400" s="195"/>
      <c r="Q400" s="171"/>
      <c r="R400" s="171"/>
      <c r="S400" s="194"/>
      <c r="T400" s="195"/>
      <c r="U400" s="171"/>
      <c r="V400" s="171"/>
      <c r="W400" s="194"/>
      <c r="X400" s="195"/>
      <c r="Y400" s="171"/>
      <c r="Z400" s="171"/>
      <c r="AA400" s="194"/>
      <c r="AB400" s="195"/>
      <c r="AC400" s="171"/>
      <c r="AD400" s="171"/>
      <c r="AE400" s="194"/>
      <c r="AF400" s="195"/>
      <c r="AG400" s="171"/>
      <c r="AH400" s="171"/>
      <c r="AI400" s="194"/>
      <c r="AJ400" s="196"/>
    </row>
    <row r="401" spans="2:36">
      <c r="B401" s="166"/>
      <c r="C401" s="167"/>
      <c r="D401" s="171"/>
      <c r="E401" s="171"/>
      <c r="F401" s="171"/>
      <c r="G401" s="172"/>
      <c r="H401" s="173"/>
      <c r="I401" s="193"/>
      <c r="J401" s="171"/>
      <c r="K401" s="194"/>
      <c r="L401" s="173"/>
      <c r="M401" s="171"/>
      <c r="N401" s="171"/>
      <c r="O401" s="194"/>
      <c r="P401" s="195"/>
      <c r="Q401" s="171"/>
      <c r="R401" s="171"/>
      <c r="S401" s="194"/>
      <c r="T401" s="195"/>
      <c r="U401" s="171"/>
      <c r="V401" s="171"/>
      <c r="W401" s="194"/>
      <c r="X401" s="195"/>
      <c r="Y401" s="171"/>
      <c r="Z401" s="171"/>
      <c r="AA401" s="194"/>
      <c r="AB401" s="195"/>
      <c r="AC401" s="171"/>
      <c r="AD401" s="171"/>
      <c r="AE401" s="194"/>
      <c r="AF401" s="195"/>
      <c r="AG401" s="171"/>
      <c r="AH401" s="171"/>
      <c r="AI401" s="194"/>
      <c r="AJ401" s="196"/>
    </row>
    <row r="402" spans="2:36">
      <c r="B402" s="166"/>
      <c r="C402" s="167"/>
      <c r="D402" s="171"/>
      <c r="E402" s="171"/>
      <c r="F402" s="171"/>
      <c r="G402" s="172"/>
      <c r="H402" s="173"/>
      <c r="I402" s="193"/>
      <c r="J402" s="171"/>
      <c r="K402" s="194"/>
      <c r="L402" s="173"/>
      <c r="M402" s="171"/>
      <c r="N402" s="171"/>
      <c r="O402" s="194"/>
      <c r="P402" s="195"/>
      <c r="Q402" s="171"/>
      <c r="R402" s="171"/>
      <c r="S402" s="194"/>
      <c r="T402" s="195"/>
      <c r="U402" s="171"/>
      <c r="V402" s="171"/>
      <c r="W402" s="194"/>
      <c r="X402" s="195"/>
      <c r="Y402" s="171"/>
      <c r="Z402" s="171"/>
      <c r="AA402" s="194"/>
      <c r="AB402" s="195"/>
      <c r="AC402" s="171"/>
      <c r="AD402" s="171"/>
      <c r="AE402" s="194"/>
      <c r="AF402" s="195"/>
      <c r="AG402" s="171"/>
      <c r="AH402" s="171"/>
      <c r="AI402" s="194"/>
      <c r="AJ402" s="196"/>
    </row>
    <row r="403" spans="2:36">
      <c r="B403" s="166"/>
      <c r="C403" s="167"/>
      <c r="D403" s="171"/>
      <c r="E403" s="171"/>
      <c r="F403" s="171"/>
      <c r="G403" s="172"/>
      <c r="H403" s="173"/>
      <c r="I403" s="193"/>
      <c r="J403" s="171"/>
      <c r="K403" s="194"/>
      <c r="L403" s="173"/>
      <c r="M403" s="171"/>
      <c r="N403" s="171"/>
      <c r="O403" s="194"/>
      <c r="P403" s="195"/>
      <c r="Q403" s="171"/>
      <c r="R403" s="171"/>
      <c r="S403" s="194"/>
      <c r="T403" s="195"/>
      <c r="U403" s="171"/>
      <c r="V403" s="171"/>
      <c r="W403" s="194"/>
      <c r="X403" s="195"/>
      <c r="Y403" s="171"/>
      <c r="Z403" s="171"/>
      <c r="AA403" s="194"/>
      <c r="AB403" s="195"/>
      <c r="AC403" s="171"/>
      <c r="AD403" s="171"/>
      <c r="AE403" s="194"/>
      <c r="AF403" s="195"/>
      <c r="AG403" s="171"/>
      <c r="AH403" s="171"/>
      <c r="AI403" s="194"/>
      <c r="AJ403" s="196"/>
    </row>
    <row r="404" spans="2:36">
      <c r="B404" s="166"/>
      <c r="C404" s="167"/>
      <c r="D404" s="171"/>
      <c r="E404" s="171"/>
      <c r="F404" s="171"/>
      <c r="G404" s="172"/>
      <c r="H404" s="173"/>
      <c r="I404" s="193"/>
      <c r="J404" s="171"/>
      <c r="K404" s="194"/>
      <c r="L404" s="173"/>
      <c r="M404" s="171"/>
      <c r="N404" s="171"/>
      <c r="O404" s="194"/>
      <c r="P404" s="195"/>
      <c r="Q404" s="171"/>
      <c r="R404" s="171"/>
      <c r="S404" s="194"/>
      <c r="T404" s="195"/>
      <c r="U404" s="171"/>
      <c r="V404" s="171"/>
      <c r="W404" s="194"/>
      <c r="X404" s="195"/>
      <c r="Y404" s="171"/>
      <c r="Z404" s="171"/>
      <c r="AA404" s="194"/>
      <c r="AB404" s="195"/>
      <c r="AC404" s="171"/>
      <c r="AD404" s="171"/>
      <c r="AE404" s="194"/>
      <c r="AF404" s="195"/>
      <c r="AG404" s="171"/>
      <c r="AH404" s="171"/>
      <c r="AI404" s="194"/>
      <c r="AJ404" s="196"/>
    </row>
    <row r="405" spans="2:36">
      <c r="B405" s="166"/>
      <c r="C405" s="167"/>
      <c r="D405" s="171"/>
      <c r="E405" s="171"/>
      <c r="F405" s="171"/>
      <c r="G405" s="172"/>
      <c r="H405" s="173"/>
      <c r="I405" s="193"/>
      <c r="J405" s="171"/>
      <c r="K405" s="194"/>
      <c r="L405" s="173"/>
      <c r="M405" s="171"/>
      <c r="N405" s="171"/>
      <c r="O405" s="194"/>
      <c r="P405" s="195"/>
      <c r="Q405" s="171"/>
      <c r="R405" s="171"/>
      <c r="S405" s="194"/>
      <c r="T405" s="195"/>
      <c r="U405" s="171"/>
      <c r="V405" s="171"/>
      <c r="W405" s="194"/>
      <c r="X405" s="195"/>
      <c r="Y405" s="171"/>
      <c r="Z405" s="171"/>
      <c r="AA405" s="194"/>
      <c r="AB405" s="195"/>
      <c r="AC405" s="171"/>
      <c r="AD405" s="171"/>
      <c r="AE405" s="194"/>
      <c r="AF405" s="195"/>
      <c r="AG405" s="171"/>
      <c r="AH405" s="171"/>
      <c r="AI405" s="194"/>
      <c r="AJ405" s="196"/>
    </row>
    <row r="406" spans="2:36">
      <c r="B406" s="166"/>
      <c r="C406" s="167"/>
      <c r="D406" s="171"/>
      <c r="E406" s="171"/>
      <c r="F406" s="171"/>
      <c r="G406" s="172"/>
      <c r="H406" s="173"/>
      <c r="I406" s="193"/>
      <c r="J406" s="171"/>
      <c r="K406" s="194"/>
      <c r="L406" s="173"/>
      <c r="M406" s="171"/>
      <c r="N406" s="171"/>
      <c r="O406" s="194"/>
      <c r="P406" s="195"/>
      <c r="Q406" s="171"/>
      <c r="R406" s="171"/>
      <c r="S406" s="194"/>
      <c r="T406" s="195"/>
      <c r="U406" s="171"/>
      <c r="V406" s="171"/>
      <c r="W406" s="194"/>
      <c r="X406" s="195"/>
      <c r="Y406" s="171"/>
      <c r="Z406" s="171"/>
      <c r="AA406" s="194"/>
      <c r="AB406" s="195"/>
      <c r="AC406" s="171"/>
      <c r="AD406" s="171"/>
      <c r="AE406" s="194"/>
      <c r="AF406" s="195"/>
      <c r="AG406" s="171"/>
      <c r="AH406" s="171"/>
      <c r="AI406" s="194"/>
      <c r="AJ406" s="196"/>
    </row>
    <row r="407" spans="2:36">
      <c r="B407" s="166"/>
      <c r="C407" s="167"/>
      <c r="D407" s="171"/>
      <c r="E407" s="171"/>
      <c r="F407" s="171"/>
      <c r="G407" s="172"/>
      <c r="H407" s="173"/>
      <c r="I407" s="193"/>
      <c r="J407" s="171"/>
      <c r="K407" s="194"/>
      <c r="L407" s="173"/>
      <c r="M407" s="171"/>
      <c r="N407" s="171"/>
      <c r="O407" s="194"/>
      <c r="P407" s="195"/>
      <c r="Q407" s="171"/>
      <c r="R407" s="171"/>
      <c r="S407" s="194"/>
      <c r="T407" s="195"/>
      <c r="U407" s="171"/>
      <c r="V407" s="171"/>
      <c r="W407" s="194"/>
      <c r="X407" s="195"/>
      <c r="Y407" s="171"/>
      <c r="Z407" s="171"/>
      <c r="AA407" s="194"/>
      <c r="AB407" s="195"/>
      <c r="AC407" s="171"/>
      <c r="AD407" s="171"/>
      <c r="AE407" s="194"/>
      <c r="AF407" s="195"/>
      <c r="AG407" s="171"/>
      <c r="AH407" s="171"/>
      <c r="AI407" s="194"/>
      <c r="AJ407" s="196"/>
    </row>
    <row r="408" spans="2:36">
      <c r="B408" s="166"/>
      <c r="C408" s="167"/>
      <c r="D408" s="171"/>
      <c r="E408" s="171"/>
      <c r="F408" s="171"/>
      <c r="G408" s="172"/>
      <c r="H408" s="173"/>
      <c r="I408" s="193"/>
      <c r="J408" s="171"/>
      <c r="K408" s="194"/>
      <c r="L408" s="173"/>
      <c r="M408" s="171"/>
      <c r="N408" s="171"/>
      <c r="O408" s="194"/>
      <c r="P408" s="195"/>
      <c r="Q408" s="171"/>
      <c r="R408" s="171"/>
      <c r="S408" s="194"/>
      <c r="T408" s="195"/>
      <c r="U408" s="171"/>
      <c r="V408" s="171"/>
      <c r="W408" s="194"/>
      <c r="X408" s="195"/>
      <c r="Y408" s="171"/>
      <c r="Z408" s="171"/>
      <c r="AA408" s="194"/>
      <c r="AB408" s="195"/>
      <c r="AC408" s="171"/>
      <c r="AD408" s="171"/>
      <c r="AE408" s="194"/>
      <c r="AF408" s="195"/>
      <c r="AG408" s="171"/>
      <c r="AH408" s="171"/>
      <c r="AI408" s="194"/>
      <c r="AJ408" s="196"/>
    </row>
    <row r="409" spans="2:36">
      <c r="B409" s="166"/>
      <c r="C409" s="167"/>
      <c r="D409" s="171"/>
      <c r="E409" s="171"/>
      <c r="F409" s="171"/>
      <c r="G409" s="172"/>
      <c r="H409" s="173"/>
      <c r="I409" s="193"/>
      <c r="J409" s="171"/>
      <c r="K409" s="194"/>
      <c r="L409" s="173"/>
      <c r="M409" s="171"/>
      <c r="N409" s="171"/>
      <c r="O409" s="194"/>
      <c r="P409" s="195"/>
      <c r="Q409" s="171"/>
      <c r="R409" s="171"/>
      <c r="S409" s="194"/>
      <c r="T409" s="195"/>
      <c r="U409" s="171"/>
      <c r="V409" s="171"/>
      <c r="W409" s="194"/>
      <c r="X409" s="195"/>
      <c r="Y409" s="171"/>
      <c r="Z409" s="171"/>
      <c r="AA409" s="194"/>
      <c r="AB409" s="195"/>
      <c r="AC409" s="171"/>
      <c r="AD409" s="171"/>
      <c r="AE409" s="194"/>
      <c r="AF409" s="195"/>
      <c r="AG409" s="171"/>
      <c r="AH409" s="171"/>
      <c r="AI409" s="194"/>
      <c r="AJ409" s="196"/>
    </row>
    <row r="410" spans="2:36">
      <c r="B410" s="166"/>
      <c r="C410" s="167"/>
      <c r="D410" s="171"/>
      <c r="E410" s="171"/>
      <c r="F410" s="171"/>
      <c r="G410" s="172"/>
      <c r="H410" s="173"/>
      <c r="I410" s="193"/>
      <c r="J410" s="171"/>
      <c r="K410" s="194"/>
      <c r="L410" s="173"/>
      <c r="M410" s="171"/>
      <c r="N410" s="171"/>
      <c r="O410" s="194"/>
      <c r="P410" s="195"/>
      <c r="Q410" s="171"/>
      <c r="R410" s="171"/>
      <c r="S410" s="194"/>
      <c r="T410" s="195"/>
      <c r="U410" s="171"/>
      <c r="V410" s="171"/>
      <c r="W410" s="194"/>
      <c r="X410" s="195"/>
      <c r="Y410" s="171"/>
      <c r="Z410" s="171"/>
      <c r="AA410" s="194"/>
      <c r="AB410" s="195"/>
      <c r="AC410" s="171"/>
      <c r="AD410" s="171"/>
      <c r="AE410" s="194"/>
      <c r="AF410" s="195"/>
      <c r="AG410" s="171"/>
      <c r="AH410" s="171"/>
      <c r="AI410" s="194"/>
      <c r="AJ410" s="196"/>
    </row>
    <row r="411" spans="2:36">
      <c r="B411" s="166"/>
      <c r="C411" s="167"/>
      <c r="D411" s="171"/>
      <c r="E411" s="171"/>
      <c r="F411" s="171"/>
      <c r="G411" s="172"/>
      <c r="H411" s="173"/>
      <c r="I411" s="193"/>
      <c r="J411" s="171"/>
      <c r="K411" s="194"/>
      <c r="L411" s="173"/>
      <c r="M411" s="171"/>
      <c r="N411" s="171"/>
      <c r="O411" s="194"/>
      <c r="P411" s="195"/>
      <c r="Q411" s="171"/>
      <c r="R411" s="171"/>
      <c r="S411" s="194"/>
      <c r="T411" s="195"/>
      <c r="U411" s="171"/>
      <c r="V411" s="171"/>
      <c r="W411" s="194"/>
      <c r="X411" s="195"/>
      <c r="Y411" s="171"/>
      <c r="Z411" s="171"/>
      <c r="AA411" s="194"/>
      <c r="AB411" s="195"/>
      <c r="AC411" s="171"/>
      <c r="AD411" s="171"/>
      <c r="AE411" s="194"/>
      <c r="AF411" s="195"/>
      <c r="AG411" s="171"/>
      <c r="AH411" s="171"/>
      <c r="AI411" s="194"/>
      <c r="AJ411" s="196"/>
    </row>
    <row r="412" spans="2:36">
      <c r="B412" s="166"/>
      <c r="C412" s="167"/>
      <c r="D412" s="171"/>
      <c r="E412" s="171"/>
      <c r="F412" s="171"/>
      <c r="G412" s="172"/>
      <c r="H412" s="173"/>
      <c r="I412" s="193"/>
      <c r="J412" s="171"/>
      <c r="K412" s="194"/>
      <c r="L412" s="173"/>
      <c r="M412" s="171"/>
      <c r="N412" s="171"/>
      <c r="O412" s="194"/>
      <c r="P412" s="195"/>
      <c r="Q412" s="171"/>
      <c r="R412" s="171"/>
      <c r="S412" s="194"/>
      <c r="T412" s="195"/>
      <c r="U412" s="171"/>
      <c r="V412" s="171"/>
      <c r="W412" s="194"/>
      <c r="X412" s="195"/>
      <c r="Y412" s="171"/>
      <c r="Z412" s="171"/>
      <c r="AA412" s="194"/>
      <c r="AB412" s="195"/>
      <c r="AC412" s="171"/>
      <c r="AD412" s="171"/>
      <c r="AE412" s="194"/>
      <c r="AF412" s="195"/>
      <c r="AG412" s="171"/>
      <c r="AH412" s="171"/>
      <c r="AI412" s="194"/>
      <c r="AJ412" s="196"/>
    </row>
    <row r="413" spans="2:36">
      <c r="B413" s="166"/>
      <c r="C413" s="167"/>
      <c r="D413" s="171"/>
      <c r="E413" s="171"/>
      <c r="F413" s="171"/>
      <c r="G413" s="172"/>
      <c r="H413" s="173"/>
      <c r="I413" s="193"/>
      <c r="J413" s="171"/>
      <c r="K413" s="194"/>
      <c r="L413" s="173"/>
      <c r="M413" s="171"/>
      <c r="N413" s="171"/>
      <c r="O413" s="194"/>
      <c r="P413" s="195"/>
      <c r="Q413" s="171"/>
      <c r="R413" s="171"/>
      <c r="S413" s="194"/>
      <c r="T413" s="195"/>
      <c r="U413" s="171"/>
      <c r="V413" s="171"/>
      <c r="W413" s="194"/>
      <c r="X413" s="195"/>
      <c r="Y413" s="171"/>
      <c r="Z413" s="171"/>
      <c r="AA413" s="194"/>
      <c r="AB413" s="195"/>
      <c r="AC413" s="171"/>
      <c r="AD413" s="171"/>
      <c r="AE413" s="194"/>
      <c r="AF413" s="195"/>
      <c r="AG413" s="171"/>
      <c r="AH413" s="171"/>
      <c r="AI413" s="194"/>
      <c r="AJ413" s="196"/>
    </row>
    <row r="414" spans="2:36">
      <c r="B414" s="166"/>
      <c r="C414" s="167"/>
      <c r="D414" s="171"/>
      <c r="E414" s="171"/>
      <c r="F414" s="171"/>
      <c r="G414" s="172"/>
      <c r="H414" s="173"/>
      <c r="I414" s="193"/>
      <c r="J414" s="171"/>
      <c r="K414" s="194"/>
      <c r="L414" s="173"/>
      <c r="M414" s="171"/>
      <c r="N414" s="171"/>
      <c r="O414" s="194"/>
      <c r="P414" s="195"/>
      <c r="Q414" s="171"/>
      <c r="R414" s="171"/>
      <c r="S414" s="194"/>
      <c r="T414" s="195"/>
      <c r="U414" s="171"/>
      <c r="V414" s="171"/>
      <c r="W414" s="194"/>
      <c r="X414" s="195"/>
      <c r="Y414" s="171"/>
      <c r="Z414" s="171"/>
      <c r="AA414" s="194"/>
      <c r="AB414" s="195"/>
      <c r="AC414" s="171"/>
      <c r="AD414" s="171"/>
      <c r="AE414" s="194"/>
      <c r="AF414" s="195"/>
      <c r="AG414" s="171"/>
      <c r="AH414" s="171"/>
      <c r="AI414" s="194"/>
      <c r="AJ414" s="196"/>
    </row>
    <row r="415" spans="2:36">
      <c r="B415" s="166"/>
      <c r="C415" s="167"/>
      <c r="D415" s="171"/>
      <c r="E415" s="171"/>
      <c r="F415" s="171"/>
      <c r="G415" s="172"/>
      <c r="H415" s="173"/>
      <c r="I415" s="193"/>
      <c r="J415" s="171"/>
      <c r="K415" s="194"/>
      <c r="L415" s="173"/>
      <c r="M415" s="171"/>
      <c r="N415" s="171"/>
      <c r="O415" s="194"/>
      <c r="P415" s="195"/>
      <c r="Q415" s="171"/>
      <c r="R415" s="171"/>
      <c r="S415" s="194"/>
      <c r="T415" s="195"/>
      <c r="U415" s="171"/>
      <c r="V415" s="171"/>
      <c r="W415" s="194"/>
      <c r="X415" s="195"/>
      <c r="Y415" s="171"/>
      <c r="Z415" s="171"/>
      <c r="AA415" s="194"/>
      <c r="AB415" s="195"/>
      <c r="AC415" s="171"/>
      <c r="AD415" s="171"/>
      <c r="AE415" s="194"/>
      <c r="AF415" s="195"/>
      <c r="AG415" s="171"/>
      <c r="AH415" s="171"/>
      <c r="AI415" s="194"/>
      <c r="AJ415" s="196"/>
    </row>
    <row r="416" spans="2:36">
      <c r="B416" s="166"/>
      <c r="C416" s="167"/>
      <c r="D416" s="171"/>
      <c r="E416" s="171"/>
      <c r="F416" s="171"/>
      <c r="G416" s="172"/>
      <c r="H416" s="173"/>
      <c r="I416" s="193"/>
      <c r="J416" s="171"/>
      <c r="K416" s="194"/>
      <c r="L416" s="173"/>
      <c r="M416" s="171"/>
      <c r="N416" s="171"/>
      <c r="O416" s="194"/>
      <c r="P416" s="195"/>
      <c r="Q416" s="171"/>
      <c r="R416" s="171"/>
      <c r="S416" s="194"/>
      <c r="T416" s="195"/>
      <c r="U416" s="171"/>
      <c r="V416" s="171"/>
      <c r="W416" s="194"/>
      <c r="X416" s="195"/>
      <c r="Y416" s="171"/>
      <c r="Z416" s="171"/>
      <c r="AA416" s="194"/>
      <c r="AB416" s="195"/>
      <c r="AC416" s="171"/>
      <c r="AD416" s="171"/>
      <c r="AE416" s="194"/>
      <c r="AF416" s="195"/>
      <c r="AG416" s="171"/>
      <c r="AH416" s="171"/>
      <c r="AI416" s="194"/>
      <c r="AJ416" s="196"/>
    </row>
    <row r="417" spans="2:36">
      <c r="B417" s="166"/>
      <c r="C417" s="167"/>
      <c r="D417" s="171"/>
      <c r="E417" s="171"/>
      <c r="F417" s="171"/>
      <c r="G417" s="172"/>
      <c r="H417" s="173"/>
      <c r="I417" s="193"/>
      <c r="J417" s="171"/>
      <c r="K417" s="194"/>
      <c r="L417" s="173"/>
      <c r="M417" s="171"/>
      <c r="N417" s="171"/>
      <c r="O417" s="194"/>
      <c r="P417" s="195"/>
      <c r="Q417" s="171"/>
      <c r="R417" s="171"/>
      <c r="S417" s="194"/>
      <c r="T417" s="195"/>
      <c r="U417" s="171"/>
      <c r="V417" s="171"/>
      <c r="W417" s="194"/>
      <c r="X417" s="195"/>
      <c r="Y417" s="171"/>
      <c r="Z417" s="171"/>
      <c r="AA417" s="194"/>
      <c r="AB417" s="195"/>
      <c r="AC417" s="171"/>
      <c r="AD417" s="171"/>
      <c r="AE417" s="194"/>
      <c r="AF417" s="195"/>
      <c r="AG417" s="171"/>
      <c r="AH417" s="171"/>
      <c r="AI417" s="194"/>
      <c r="AJ417" s="196"/>
    </row>
    <row r="418" spans="2:36">
      <c r="B418" s="166"/>
      <c r="C418" s="167"/>
      <c r="D418" s="171"/>
      <c r="E418" s="171"/>
      <c r="F418" s="171"/>
      <c r="G418" s="172"/>
      <c r="H418" s="173"/>
      <c r="I418" s="193"/>
      <c r="J418" s="171"/>
      <c r="K418" s="194"/>
      <c r="L418" s="173"/>
      <c r="M418" s="171"/>
      <c r="N418" s="171"/>
      <c r="O418" s="194"/>
      <c r="P418" s="195"/>
      <c r="Q418" s="171"/>
      <c r="R418" s="171"/>
      <c r="S418" s="194"/>
      <c r="T418" s="195"/>
      <c r="U418" s="171"/>
      <c r="V418" s="171"/>
      <c r="W418" s="194"/>
      <c r="X418" s="195"/>
      <c r="Y418" s="171"/>
      <c r="Z418" s="171"/>
      <c r="AA418" s="194"/>
      <c r="AB418" s="195"/>
      <c r="AC418" s="171"/>
      <c r="AD418" s="171"/>
      <c r="AE418" s="194"/>
      <c r="AF418" s="195"/>
      <c r="AG418" s="171"/>
      <c r="AH418" s="171"/>
      <c r="AI418" s="194"/>
      <c r="AJ418" s="196"/>
    </row>
    <row r="419" spans="2:36">
      <c r="B419" s="166"/>
      <c r="C419" s="167"/>
      <c r="D419" s="171"/>
      <c r="E419" s="171"/>
      <c r="F419" s="171"/>
      <c r="G419" s="172"/>
      <c r="H419" s="173"/>
      <c r="I419" s="193"/>
      <c r="J419" s="171"/>
      <c r="K419" s="194"/>
      <c r="L419" s="173"/>
      <c r="M419" s="171"/>
      <c r="N419" s="171"/>
      <c r="O419" s="194"/>
      <c r="P419" s="195"/>
      <c r="Q419" s="171"/>
      <c r="R419" s="171"/>
      <c r="S419" s="194"/>
      <c r="T419" s="195"/>
      <c r="U419" s="171"/>
      <c r="V419" s="171"/>
      <c r="W419" s="194"/>
      <c r="X419" s="195"/>
      <c r="Y419" s="171"/>
      <c r="Z419" s="171"/>
      <c r="AA419" s="194"/>
      <c r="AB419" s="195"/>
      <c r="AC419" s="171"/>
      <c r="AD419" s="171"/>
      <c r="AE419" s="194"/>
      <c r="AF419" s="195"/>
      <c r="AG419" s="171"/>
      <c r="AH419" s="171"/>
      <c r="AI419" s="194"/>
      <c r="AJ419" s="196"/>
    </row>
    <row r="420" spans="2:36">
      <c r="B420" s="166"/>
      <c r="C420" s="167"/>
      <c r="D420" s="171"/>
      <c r="E420" s="171"/>
      <c r="F420" s="171"/>
      <c r="G420" s="172"/>
      <c r="H420" s="173"/>
      <c r="I420" s="193"/>
      <c r="J420" s="171"/>
      <c r="K420" s="194"/>
      <c r="L420" s="173"/>
      <c r="M420" s="171"/>
      <c r="N420" s="171"/>
      <c r="O420" s="194"/>
      <c r="P420" s="195"/>
      <c r="Q420" s="171"/>
      <c r="R420" s="171"/>
      <c r="S420" s="194"/>
      <c r="T420" s="195"/>
      <c r="U420" s="171"/>
      <c r="V420" s="171"/>
      <c r="W420" s="194"/>
      <c r="X420" s="195"/>
      <c r="Y420" s="171"/>
      <c r="Z420" s="171"/>
      <c r="AA420" s="194"/>
      <c r="AB420" s="195"/>
      <c r="AC420" s="171"/>
      <c r="AD420" s="171"/>
      <c r="AE420" s="194"/>
      <c r="AF420" s="195"/>
      <c r="AG420" s="171"/>
      <c r="AH420" s="171"/>
      <c r="AI420" s="194"/>
      <c r="AJ420" s="196"/>
    </row>
    <row r="421" spans="2:36">
      <c r="B421" s="166"/>
      <c r="C421" s="167"/>
      <c r="D421" s="171"/>
      <c r="E421" s="171"/>
      <c r="F421" s="171"/>
      <c r="G421" s="172"/>
      <c r="H421" s="173"/>
      <c r="I421" s="193"/>
      <c r="J421" s="171"/>
      <c r="K421" s="194"/>
      <c r="L421" s="173"/>
      <c r="M421" s="171"/>
      <c r="N421" s="171"/>
      <c r="O421" s="194"/>
      <c r="P421" s="195"/>
      <c r="Q421" s="171"/>
      <c r="R421" s="171"/>
      <c r="S421" s="194"/>
      <c r="T421" s="195"/>
      <c r="U421" s="171"/>
      <c r="V421" s="171"/>
      <c r="W421" s="194"/>
      <c r="X421" s="195"/>
      <c r="Y421" s="171"/>
      <c r="Z421" s="171"/>
      <c r="AA421" s="194"/>
      <c r="AB421" s="195"/>
      <c r="AC421" s="171"/>
      <c r="AD421" s="171"/>
      <c r="AE421" s="194"/>
      <c r="AF421" s="195"/>
      <c r="AG421" s="171"/>
      <c r="AH421" s="171"/>
      <c r="AI421" s="194"/>
      <c r="AJ421" s="196"/>
    </row>
    <row r="422" spans="2:36">
      <c r="B422" s="166"/>
      <c r="C422" s="167"/>
      <c r="D422" s="171"/>
      <c r="E422" s="171"/>
      <c r="F422" s="171"/>
      <c r="G422" s="172"/>
      <c r="H422" s="173"/>
      <c r="I422" s="193"/>
      <c r="J422" s="171"/>
      <c r="K422" s="194"/>
      <c r="L422" s="173"/>
      <c r="M422" s="171"/>
      <c r="N422" s="171"/>
      <c r="O422" s="194"/>
      <c r="P422" s="195"/>
      <c r="Q422" s="171"/>
      <c r="R422" s="171"/>
      <c r="S422" s="194"/>
      <c r="T422" s="195"/>
      <c r="U422" s="171"/>
      <c r="V422" s="171"/>
      <c r="W422" s="194"/>
      <c r="X422" s="195"/>
      <c r="Y422" s="171"/>
      <c r="Z422" s="171"/>
      <c r="AA422" s="194"/>
      <c r="AB422" s="195"/>
      <c r="AC422" s="171"/>
      <c r="AD422" s="171"/>
      <c r="AE422" s="194"/>
      <c r="AF422" s="195"/>
      <c r="AG422" s="171"/>
      <c r="AH422" s="171"/>
      <c r="AI422" s="194"/>
      <c r="AJ422" s="196"/>
    </row>
    <row r="423" spans="2:36">
      <c r="B423" s="166"/>
      <c r="C423" s="167"/>
      <c r="D423" s="171"/>
      <c r="E423" s="171"/>
      <c r="F423" s="171"/>
      <c r="G423" s="172"/>
      <c r="H423" s="173"/>
      <c r="I423" s="193"/>
      <c r="J423" s="171"/>
      <c r="K423" s="194"/>
      <c r="L423" s="173"/>
      <c r="M423" s="171"/>
      <c r="N423" s="171"/>
      <c r="O423" s="194"/>
      <c r="P423" s="195"/>
      <c r="Q423" s="171"/>
      <c r="R423" s="171"/>
      <c r="S423" s="194"/>
      <c r="T423" s="195"/>
      <c r="U423" s="171"/>
      <c r="V423" s="171"/>
      <c r="W423" s="194"/>
      <c r="X423" s="195"/>
      <c r="Y423" s="171"/>
      <c r="Z423" s="171"/>
      <c r="AA423" s="194"/>
      <c r="AB423" s="195"/>
      <c r="AC423" s="171"/>
      <c r="AD423" s="171"/>
      <c r="AE423" s="194"/>
      <c r="AF423" s="195"/>
      <c r="AG423" s="171"/>
      <c r="AH423" s="171"/>
      <c r="AI423" s="194"/>
      <c r="AJ423" s="196"/>
    </row>
    <row r="424" spans="2:36">
      <c r="B424" s="166"/>
      <c r="C424" s="167"/>
      <c r="D424" s="171"/>
      <c r="E424" s="171"/>
      <c r="F424" s="171"/>
      <c r="G424" s="172"/>
      <c r="H424" s="173"/>
      <c r="I424" s="193"/>
      <c r="J424" s="171"/>
      <c r="K424" s="194"/>
      <c r="L424" s="173"/>
      <c r="M424" s="171"/>
      <c r="N424" s="171"/>
      <c r="O424" s="194"/>
      <c r="P424" s="195"/>
      <c r="Q424" s="171"/>
      <c r="R424" s="171"/>
      <c r="S424" s="194"/>
      <c r="T424" s="195"/>
      <c r="U424" s="171"/>
      <c r="V424" s="171"/>
      <c r="W424" s="194"/>
      <c r="X424" s="195"/>
      <c r="Y424" s="171"/>
      <c r="Z424" s="171"/>
      <c r="AA424" s="194"/>
      <c r="AB424" s="195"/>
      <c r="AC424" s="171"/>
      <c r="AD424" s="171"/>
      <c r="AE424" s="194"/>
      <c r="AF424" s="195"/>
      <c r="AG424" s="171"/>
      <c r="AH424" s="171"/>
      <c r="AI424" s="194"/>
      <c r="AJ424" s="196"/>
    </row>
    <row r="425" spans="2:36">
      <c r="B425" s="166"/>
      <c r="C425" s="167"/>
      <c r="D425" s="171"/>
      <c r="E425" s="171"/>
      <c r="F425" s="171"/>
      <c r="G425" s="172"/>
      <c r="H425" s="173"/>
      <c r="I425" s="193"/>
      <c r="J425" s="171"/>
      <c r="K425" s="194"/>
      <c r="L425" s="173"/>
      <c r="M425" s="171"/>
      <c r="N425" s="171"/>
      <c r="O425" s="194"/>
      <c r="P425" s="195"/>
      <c r="Q425" s="171"/>
      <c r="R425" s="171"/>
      <c r="S425" s="194"/>
      <c r="T425" s="195"/>
      <c r="U425" s="171"/>
      <c r="V425" s="171"/>
      <c r="W425" s="194"/>
      <c r="X425" s="195"/>
      <c r="Y425" s="171"/>
      <c r="Z425" s="171"/>
      <c r="AA425" s="194"/>
      <c r="AB425" s="195"/>
      <c r="AC425" s="171"/>
      <c r="AD425" s="171"/>
      <c r="AE425" s="194"/>
      <c r="AF425" s="195"/>
      <c r="AG425" s="171"/>
      <c r="AH425" s="171"/>
      <c r="AI425" s="194"/>
      <c r="AJ425" s="196"/>
    </row>
    <row r="426" spans="2:36">
      <c r="B426" s="166"/>
      <c r="C426" s="167"/>
      <c r="D426" s="171"/>
      <c r="E426" s="171"/>
      <c r="F426" s="171"/>
      <c r="G426" s="172"/>
      <c r="H426" s="173"/>
      <c r="I426" s="193"/>
      <c r="J426" s="171"/>
      <c r="K426" s="194"/>
      <c r="L426" s="173"/>
      <c r="M426" s="171"/>
      <c r="N426" s="171"/>
      <c r="O426" s="194"/>
      <c r="P426" s="195"/>
      <c r="Q426" s="171"/>
      <c r="R426" s="171"/>
      <c r="S426" s="194"/>
      <c r="T426" s="195"/>
      <c r="U426" s="171"/>
      <c r="V426" s="171"/>
      <c r="W426" s="194"/>
      <c r="X426" s="195"/>
      <c r="Y426" s="171"/>
      <c r="Z426" s="171"/>
      <c r="AA426" s="194"/>
      <c r="AB426" s="195"/>
      <c r="AC426" s="171"/>
      <c r="AD426" s="171"/>
      <c r="AE426" s="194"/>
      <c r="AF426" s="195"/>
      <c r="AG426" s="171"/>
      <c r="AH426" s="171"/>
      <c r="AI426" s="194"/>
      <c r="AJ426" s="196"/>
    </row>
    <row r="427" spans="2:36">
      <c r="B427" s="166"/>
      <c r="C427" s="167"/>
      <c r="D427" s="171"/>
      <c r="E427" s="171"/>
      <c r="F427" s="171"/>
      <c r="G427" s="172"/>
      <c r="H427" s="173"/>
      <c r="I427" s="193"/>
      <c r="J427" s="171"/>
      <c r="K427" s="194"/>
      <c r="L427" s="173"/>
      <c r="M427" s="171"/>
      <c r="N427" s="171"/>
      <c r="O427" s="194"/>
      <c r="P427" s="195"/>
      <c r="Q427" s="171"/>
      <c r="R427" s="171"/>
      <c r="S427" s="194"/>
      <c r="T427" s="195"/>
      <c r="U427" s="171"/>
      <c r="V427" s="171"/>
      <c r="W427" s="194"/>
      <c r="X427" s="195"/>
      <c r="Y427" s="171"/>
      <c r="Z427" s="171"/>
      <c r="AA427" s="194"/>
      <c r="AB427" s="195"/>
      <c r="AC427" s="171"/>
      <c r="AD427" s="171"/>
      <c r="AE427" s="194"/>
      <c r="AF427" s="195"/>
      <c r="AG427" s="171"/>
      <c r="AH427" s="171"/>
      <c r="AI427" s="194"/>
      <c r="AJ427" s="196"/>
    </row>
    <row r="428" spans="2:36">
      <c r="B428" s="166"/>
      <c r="C428" s="167"/>
      <c r="D428" s="171"/>
      <c r="E428" s="171"/>
      <c r="F428" s="171"/>
      <c r="G428" s="172"/>
      <c r="H428" s="173"/>
      <c r="I428" s="193"/>
      <c r="J428" s="171"/>
      <c r="K428" s="194"/>
      <c r="L428" s="173"/>
      <c r="M428" s="171"/>
      <c r="N428" s="171"/>
      <c r="O428" s="194"/>
      <c r="P428" s="195"/>
      <c r="Q428" s="171"/>
      <c r="R428" s="171"/>
      <c r="S428" s="194"/>
      <c r="T428" s="195"/>
      <c r="U428" s="171"/>
      <c r="V428" s="171"/>
      <c r="W428" s="194"/>
      <c r="X428" s="195"/>
      <c r="Y428" s="171"/>
      <c r="Z428" s="171"/>
      <c r="AA428" s="194"/>
      <c r="AB428" s="195"/>
      <c r="AC428" s="171"/>
      <c r="AD428" s="171"/>
      <c r="AE428" s="194"/>
      <c r="AF428" s="195"/>
      <c r="AG428" s="171"/>
      <c r="AH428" s="171"/>
      <c r="AI428" s="194"/>
      <c r="AJ428" s="196"/>
    </row>
    <row r="429" spans="2:36">
      <c r="B429" s="166"/>
      <c r="C429" s="167"/>
      <c r="D429" s="171"/>
      <c r="E429" s="171"/>
      <c r="F429" s="171"/>
      <c r="G429" s="172"/>
      <c r="H429" s="173"/>
      <c r="I429" s="193"/>
      <c r="J429" s="171"/>
      <c r="K429" s="194"/>
      <c r="L429" s="173"/>
      <c r="M429" s="171"/>
      <c r="N429" s="171"/>
      <c r="O429" s="194"/>
      <c r="P429" s="195"/>
      <c r="Q429" s="171"/>
      <c r="R429" s="171"/>
      <c r="S429" s="194"/>
      <c r="T429" s="195"/>
      <c r="U429" s="171"/>
      <c r="V429" s="171"/>
      <c r="W429" s="194"/>
      <c r="X429" s="195"/>
      <c r="Y429" s="171"/>
      <c r="Z429" s="171"/>
      <c r="AA429" s="194"/>
      <c r="AB429" s="195"/>
      <c r="AC429" s="171"/>
      <c r="AD429" s="171"/>
      <c r="AE429" s="194"/>
      <c r="AF429" s="195"/>
      <c r="AG429" s="171"/>
      <c r="AH429" s="171"/>
      <c r="AI429" s="194"/>
      <c r="AJ429" s="196"/>
    </row>
    <row r="430" spans="2:36">
      <c r="B430" s="166"/>
      <c r="C430" s="167"/>
      <c r="D430" s="171"/>
      <c r="E430" s="171"/>
      <c r="F430" s="171"/>
      <c r="G430" s="172"/>
      <c r="H430" s="173"/>
      <c r="I430" s="193"/>
      <c r="J430" s="171"/>
      <c r="K430" s="194"/>
      <c r="L430" s="173"/>
      <c r="M430" s="171"/>
      <c r="N430" s="171"/>
      <c r="O430" s="194"/>
      <c r="P430" s="195"/>
      <c r="Q430" s="171"/>
      <c r="R430" s="171"/>
      <c r="S430" s="194"/>
      <c r="T430" s="195"/>
      <c r="U430" s="171"/>
      <c r="V430" s="171"/>
      <c r="W430" s="194"/>
      <c r="X430" s="195"/>
      <c r="Y430" s="171"/>
      <c r="Z430" s="171"/>
      <c r="AA430" s="194"/>
      <c r="AB430" s="195"/>
      <c r="AC430" s="171"/>
      <c r="AD430" s="171"/>
      <c r="AE430" s="194"/>
      <c r="AF430" s="195"/>
      <c r="AG430" s="171"/>
      <c r="AH430" s="171"/>
      <c r="AI430" s="194"/>
      <c r="AJ430" s="196"/>
    </row>
    <row r="431" spans="2:36">
      <c r="B431" s="166"/>
      <c r="C431" s="167"/>
      <c r="D431" s="171"/>
      <c r="E431" s="171"/>
      <c r="F431" s="171"/>
      <c r="G431" s="172"/>
      <c r="H431" s="173"/>
      <c r="I431" s="193"/>
      <c r="J431" s="171"/>
      <c r="K431" s="194"/>
      <c r="L431" s="173"/>
      <c r="M431" s="171"/>
      <c r="N431" s="171"/>
      <c r="O431" s="194"/>
      <c r="P431" s="195"/>
      <c r="Q431" s="171"/>
      <c r="R431" s="171"/>
      <c r="S431" s="194"/>
      <c r="T431" s="195"/>
      <c r="U431" s="171"/>
      <c r="V431" s="171"/>
      <c r="W431" s="194"/>
      <c r="X431" s="195"/>
      <c r="Y431" s="171"/>
      <c r="Z431" s="171"/>
      <c r="AA431" s="194"/>
      <c r="AB431" s="195"/>
      <c r="AC431" s="171"/>
      <c r="AD431" s="171"/>
      <c r="AE431" s="194"/>
      <c r="AF431" s="195"/>
      <c r="AG431" s="171"/>
      <c r="AH431" s="171"/>
      <c r="AI431" s="194"/>
      <c r="AJ431" s="196"/>
    </row>
    <row r="432" spans="2:36">
      <c r="B432" s="166"/>
      <c r="C432" s="167"/>
      <c r="D432" s="171"/>
      <c r="E432" s="171"/>
      <c r="F432" s="171"/>
      <c r="G432" s="172"/>
      <c r="H432" s="173"/>
      <c r="I432" s="193"/>
      <c r="J432" s="171"/>
      <c r="K432" s="194"/>
      <c r="L432" s="173"/>
      <c r="M432" s="171"/>
      <c r="N432" s="171"/>
      <c r="O432" s="194"/>
      <c r="P432" s="195"/>
      <c r="Q432" s="171"/>
      <c r="R432" s="171"/>
      <c r="S432" s="194"/>
      <c r="T432" s="195"/>
      <c r="U432" s="171"/>
      <c r="V432" s="171"/>
      <c r="W432" s="194"/>
      <c r="X432" s="195"/>
      <c r="Y432" s="171"/>
      <c r="Z432" s="171"/>
      <c r="AA432" s="194"/>
      <c r="AB432" s="195"/>
      <c r="AC432" s="171"/>
      <c r="AD432" s="171"/>
      <c r="AE432" s="194"/>
      <c r="AF432" s="195"/>
      <c r="AG432" s="171"/>
      <c r="AH432" s="171"/>
      <c r="AI432" s="194"/>
      <c r="AJ432" s="196"/>
    </row>
    <row r="433" spans="2:36">
      <c r="B433" s="166"/>
      <c r="C433" s="167"/>
      <c r="D433" s="171"/>
      <c r="E433" s="171"/>
      <c r="F433" s="171"/>
      <c r="G433" s="172"/>
      <c r="H433" s="173"/>
      <c r="I433" s="193"/>
      <c r="J433" s="171"/>
      <c r="K433" s="194"/>
      <c r="L433" s="173"/>
      <c r="M433" s="171"/>
      <c r="N433" s="171"/>
      <c r="O433" s="194"/>
      <c r="P433" s="195"/>
      <c r="Q433" s="171"/>
      <c r="R433" s="171"/>
      <c r="S433" s="194"/>
      <c r="T433" s="195"/>
      <c r="U433" s="171"/>
      <c r="V433" s="171"/>
      <c r="W433" s="194"/>
      <c r="X433" s="195"/>
      <c r="Y433" s="171"/>
      <c r="Z433" s="171"/>
      <c r="AA433" s="194"/>
      <c r="AB433" s="195"/>
      <c r="AC433" s="171"/>
      <c r="AD433" s="171"/>
      <c r="AE433" s="194"/>
      <c r="AF433" s="195"/>
      <c r="AG433" s="171"/>
      <c r="AH433" s="171"/>
      <c r="AI433" s="194"/>
      <c r="AJ433" s="196"/>
    </row>
    <row r="434" spans="2:36">
      <c r="B434" s="166"/>
      <c r="C434" s="167"/>
      <c r="D434" s="171"/>
      <c r="E434" s="171"/>
      <c r="F434" s="171"/>
      <c r="G434" s="172"/>
      <c r="H434" s="173"/>
      <c r="I434" s="193"/>
      <c r="J434" s="171"/>
      <c r="K434" s="194"/>
      <c r="L434" s="173"/>
      <c r="M434" s="171"/>
      <c r="N434" s="171"/>
      <c r="O434" s="194"/>
      <c r="P434" s="195"/>
      <c r="Q434" s="171"/>
      <c r="R434" s="171"/>
      <c r="S434" s="194"/>
      <c r="T434" s="195"/>
      <c r="U434" s="171"/>
      <c r="V434" s="171"/>
      <c r="W434" s="194"/>
      <c r="X434" s="195"/>
      <c r="Y434" s="171"/>
      <c r="Z434" s="171"/>
      <c r="AA434" s="194"/>
      <c r="AB434" s="195"/>
      <c r="AC434" s="171"/>
      <c r="AD434" s="171"/>
      <c r="AE434" s="194"/>
      <c r="AF434" s="195"/>
      <c r="AG434" s="171"/>
      <c r="AH434" s="171"/>
      <c r="AI434" s="194"/>
      <c r="AJ434" s="196"/>
    </row>
    <row r="435" spans="2:36">
      <c r="B435" s="166"/>
      <c r="C435" s="167"/>
      <c r="D435" s="171"/>
      <c r="E435" s="171"/>
      <c r="F435" s="171"/>
      <c r="G435" s="172"/>
      <c r="H435" s="173"/>
      <c r="I435" s="193"/>
      <c r="J435" s="171"/>
      <c r="K435" s="194"/>
      <c r="L435" s="173"/>
      <c r="M435" s="171"/>
      <c r="N435" s="171"/>
      <c r="O435" s="194"/>
      <c r="P435" s="195"/>
      <c r="Q435" s="171"/>
      <c r="R435" s="171"/>
      <c r="S435" s="194"/>
      <c r="T435" s="195"/>
      <c r="U435" s="171"/>
      <c r="V435" s="171"/>
      <c r="W435" s="194"/>
      <c r="X435" s="195"/>
      <c r="Y435" s="171"/>
      <c r="Z435" s="171"/>
      <c r="AA435" s="194"/>
      <c r="AB435" s="195"/>
      <c r="AC435" s="171"/>
      <c r="AD435" s="171"/>
      <c r="AE435" s="194"/>
      <c r="AF435" s="195"/>
      <c r="AG435" s="171"/>
      <c r="AH435" s="171"/>
      <c r="AI435" s="194"/>
      <c r="AJ435" s="196"/>
    </row>
    <row r="436" spans="2:36">
      <c r="B436" s="166"/>
      <c r="C436" s="167"/>
      <c r="D436" s="171"/>
      <c r="E436" s="171"/>
      <c r="F436" s="171"/>
      <c r="G436" s="172"/>
      <c r="H436" s="173"/>
      <c r="I436" s="193"/>
      <c r="J436" s="171"/>
      <c r="K436" s="194"/>
      <c r="L436" s="173"/>
      <c r="M436" s="171"/>
      <c r="N436" s="171"/>
      <c r="O436" s="194"/>
      <c r="P436" s="195"/>
      <c r="Q436" s="171"/>
      <c r="R436" s="171"/>
      <c r="S436" s="194"/>
      <c r="T436" s="195"/>
      <c r="U436" s="171"/>
      <c r="V436" s="171"/>
      <c r="W436" s="194"/>
      <c r="X436" s="195"/>
      <c r="Y436" s="171"/>
      <c r="Z436" s="171"/>
      <c r="AA436" s="194"/>
      <c r="AB436" s="195"/>
      <c r="AC436" s="171"/>
      <c r="AD436" s="171"/>
      <c r="AE436" s="194"/>
      <c r="AF436" s="195"/>
      <c r="AG436" s="171"/>
      <c r="AH436" s="171"/>
      <c r="AI436" s="194"/>
      <c r="AJ436" s="196"/>
    </row>
    <row r="437" spans="2:36">
      <c r="B437" s="166"/>
      <c r="C437" s="167"/>
      <c r="D437" s="171"/>
      <c r="E437" s="171"/>
      <c r="F437" s="171"/>
      <c r="G437" s="172"/>
      <c r="H437" s="173"/>
      <c r="I437" s="193"/>
      <c r="J437" s="171"/>
      <c r="K437" s="194"/>
      <c r="L437" s="173"/>
      <c r="M437" s="171"/>
      <c r="N437" s="171"/>
      <c r="O437" s="194"/>
      <c r="P437" s="195"/>
      <c r="Q437" s="171"/>
      <c r="R437" s="171"/>
      <c r="S437" s="194"/>
      <c r="T437" s="195"/>
      <c r="U437" s="171"/>
      <c r="V437" s="171"/>
      <c r="W437" s="194"/>
      <c r="X437" s="195"/>
      <c r="Y437" s="171"/>
      <c r="Z437" s="171"/>
      <c r="AA437" s="194"/>
      <c r="AB437" s="195"/>
      <c r="AC437" s="171"/>
      <c r="AD437" s="171"/>
      <c r="AE437" s="194"/>
      <c r="AF437" s="195"/>
      <c r="AG437" s="171"/>
      <c r="AH437" s="171"/>
      <c r="AI437" s="194"/>
      <c r="AJ437" s="196"/>
    </row>
    <row r="438" spans="2:36">
      <c r="B438" s="166"/>
      <c r="C438" s="167"/>
      <c r="D438" s="171"/>
      <c r="E438" s="171"/>
      <c r="F438" s="171"/>
      <c r="G438" s="172"/>
      <c r="H438" s="173"/>
      <c r="I438" s="193"/>
      <c r="J438" s="171"/>
      <c r="K438" s="194"/>
      <c r="L438" s="173"/>
      <c r="M438" s="171"/>
      <c r="N438" s="171"/>
      <c r="O438" s="194"/>
      <c r="P438" s="195"/>
      <c r="Q438" s="171"/>
      <c r="R438" s="171"/>
      <c r="S438" s="194"/>
      <c r="T438" s="195"/>
      <c r="U438" s="171"/>
      <c r="V438" s="171"/>
      <c r="W438" s="194"/>
      <c r="X438" s="195"/>
      <c r="Y438" s="171"/>
      <c r="Z438" s="171"/>
      <c r="AA438" s="194"/>
      <c r="AB438" s="195"/>
      <c r="AC438" s="171"/>
      <c r="AD438" s="171"/>
      <c r="AE438" s="194"/>
      <c r="AF438" s="195"/>
      <c r="AG438" s="171"/>
      <c r="AH438" s="171"/>
      <c r="AI438" s="194"/>
      <c r="AJ438" s="196"/>
    </row>
    <row r="439" spans="2:36">
      <c r="B439" s="166"/>
      <c r="C439" s="167"/>
      <c r="D439" s="171"/>
      <c r="E439" s="171"/>
      <c r="F439" s="171"/>
      <c r="G439" s="172"/>
      <c r="H439" s="173"/>
      <c r="I439" s="193"/>
      <c r="J439" s="171"/>
      <c r="K439" s="194"/>
      <c r="L439" s="173"/>
      <c r="M439" s="171"/>
      <c r="N439" s="171"/>
      <c r="O439" s="194"/>
      <c r="P439" s="195"/>
      <c r="Q439" s="171"/>
      <c r="R439" s="171"/>
      <c r="S439" s="194"/>
      <c r="T439" s="195"/>
      <c r="U439" s="171"/>
      <c r="V439" s="171"/>
      <c r="W439" s="194"/>
      <c r="X439" s="195"/>
      <c r="Y439" s="171"/>
      <c r="Z439" s="171"/>
      <c r="AA439" s="194"/>
      <c r="AB439" s="195"/>
      <c r="AC439" s="171"/>
      <c r="AD439" s="171"/>
      <c r="AE439" s="194"/>
      <c r="AF439" s="195"/>
      <c r="AG439" s="171"/>
      <c r="AH439" s="171"/>
      <c r="AI439" s="194"/>
      <c r="AJ439" s="196"/>
    </row>
    <row r="440" spans="2:36">
      <c r="B440" s="166"/>
      <c r="C440" s="167"/>
      <c r="D440" s="171"/>
      <c r="E440" s="171"/>
      <c r="F440" s="171"/>
      <c r="G440" s="172"/>
      <c r="H440" s="173"/>
      <c r="I440" s="193"/>
      <c r="J440" s="171"/>
      <c r="K440" s="194"/>
      <c r="L440" s="173"/>
      <c r="M440" s="171"/>
      <c r="N440" s="171"/>
      <c r="O440" s="194"/>
      <c r="P440" s="195"/>
      <c r="Q440" s="171"/>
      <c r="R440" s="171"/>
      <c r="S440" s="194"/>
      <c r="T440" s="195"/>
      <c r="U440" s="171"/>
      <c r="V440" s="171"/>
      <c r="W440" s="194"/>
      <c r="X440" s="195"/>
      <c r="Y440" s="171"/>
      <c r="Z440" s="171"/>
      <c r="AA440" s="194"/>
      <c r="AB440" s="195"/>
      <c r="AC440" s="171"/>
      <c r="AD440" s="171"/>
      <c r="AE440" s="194"/>
      <c r="AF440" s="195"/>
      <c r="AG440" s="171"/>
      <c r="AH440" s="171"/>
      <c r="AI440" s="194"/>
      <c r="AJ440" s="196"/>
    </row>
    <row r="441" spans="2:36">
      <c r="B441" s="166"/>
      <c r="C441" s="167"/>
      <c r="D441" s="171"/>
      <c r="E441" s="171"/>
      <c r="F441" s="171"/>
      <c r="G441" s="172"/>
      <c r="H441" s="173"/>
      <c r="I441" s="193"/>
      <c r="J441" s="171"/>
      <c r="K441" s="194"/>
      <c r="L441" s="173"/>
      <c r="M441" s="171"/>
      <c r="N441" s="171"/>
      <c r="O441" s="194"/>
      <c r="P441" s="195"/>
      <c r="Q441" s="171"/>
      <c r="R441" s="171"/>
      <c r="S441" s="194"/>
      <c r="T441" s="195"/>
      <c r="U441" s="171"/>
      <c r="V441" s="171"/>
      <c r="W441" s="194"/>
      <c r="X441" s="195"/>
      <c r="Y441" s="171"/>
      <c r="Z441" s="171"/>
      <c r="AA441" s="194"/>
      <c r="AB441" s="195"/>
      <c r="AC441" s="171"/>
      <c r="AD441" s="171"/>
      <c r="AE441" s="194"/>
      <c r="AF441" s="195"/>
      <c r="AG441" s="171"/>
      <c r="AH441" s="171"/>
      <c r="AI441" s="194"/>
      <c r="AJ441" s="196"/>
    </row>
    <row r="442" spans="2:36">
      <c r="B442" s="166"/>
      <c r="C442" s="167"/>
      <c r="D442" s="171"/>
      <c r="E442" s="171"/>
      <c r="F442" s="171"/>
      <c r="G442" s="172"/>
      <c r="H442" s="173"/>
      <c r="I442" s="193"/>
      <c r="J442" s="171"/>
      <c r="K442" s="194"/>
      <c r="L442" s="173"/>
      <c r="M442" s="171"/>
      <c r="N442" s="171"/>
      <c r="O442" s="194"/>
      <c r="P442" s="195"/>
      <c r="Q442" s="171"/>
      <c r="R442" s="171"/>
      <c r="S442" s="194"/>
      <c r="T442" s="195"/>
      <c r="U442" s="171"/>
      <c r="V442" s="171"/>
      <c r="W442" s="194"/>
      <c r="X442" s="195"/>
      <c r="Y442" s="171"/>
      <c r="Z442" s="171"/>
      <c r="AA442" s="194"/>
      <c r="AB442" s="195"/>
      <c r="AC442" s="171"/>
      <c r="AD442" s="171"/>
      <c r="AE442" s="194"/>
      <c r="AF442" s="195"/>
      <c r="AG442" s="171"/>
      <c r="AH442" s="171"/>
      <c r="AI442" s="194"/>
      <c r="AJ442" s="196"/>
    </row>
    <row r="443" spans="2:36">
      <c r="B443" s="166"/>
      <c r="C443" s="167"/>
      <c r="D443" s="171"/>
      <c r="E443" s="171"/>
      <c r="F443" s="171"/>
      <c r="G443" s="172"/>
      <c r="H443" s="173"/>
      <c r="I443" s="193"/>
      <c r="J443" s="171"/>
      <c r="K443" s="194"/>
      <c r="L443" s="173"/>
      <c r="M443" s="171"/>
      <c r="N443" s="171"/>
      <c r="O443" s="194"/>
      <c r="P443" s="195"/>
      <c r="Q443" s="171"/>
      <c r="R443" s="171"/>
      <c r="S443" s="194"/>
      <c r="T443" s="195"/>
      <c r="U443" s="171"/>
      <c r="V443" s="171"/>
      <c r="W443" s="194"/>
      <c r="X443" s="195"/>
      <c r="Y443" s="171"/>
      <c r="Z443" s="171"/>
      <c r="AA443" s="194"/>
      <c r="AB443" s="195"/>
      <c r="AC443" s="171"/>
      <c r="AD443" s="171"/>
      <c r="AE443" s="194"/>
      <c r="AF443" s="195"/>
      <c r="AG443" s="171"/>
      <c r="AH443" s="171"/>
      <c r="AI443" s="194"/>
      <c r="AJ443" s="196"/>
    </row>
    <row r="444" spans="2:36">
      <c r="B444" s="166"/>
      <c r="C444" s="167"/>
      <c r="D444" s="171"/>
      <c r="E444" s="171"/>
      <c r="F444" s="171"/>
      <c r="G444" s="172"/>
      <c r="H444" s="173"/>
      <c r="I444" s="193"/>
      <c r="J444" s="171"/>
      <c r="K444" s="194"/>
      <c r="L444" s="173"/>
      <c r="M444" s="171"/>
      <c r="N444" s="171"/>
      <c r="O444" s="194"/>
      <c r="P444" s="195"/>
      <c r="Q444" s="171"/>
      <c r="R444" s="171"/>
      <c r="S444" s="194"/>
      <c r="T444" s="195"/>
      <c r="U444" s="171"/>
      <c r="V444" s="171"/>
      <c r="W444" s="194"/>
      <c r="X444" s="195"/>
      <c r="Y444" s="171"/>
      <c r="Z444" s="171"/>
      <c r="AA444" s="194"/>
      <c r="AB444" s="195"/>
      <c r="AC444" s="171"/>
      <c r="AD444" s="171"/>
      <c r="AE444" s="194"/>
      <c r="AF444" s="195"/>
      <c r="AG444" s="171"/>
      <c r="AH444" s="171"/>
      <c r="AI444" s="194"/>
      <c r="AJ444" s="196"/>
    </row>
    <row r="445" spans="2:36">
      <c r="B445" s="166"/>
      <c r="C445" s="167"/>
      <c r="D445" s="171"/>
      <c r="E445" s="171"/>
      <c r="F445" s="171"/>
      <c r="G445" s="172"/>
      <c r="H445" s="173"/>
      <c r="I445" s="193"/>
      <c r="J445" s="171"/>
      <c r="K445" s="194"/>
      <c r="L445" s="173"/>
      <c r="M445" s="171"/>
      <c r="N445" s="171"/>
      <c r="O445" s="194"/>
      <c r="P445" s="195"/>
      <c r="Q445" s="171"/>
      <c r="R445" s="171"/>
      <c r="S445" s="194"/>
      <c r="T445" s="195"/>
      <c r="U445" s="171"/>
      <c r="V445" s="171"/>
      <c r="W445" s="194"/>
      <c r="X445" s="195"/>
      <c r="Y445" s="171"/>
      <c r="Z445" s="171"/>
      <c r="AA445" s="194"/>
      <c r="AB445" s="195"/>
      <c r="AC445" s="171"/>
      <c r="AD445" s="171"/>
      <c r="AE445" s="194"/>
      <c r="AF445" s="195"/>
      <c r="AG445" s="171"/>
      <c r="AH445" s="171"/>
      <c r="AI445" s="194"/>
      <c r="AJ445" s="196"/>
    </row>
    <row r="446" spans="2:36">
      <c r="B446" s="166"/>
      <c r="C446" s="167"/>
      <c r="D446" s="171"/>
      <c r="E446" s="171"/>
      <c r="F446" s="171"/>
      <c r="G446" s="172"/>
      <c r="H446" s="173"/>
      <c r="I446" s="193"/>
      <c r="J446" s="171"/>
      <c r="K446" s="194"/>
      <c r="L446" s="173"/>
      <c r="M446" s="171"/>
      <c r="N446" s="171"/>
      <c r="O446" s="194"/>
      <c r="P446" s="195"/>
      <c r="Q446" s="171"/>
      <c r="R446" s="171"/>
      <c r="S446" s="194"/>
      <c r="T446" s="195"/>
      <c r="U446" s="171"/>
      <c r="V446" s="171"/>
      <c r="W446" s="194"/>
      <c r="X446" s="195"/>
      <c r="Y446" s="171"/>
      <c r="Z446" s="171"/>
      <c r="AA446" s="194"/>
      <c r="AB446" s="195"/>
      <c r="AC446" s="171"/>
      <c r="AD446" s="171"/>
      <c r="AE446" s="194"/>
      <c r="AF446" s="195"/>
      <c r="AG446" s="171"/>
      <c r="AH446" s="171"/>
      <c r="AI446" s="194"/>
      <c r="AJ446" s="196"/>
    </row>
    <row r="447" spans="2:36">
      <c r="B447" s="166"/>
      <c r="C447" s="167"/>
      <c r="D447" s="171"/>
      <c r="E447" s="171"/>
      <c r="F447" s="171"/>
      <c r="G447" s="172"/>
      <c r="H447" s="173"/>
      <c r="I447" s="193"/>
      <c r="J447" s="171"/>
      <c r="K447" s="194"/>
      <c r="L447" s="173"/>
      <c r="M447" s="171"/>
      <c r="N447" s="171"/>
      <c r="O447" s="194"/>
      <c r="P447" s="195"/>
      <c r="Q447" s="171"/>
      <c r="R447" s="171"/>
      <c r="S447" s="194"/>
      <c r="T447" s="195"/>
      <c r="U447" s="171"/>
      <c r="V447" s="171"/>
      <c r="W447" s="194"/>
      <c r="X447" s="195"/>
      <c r="Y447" s="171"/>
      <c r="Z447" s="171"/>
      <c r="AA447" s="194"/>
      <c r="AB447" s="195"/>
      <c r="AC447" s="171"/>
      <c r="AD447" s="171"/>
      <c r="AE447" s="194"/>
      <c r="AF447" s="195"/>
      <c r="AG447" s="171"/>
      <c r="AH447" s="171"/>
      <c r="AI447" s="194"/>
      <c r="AJ447" s="196"/>
    </row>
    <row r="448" spans="2:36">
      <c r="B448" s="166"/>
      <c r="C448" s="167"/>
      <c r="D448" s="171"/>
      <c r="E448" s="171"/>
      <c r="F448" s="171"/>
      <c r="G448" s="172"/>
      <c r="H448" s="173"/>
      <c r="I448" s="193"/>
      <c r="J448" s="171"/>
      <c r="K448" s="194"/>
      <c r="L448" s="173"/>
      <c r="M448" s="171"/>
      <c r="N448" s="171"/>
      <c r="O448" s="194"/>
      <c r="P448" s="195"/>
      <c r="Q448" s="171"/>
      <c r="R448" s="171"/>
      <c r="S448" s="194"/>
      <c r="T448" s="195"/>
      <c r="U448" s="171"/>
      <c r="V448" s="171"/>
      <c r="W448" s="194"/>
      <c r="X448" s="195"/>
      <c r="Y448" s="171"/>
      <c r="Z448" s="171"/>
      <c r="AA448" s="194"/>
      <c r="AB448" s="195"/>
      <c r="AC448" s="171"/>
      <c r="AD448" s="171"/>
      <c r="AE448" s="194"/>
      <c r="AF448" s="195"/>
      <c r="AG448" s="171"/>
      <c r="AH448" s="171"/>
      <c r="AI448" s="194"/>
      <c r="AJ448" s="196"/>
    </row>
    <row r="449" spans="2:36">
      <c r="B449" s="166"/>
      <c r="C449" s="167"/>
      <c r="D449" s="171"/>
      <c r="E449" s="171"/>
      <c r="F449" s="171"/>
      <c r="G449" s="172"/>
      <c r="H449" s="173"/>
      <c r="I449" s="193"/>
      <c r="J449" s="171"/>
      <c r="K449" s="194"/>
      <c r="L449" s="173"/>
      <c r="M449" s="171"/>
      <c r="N449" s="171"/>
      <c r="O449" s="194"/>
      <c r="P449" s="195"/>
      <c r="Q449" s="171"/>
      <c r="R449" s="171"/>
      <c r="S449" s="194"/>
      <c r="T449" s="195"/>
      <c r="U449" s="171"/>
      <c r="V449" s="171"/>
      <c r="W449" s="194"/>
      <c r="X449" s="195"/>
      <c r="Y449" s="171"/>
      <c r="Z449" s="171"/>
      <c r="AA449" s="194"/>
      <c r="AB449" s="195"/>
      <c r="AC449" s="171"/>
      <c r="AD449" s="171"/>
      <c r="AE449" s="194"/>
      <c r="AF449" s="195"/>
      <c r="AG449" s="171"/>
      <c r="AH449" s="171"/>
      <c r="AI449" s="194"/>
      <c r="AJ449" s="196"/>
    </row>
    <row r="450" spans="2:36">
      <c r="B450" s="166"/>
      <c r="C450" s="167"/>
      <c r="D450" s="171"/>
      <c r="E450" s="171"/>
      <c r="F450" s="171"/>
      <c r="G450" s="172"/>
      <c r="H450" s="173"/>
      <c r="I450" s="193"/>
      <c r="J450" s="171"/>
      <c r="K450" s="194"/>
      <c r="L450" s="173"/>
      <c r="M450" s="171"/>
      <c r="N450" s="171"/>
      <c r="O450" s="194"/>
      <c r="P450" s="195"/>
      <c r="Q450" s="171"/>
      <c r="R450" s="171"/>
      <c r="S450" s="194"/>
      <c r="T450" s="195"/>
      <c r="U450" s="171"/>
      <c r="V450" s="171"/>
      <c r="W450" s="194"/>
      <c r="X450" s="195"/>
      <c r="Y450" s="171"/>
      <c r="Z450" s="171"/>
      <c r="AA450" s="194"/>
      <c r="AB450" s="195"/>
      <c r="AC450" s="171"/>
      <c r="AD450" s="171"/>
      <c r="AE450" s="194"/>
      <c r="AF450" s="195"/>
      <c r="AG450" s="171"/>
      <c r="AH450" s="171"/>
      <c r="AI450" s="194"/>
      <c r="AJ450" s="196"/>
    </row>
    <row r="451" spans="2:36">
      <c r="B451" s="166"/>
      <c r="C451" s="167"/>
      <c r="D451" s="171"/>
      <c r="E451" s="171"/>
      <c r="F451" s="171"/>
      <c r="G451" s="172"/>
      <c r="H451" s="173"/>
      <c r="I451" s="193"/>
      <c r="J451" s="171"/>
      <c r="K451" s="194"/>
      <c r="L451" s="173"/>
      <c r="M451" s="171"/>
      <c r="N451" s="171"/>
      <c r="O451" s="194"/>
      <c r="P451" s="195"/>
      <c r="Q451" s="171"/>
      <c r="R451" s="171"/>
      <c r="S451" s="194"/>
      <c r="T451" s="195"/>
      <c r="U451" s="171"/>
      <c r="V451" s="171"/>
      <c r="W451" s="194"/>
      <c r="X451" s="195"/>
      <c r="Y451" s="171"/>
      <c r="Z451" s="171"/>
      <c r="AA451" s="194"/>
      <c r="AB451" s="195"/>
      <c r="AC451" s="171"/>
      <c r="AD451" s="171"/>
      <c r="AE451" s="194"/>
      <c r="AF451" s="195"/>
      <c r="AG451" s="171"/>
      <c r="AH451" s="171"/>
      <c r="AI451" s="194"/>
      <c r="AJ451" s="196"/>
    </row>
    <row r="452" spans="2:36">
      <c r="B452" s="166"/>
      <c r="C452" s="167"/>
      <c r="D452" s="171"/>
      <c r="E452" s="171"/>
      <c r="F452" s="171"/>
      <c r="G452" s="172"/>
      <c r="H452" s="173"/>
      <c r="I452" s="193"/>
      <c r="J452" s="171"/>
      <c r="K452" s="194"/>
      <c r="L452" s="173"/>
      <c r="M452" s="171"/>
      <c r="N452" s="171"/>
      <c r="O452" s="194"/>
      <c r="P452" s="195"/>
      <c r="Q452" s="171"/>
      <c r="R452" s="171"/>
      <c r="S452" s="194"/>
      <c r="T452" s="195"/>
      <c r="U452" s="171"/>
      <c r="V452" s="171"/>
      <c r="W452" s="194"/>
      <c r="X452" s="195"/>
      <c r="Y452" s="171"/>
      <c r="Z452" s="171"/>
      <c r="AA452" s="194"/>
      <c r="AB452" s="195"/>
      <c r="AC452" s="171"/>
      <c r="AD452" s="171"/>
      <c r="AE452" s="194"/>
      <c r="AF452" s="195"/>
      <c r="AG452" s="171"/>
      <c r="AH452" s="171"/>
      <c r="AI452" s="194"/>
      <c r="AJ452" s="196"/>
    </row>
    <row r="453" spans="2:36">
      <c r="B453" s="166"/>
      <c r="C453" s="167"/>
      <c r="D453" s="171"/>
      <c r="E453" s="171"/>
      <c r="F453" s="171"/>
      <c r="G453" s="172"/>
      <c r="H453" s="173"/>
      <c r="I453" s="193"/>
      <c r="J453" s="171"/>
      <c r="K453" s="194"/>
      <c r="L453" s="173"/>
      <c r="M453" s="171"/>
      <c r="N453" s="171"/>
      <c r="O453" s="194"/>
      <c r="P453" s="195"/>
      <c r="Q453" s="171"/>
      <c r="R453" s="171"/>
      <c r="S453" s="194"/>
      <c r="T453" s="195"/>
      <c r="U453" s="171"/>
      <c r="V453" s="171"/>
      <c r="W453" s="194"/>
      <c r="X453" s="195"/>
      <c r="Y453" s="171"/>
      <c r="Z453" s="171"/>
      <c r="AA453" s="194"/>
      <c r="AB453" s="195"/>
      <c r="AC453" s="171"/>
      <c r="AD453" s="171"/>
      <c r="AE453" s="194"/>
      <c r="AF453" s="195"/>
      <c r="AG453" s="171"/>
      <c r="AH453" s="171"/>
      <c r="AI453" s="194"/>
      <c r="AJ453" s="196"/>
    </row>
    <row r="454" spans="2:36">
      <c r="B454" s="166"/>
      <c r="C454" s="167"/>
      <c r="D454" s="171"/>
      <c r="E454" s="171"/>
      <c r="F454" s="171"/>
      <c r="G454" s="172"/>
      <c r="H454" s="173"/>
      <c r="I454" s="193"/>
      <c r="J454" s="171"/>
      <c r="K454" s="194"/>
      <c r="L454" s="173"/>
      <c r="M454" s="171"/>
      <c r="N454" s="171"/>
      <c r="O454" s="194"/>
      <c r="P454" s="195"/>
      <c r="Q454" s="171"/>
      <c r="R454" s="171"/>
      <c r="S454" s="194"/>
      <c r="T454" s="195"/>
      <c r="U454" s="171"/>
      <c r="V454" s="171"/>
      <c r="W454" s="194"/>
      <c r="X454" s="195"/>
      <c r="Y454" s="171"/>
      <c r="Z454" s="171"/>
      <c r="AA454" s="194"/>
      <c r="AB454" s="195"/>
      <c r="AC454" s="171"/>
      <c r="AD454" s="171"/>
      <c r="AE454" s="194"/>
      <c r="AF454" s="195"/>
      <c r="AG454" s="171"/>
      <c r="AH454" s="171"/>
      <c r="AI454" s="194"/>
      <c r="AJ454" s="196"/>
    </row>
    <row r="455" spans="2:36">
      <c r="B455" s="166"/>
      <c r="C455" s="167"/>
      <c r="D455" s="171"/>
      <c r="E455" s="171"/>
      <c r="F455" s="171"/>
      <c r="G455" s="172"/>
      <c r="H455" s="173"/>
      <c r="I455" s="193"/>
      <c r="J455" s="171"/>
      <c r="K455" s="194"/>
      <c r="L455" s="173"/>
      <c r="M455" s="171"/>
      <c r="N455" s="171"/>
      <c r="O455" s="194"/>
      <c r="P455" s="195"/>
      <c r="Q455" s="171"/>
      <c r="R455" s="171"/>
      <c r="S455" s="194"/>
      <c r="T455" s="195"/>
      <c r="U455" s="171"/>
      <c r="V455" s="171"/>
      <c r="W455" s="194"/>
      <c r="X455" s="195"/>
      <c r="Y455" s="171"/>
      <c r="Z455" s="171"/>
      <c r="AA455" s="194"/>
      <c r="AB455" s="195"/>
      <c r="AC455" s="171"/>
      <c r="AD455" s="171"/>
      <c r="AE455" s="194"/>
      <c r="AF455" s="195"/>
      <c r="AG455" s="171"/>
      <c r="AH455" s="171"/>
      <c r="AI455" s="194"/>
      <c r="AJ455" s="196"/>
    </row>
    <row r="456" spans="2:36">
      <c r="B456" s="166"/>
      <c r="C456" s="167"/>
      <c r="D456" s="171"/>
      <c r="E456" s="171"/>
      <c r="F456" s="171"/>
      <c r="G456" s="172"/>
      <c r="H456" s="173"/>
      <c r="I456" s="193"/>
      <c r="J456" s="171"/>
      <c r="K456" s="194"/>
      <c r="L456" s="173"/>
      <c r="M456" s="171"/>
      <c r="N456" s="171"/>
      <c r="O456" s="194"/>
      <c r="P456" s="195"/>
      <c r="Q456" s="171"/>
      <c r="R456" s="171"/>
      <c r="S456" s="194"/>
      <c r="T456" s="195"/>
      <c r="U456" s="171"/>
      <c r="V456" s="171"/>
      <c r="W456" s="194"/>
      <c r="X456" s="195"/>
      <c r="Y456" s="171"/>
      <c r="Z456" s="171"/>
      <c r="AA456" s="194"/>
      <c r="AB456" s="195"/>
      <c r="AC456" s="171"/>
      <c r="AD456" s="171"/>
      <c r="AE456" s="194"/>
      <c r="AF456" s="195"/>
      <c r="AG456" s="171"/>
      <c r="AH456" s="171"/>
      <c r="AI456" s="194"/>
      <c r="AJ456" s="196"/>
    </row>
    <row r="457" spans="2:36">
      <c r="B457" s="166"/>
      <c r="C457" s="167"/>
      <c r="D457" s="171"/>
      <c r="E457" s="171"/>
      <c r="F457" s="171"/>
      <c r="G457" s="172"/>
      <c r="H457" s="173"/>
      <c r="I457" s="193"/>
      <c r="J457" s="171"/>
      <c r="K457" s="194"/>
      <c r="L457" s="173"/>
      <c r="M457" s="171"/>
      <c r="N457" s="171"/>
      <c r="O457" s="194"/>
      <c r="P457" s="195"/>
      <c r="Q457" s="171"/>
      <c r="R457" s="171"/>
      <c r="S457" s="194"/>
      <c r="T457" s="195"/>
      <c r="U457" s="171"/>
      <c r="V457" s="171"/>
      <c r="W457" s="194"/>
      <c r="X457" s="195"/>
      <c r="Y457" s="171"/>
      <c r="Z457" s="171"/>
      <c r="AA457" s="194"/>
      <c r="AB457" s="195"/>
      <c r="AC457" s="171"/>
      <c r="AD457" s="171"/>
      <c r="AE457" s="194"/>
      <c r="AF457" s="195"/>
      <c r="AG457" s="171"/>
      <c r="AH457" s="171"/>
      <c r="AI457" s="194"/>
      <c r="AJ457" s="196"/>
    </row>
    <row r="458" spans="2:36">
      <c r="B458" s="166"/>
      <c r="C458" s="167"/>
      <c r="D458" s="171"/>
      <c r="E458" s="171"/>
      <c r="F458" s="171"/>
      <c r="G458" s="172"/>
      <c r="H458" s="173"/>
      <c r="I458" s="193"/>
      <c r="J458" s="171"/>
      <c r="K458" s="194"/>
      <c r="L458" s="173"/>
      <c r="M458" s="171"/>
      <c r="N458" s="171"/>
      <c r="O458" s="194"/>
      <c r="P458" s="195"/>
      <c r="Q458" s="171"/>
      <c r="R458" s="171"/>
      <c r="S458" s="194"/>
      <c r="T458" s="195"/>
      <c r="U458" s="171"/>
      <c r="V458" s="171"/>
      <c r="W458" s="194"/>
      <c r="X458" s="195"/>
      <c r="Y458" s="171"/>
      <c r="Z458" s="171"/>
      <c r="AA458" s="194"/>
      <c r="AB458" s="195"/>
      <c r="AC458" s="171"/>
      <c r="AD458" s="171"/>
      <c r="AE458" s="194"/>
      <c r="AF458" s="195"/>
      <c r="AG458" s="171"/>
      <c r="AH458" s="171"/>
      <c r="AI458" s="194"/>
      <c r="AJ458" s="196"/>
    </row>
    <row r="459" spans="2:36">
      <c r="B459" s="166"/>
      <c r="C459" s="167"/>
      <c r="D459" s="171"/>
      <c r="E459" s="171"/>
      <c r="F459" s="171"/>
      <c r="G459" s="172"/>
      <c r="H459" s="173"/>
      <c r="I459" s="193"/>
      <c r="J459" s="171"/>
      <c r="K459" s="194"/>
      <c r="L459" s="173"/>
      <c r="M459" s="171"/>
      <c r="N459" s="171"/>
      <c r="O459" s="194"/>
      <c r="P459" s="195"/>
      <c r="Q459" s="171"/>
      <c r="R459" s="171"/>
      <c r="S459" s="194"/>
      <c r="T459" s="195"/>
      <c r="U459" s="171"/>
      <c r="V459" s="171"/>
      <c r="W459" s="194"/>
      <c r="X459" s="195"/>
      <c r="Y459" s="171"/>
      <c r="Z459" s="171"/>
      <c r="AA459" s="194"/>
      <c r="AB459" s="195"/>
      <c r="AC459" s="171"/>
      <c r="AD459" s="171"/>
      <c r="AE459" s="194"/>
      <c r="AF459" s="195"/>
      <c r="AG459" s="171"/>
      <c r="AH459" s="171"/>
      <c r="AI459" s="194"/>
      <c r="AJ459" s="196"/>
    </row>
    <row r="460" spans="2:36">
      <c r="B460" s="166"/>
      <c r="C460" s="167"/>
      <c r="D460" s="171"/>
      <c r="E460" s="171"/>
      <c r="F460" s="171"/>
      <c r="G460" s="172"/>
      <c r="H460" s="173"/>
      <c r="I460" s="193"/>
      <c r="J460" s="171"/>
      <c r="K460" s="194"/>
      <c r="L460" s="173"/>
      <c r="M460" s="171"/>
      <c r="N460" s="171"/>
      <c r="O460" s="194"/>
      <c r="P460" s="195"/>
      <c r="Q460" s="171"/>
      <c r="R460" s="171"/>
      <c r="S460" s="194"/>
      <c r="T460" s="195"/>
      <c r="U460" s="171"/>
      <c r="V460" s="171"/>
      <c r="W460" s="194"/>
      <c r="X460" s="195"/>
      <c r="Y460" s="171"/>
      <c r="Z460" s="171"/>
      <c r="AA460" s="194"/>
      <c r="AB460" s="195"/>
      <c r="AC460" s="171"/>
      <c r="AD460" s="171"/>
      <c r="AE460" s="194"/>
      <c r="AF460" s="195"/>
      <c r="AG460" s="171"/>
      <c r="AH460" s="171"/>
      <c r="AI460" s="194"/>
      <c r="AJ460" s="196"/>
    </row>
    <row r="461" spans="2:36">
      <c r="B461" s="166"/>
      <c r="C461" s="167"/>
      <c r="D461" s="171"/>
      <c r="E461" s="171"/>
      <c r="F461" s="171"/>
      <c r="G461" s="172"/>
      <c r="H461" s="173"/>
      <c r="I461" s="193"/>
      <c r="J461" s="171"/>
      <c r="K461" s="194"/>
      <c r="L461" s="173"/>
      <c r="M461" s="171"/>
      <c r="N461" s="171"/>
      <c r="O461" s="194"/>
      <c r="P461" s="195"/>
      <c r="Q461" s="171"/>
      <c r="R461" s="171"/>
      <c r="S461" s="194"/>
      <c r="T461" s="195"/>
      <c r="U461" s="171"/>
      <c r="V461" s="171"/>
      <c r="W461" s="194"/>
      <c r="X461" s="195"/>
      <c r="Y461" s="171"/>
      <c r="Z461" s="171"/>
      <c r="AA461" s="194"/>
      <c r="AB461" s="195"/>
      <c r="AC461" s="171"/>
      <c r="AD461" s="171"/>
      <c r="AE461" s="194"/>
      <c r="AF461" s="195"/>
      <c r="AG461" s="171"/>
      <c r="AH461" s="171"/>
      <c r="AI461" s="194"/>
      <c r="AJ461" s="196"/>
    </row>
    <row r="462" spans="2:36">
      <c r="B462" s="166"/>
      <c r="C462" s="167"/>
      <c r="D462" s="171"/>
      <c r="E462" s="171"/>
      <c r="F462" s="171"/>
      <c r="G462" s="172"/>
      <c r="H462" s="173"/>
      <c r="I462" s="193"/>
      <c r="J462" s="171"/>
      <c r="K462" s="194"/>
      <c r="L462" s="173"/>
      <c r="M462" s="171"/>
      <c r="N462" s="171"/>
      <c r="O462" s="194"/>
      <c r="P462" s="195"/>
      <c r="Q462" s="171"/>
      <c r="R462" s="171"/>
      <c r="S462" s="194"/>
      <c r="T462" s="195"/>
      <c r="U462" s="171"/>
      <c r="V462" s="171"/>
      <c r="W462" s="194"/>
      <c r="X462" s="195"/>
      <c r="Y462" s="171"/>
      <c r="Z462" s="171"/>
      <c r="AA462" s="194"/>
      <c r="AB462" s="195"/>
      <c r="AC462" s="171"/>
      <c r="AD462" s="171"/>
      <c r="AE462" s="194"/>
      <c r="AF462" s="195"/>
      <c r="AG462" s="171"/>
      <c r="AH462" s="171"/>
      <c r="AI462" s="194"/>
      <c r="AJ462" s="196"/>
    </row>
    <row r="463" spans="2:36">
      <c r="B463" s="166"/>
      <c r="C463" s="167"/>
      <c r="D463" s="171"/>
      <c r="E463" s="171"/>
      <c r="F463" s="171"/>
      <c r="G463" s="172"/>
      <c r="H463" s="173"/>
      <c r="I463" s="193"/>
      <c r="J463" s="171"/>
      <c r="K463" s="194"/>
      <c r="L463" s="173"/>
      <c r="M463" s="171"/>
      <c r="N463" s="171"/>
      <c r="O463" s="194"/>
      <c r="P463" s="195"/>
      <c r="Q463" s="171"/>
      <c r="R463" s="171"/>
      <c r="S463" s="194"/>
      <c r="T463" s="195"/>
      <c r="U463" s="171"/>
      <c r="V463" s="171"/>
      <c r="W463" s="194"/>
      <c r="X463" s="195"/>
      <c r="Y463" s="171"/>
      <c r="Z463" s="171"/>
      <c r="AA463" s="194"/>
      <c r="AB463" s="195"/>
      <c r="AC463" s="171"/>
      <c r="AD463" s="171"/>
      <c r="AE463" s="194"/>
      <c r="AF463" s="195"/>
      <c r="AG463" s="171"/>
      <c r="AH463" s="171"/>
      <c r="AI463" s="194"/>
      <c r="AJ463" s="196"/>
    </row>
    <row r="464" spans="2:36">
      <c r="B464" s="166"/>
      <c r="C464" s="167"/>
      <c r="D464" s="171"/>
      <c r="E464" s="171"/>
      <c r="F464" s="171"/>
      <c r="G464" s="172"/>
      <c r="H464" s="173"/>
      <c r="I464" s="193"/>
      <c r="J464" s="171"/>
      <c r="K464" s="194"/>
      <c r="L464" s="173"/>
      <c r="M464" s="171"/>
      <c r="N464" s="171"/>
      <c r="O464" s="194"/>
      <c r="P464" s="195"/>
      <c r="Q464" s="171"/>
      <c r="R464" s="171"/>
      <c r="S464" s="194"/>
      <c r="T464" s="195"/>
      <c r="U464" s="171"/>
      <c r="V464" s="171"/>
      <c r="W464" s="194"/>
      <c r="X464" s="195"/>
      <c r="Y464" s="171"/>
      <c r="Z464" s="171"/>
      <c r="AA464" s="194"/>
      <c r="AB464" s="195"/>
      <c r="AC464" s="171"/>
      <c r="AD464" s="171"/>
      <c r="AE464" s="194"/>
      <c r="AF464" s="195"/>
      <c r="AG464" s="171"/>
      <c r="AH464" s="171"/>
      <c r="AI464" s="194"/>
      <c r="AJ464" s="196"/>
    </row>
    <row r="465" spans="2:36">
      <c r="B465" s="166"/>
      <c r="C465" s="167"/>
      <c r="D465" s="171"/>
      <c r="E465" s="171"/>
      <c r="F465" s="171"/>
      <c r="G465" s="172"/>
      <c r="H465" s="173"/>
      <c r="I465" s="193"/>
      <c r="J465" s="171"/>
      <c r="K465" s="194"/>
      <c r="L465" s="173"/>
      <c r="M465" s="171"/>
      <c r="N465" s="171"/>
      <c r="O465" s="194"/>
      <c r="P465" s="195"/>
      <c r="Q465" s="171"/>
      <c r="R465" s="171"/>
      <c r="S465" s="194"/>
      <c r="T465" s="195"/>
      <c r="U465" s="171"/>
      <c r="V465" s="171"/>
      <c r="W465" s="194"/>
      <c r="X465" s="195"/>
      <c r="Y465" s="171"/>
      <c r="Z465" s="171"/>
      <c r="AA465" s="194"/>
      <c r="AB465" s="195"/>
      <c r="AC465" s="171"/>
      <c r="AD465" s="171"/>
      <c r="AE465" s="194"/>
      <c r="AF465" s="195"/>
      <c r="AG465" s="171"/>
      <c r="AH465" s="171"/>
      <c r="AI465" s="194"/>
      <c r="AJ465" s="196"/>
    </row>
    <row r="466" spans="2:36">
      <c r="B466" s="166"/>
      <c r="C466" s="167"/>
      <c r="D466" s="171"/>
      <c r="E466" s="171"/>
      <c r="F466" s="171"/>
      <c r="G466" s="172"/>
      <c r="H466" s="173"/>
      <c r="I466" s="193"/>
      <c r="J466" s="171"/>
      <c r="K466" s="194"/>
      <c r="L466" s="173"/>
      <c r="M466" s="171"/>
      <c r="N466" s="171"/>
      <c r="O466" s="194"/>
      <c r="P466" s="195"/>
      <c r="Q466" s="171"/>
      <c r="R466" s="171"/>
      <c r="S466" s="194"/>
      <c r="T466" s="195"/>
      <c r="U466" s="171"/>
      <c r="V466" s="171"/>
      <c r="W466" s="194"/>
      <c r="X466" s="195"/>
      <c r="Y466" s="171"/>
      <c r="Z466" s="171"/>
      <c r="AA466" s="194"/>
      <c r="AB466" s="195"/>
      <c r="AC466" s="171"/>
      <c r="AD466" s="171"/>
      <c r="AE466" s="194"/>
      <c r="AF466" s="195"/>
      <c r="AG466" s="171"/>
      <c r="AH466" s="171"/>
      <c r="AI466" s="194"/>
      <c r="AJ466" s="196"/>
    </row>
    <row r="467" spans="2:36">
      <c r="B467" s="166"/>
      <c r="C467" s="167"/>
      <c r="D467" s="171"/>
      <c r="E467" s="171"/>
      <c r="F467" s="171"/>
      <c r="G467" s="172"/>
      <c r="H467" s="173"/>
      <c r="I467" s="193"/>
      <c r="J467" s="171"/>
      <c r="K467" s="194"/>
      <c r="L467" s="173"/>
      <c r="M467" s="171"/>
      <c r="N467" s="171"/>
      <c r="O467" s="194"/>
      <c r="P467" s="195"/>
      <c r="Q467" s="171"/>
      <c r="R467" s="171"/>
      <c r="S467" s="194"/>
      <c r="T467" s="195"/>
      <c r="U467" s="171"/>
      <c r="V467" s="171"/>
      <c r="W467" s="194"/>
      <c r="X467" s="195"/>
      <c r="Y467" s="171"/>
      <c r="Z467" s="171"/>
      <c r="AA467" s="194"/>
      <c r="AB467" s="195"/>
      <c r="AC467" s="171"/>
      <c r="AD467" s="171"/>
      <c r="AE467" s="194"/>
      <c r="AF467" s="195"/>
      <c r="AG467" s="171"/>
      <c r="AH467" s="171"/>
      <c r="AI467" s="194"/>
      <c r="AJ467" s="196"/>
    </row>
    <row r="468" spans="2:36">
      <c r="B468" s="166"/>
      <c r="C468" s="167"/>
      <c r="D468" s="171"/>
      <c r="E468" s="171"/>
      <c r="F468" s="171"/>
      <c r="G468" s="172"/>
      <c r="H468" s="173"/>
      <c r="I468" s="193"/>
      <c r="J468" s="171"/>
      <c r="K468" s="194"/>
      <c r="L468" s="173"/>
      <c r="M468" s="171"/>
      <c r="N468" s="171"/>
      <c r="O468" s="194"/>
      <c r="P468" s="195"/>
      <c r="Q468" s="171"/>
      <c r="R468" s="171"/>
      <c r="S468" s="194"/>
      <c r="T468" s="195"/>
      <c r="U468" s="171"/>
      <c r="V468" s="171"/>
      <c r="W468" s="194"/>
      <c r="X468" s="195"/>
      <c r="Y468" s="171"/>
      <c r="Z468" s="171"/>
      <c r="AA468" s="194"/>
      <c r="AB468" s="195"/>
      <c r="AC468" s="171"/>
      <c r="AD468" s="171"/>
      <c r="AE468" s="194"/>
      <c r="AF468" s="195"/>
      <c r="AG468" s="171"/>
      <c r="AH468" s="171"/>
      <c r="AI468" s="194"/>
      <c r="AJ468" s="196"/>
    </row>
    <row r="469" spans="2:36">
      <c r="B469" s="166"/>
      <c r="C469" s="167"/>
      <c r="D469" s="171"/>
      <c r="E469" s="171"/>
      <c r="F469" s="171"/>
      <c r="G469" s="172"/>
      <c r="H469" s="173"/>
      <c r="I469" s="193"/>
      <c r="J469" s="171"/>
      <c r="K469" s="194"/>
      <c r="L469" s="173"/>
      <c r="M469" s="171"/>
      <c r="N469" s="171"/>
      <c r="O469" s="194"/>
      <c r="P469" s="195"/>
      <c r="Q469" s="171"/>
      <c r="R469" s="171"/>
      <c r="S469" s="194"/>
      <c r="T469" s="195"/>
      <c r="U469" s="171"/>
      <c r="V469" s="171"/>
      <c r="W469" s="194"/>
      <c r="X469" s="195"/>
      <c r="Y469" s="171"/>
      <c r="Z469" s="171"/>
      <c r="AA469" s="194"/>
      <c r="AB469" s="195"/>
      <c r="AC469" s="171"/>
      <c r="AD469" s="171"/>
      <c r="AE469" s="194"/>
      <c r="AF469" s="195"/>
      <c r="AG469" s="171"/>
      <c r="AH469" s="171"/>
      <c r="AI469" s="194"/>
      <c r="AJ469" s="196"/>
    </row>
    <row r="470" spans="2:36">
      <c r="B470" s="166"/>
      <c r="C470" s="167"/>
      <c r="D470" s="171"/>
      <c r="E470" s="171"/>
      <c r="F470" s="171"/>
      <c r="G470" s="172"/>
      <c r="H470" s="173"/>
      <c r="I470" s="193"/>
      <c r="J470" s="171"/>
      <c r="K470" s="194"/>
      <c r="L470" s="173"/>
      <c r="M470" s="171"/>
      <c r="N470" s="171"/>
      <c r="O470" s="194"/>
      <c r="P470" s="195"/>
      <c r="Q470" s="171"/>
      <c r="R470" s="171"/>
      <c r="S470" s="194"/>
      <c r="T470" s="195"/>
      <c r="U470" s="171"/>
      <c r="V470" s="171"/>
      <c r="W470" s="194"/>
      <c r="X470" s="195"/>
      <c r="Y470" s="171"/>
      <c r="Z470" s="171"/>
      <c r="AA470" s="194"/>
      <c r="AB470" s="195"/>
      <c r="AC470" s="171"/>
      <c r="AD470" s="171"/>
      <c r="AE470" s="194"/>
      <c r="AF470" s="195"/>
      <c r="AG470" s="171"/>
      <c r="AH470" s="171"/>
      <c r="AI470" s="194"/>
      <c r="AJ470" s="196"/>
    </row>
    <row r="471" spans="2:36">
      <c r="B471" s="166"/>
      <c r="C471" s="167"/>
      <c r="D471" s="171"/>
      <c r="E471" s="171"/>
      <c r="F471" s="171"/>
      <c r="G471" s="172"/>
      <c r="H471" s="173"/>
      <c r="I471" s="193"/>
      <c r="J471" s="171"/>
      <c r="K471" s="194"/>
      <c r="L471" s="173"/>
      <c r="M471" s="171"/>
      <c r="N471" s="171"/>
      <c r="O471" s="194"/>
      <c r="P471" s="195"/>
      <c r="Q471" s="171"/>
      <c r="R471" s="171"/>
      <c r="S471" s="194"/>
      <c r="T471" s="195"/>
      <c r="U471" s="171"/>
      <c r="V471" s="171"/>
      <c r="W471" s="194"/>
      <c r="X471" s="195"/>
      <c r="Y471" s="171"/>
      <c r="Z471" s="171"/>
      <c r="AA471" s="194"/>
      <c r="AB471" s="195"/>
      <c r="AC471" s="171"/>
      <c r="AD471" s="171"/>
      <c r="AE471" s="194"/>
      <c r="AF471" s="195"/>
      <c r="AG471" s="171"/>
      <c r="AH471" s="171"/>
      <c r="AI471" s="194"/>
      <c r="AJ471" s="196"/>
    </row>
    <row r="472" spans="2:36">
      <c r="B472" s="166"/>
      <c r="C472" s="167"/>
      <c r="D472" s="171"/>
      <c r="E472" s="171"/>
      <c r="F472" s="171"/>
      <c r="G472" s="172"/>
      <c r="H472" s="173"/>
      <c r="I472" s="193"/>
      <c r="J472" s="171"/>
      <c r="K472" s="194"/>
      <c r="L472" s="173"/>
      <c r="M472" s="171"/>
      <c r="N472" s="171"/>
      <c r="O472" s="194"/>
      <c r="P472" s="195"/>
      <c r="Q472" s="171"/>
      <c r="R472" s="171"/>
      <c r="S472" s="194"/>
      <c r="T472" s="195"/>
      <c r="U472" s="171"/>
      <c r="V472" s="171"/>
      <c r="W472" s="194"/>
      <c r="X472" s="195"/>
      <c r="Y472" s="171"/>
      <c r="Z472" s="171"/>
      <c r="AA472" s="194"/>
      <c r="AB472" s="195"/>
      <c r="AC472" s="171"/>
      <c r="AD472" s="171"/>
      <c r="AE472" s="194"/>
      <c r="AF472" s="195"/>
      <c r="AG472" s="171"/>
      <c r="AH472" s="171"/>
      <c r="AI472" s="194"/>
      <c r="AJ472" s="196"/>
    </row>
    <row r="473" spans="2:36">
      <c r="B473" s="166"/>
      <c r="C473" s="167"/>
      <c r="D473" s="171"/>
      <c r="E473" s="171"/>
      <c r="F473" s="171"/>
      <c r="G473" s="172"/>
      <c r="H473" s="173"/>
      <c r="I473" s="193"/>
      <c r="J473" s="171"/>
      <c r="K473" s="194"/>
      <c r="L473" s="173"/>
      <c r="M473" s="171"/>
      <c r="N473" s="171"/>
      <c r="O473" s="194"/>
      <c r="P473" s="195"/>
      <c r="Q473" s="171"/>
      <c r="R473" s="171"/>
      <c r="S473" s="194"/>
      <c r="T473" s="195"/>
      <c r="U473" s="171"/>
      <c r="V473" s="171"/>
      <c r="W473" s="194"/>
      <c r="X473" s="195"/>
      <c r="Y473" s="171"/>
      <c r="Z473" s="171"/>
      <c r="AA473" s="194"/>
      <c r="AB473" s="195"/>
      <c r="AC473" s="171"/>
      <c r="AD473" s="171"/>
      <c r="AE473" s="194"/>
      <c r="AF473" s="195"/>
      <c r="AG473" s="171"/>
      <c r="AH473" s="171"/>
      <c r="AI473" s="194"/>
      <c r="AJ473" s="196"/>
    </row>
    <row r="474" spans="2:36">
      <c r="B474" s="166"/>
      <c r="C474" s="167"/>
      <c r="D474" s="171"/>
      <c r="E474" s="171"/>
      <c r="F474" s="171"/>
      <c r="G474" s="172"/>
      <c r="H474" s="173"/>
      <c r="I474" s="193"/>
      <c r="J474" s="171"/>
      <c r="K474" s="194"/>
      <c r="L474" s="173"/>
      <c r="M474" s="171"/>
      <c r="N474" s="171"/>
      <c r="O474" s="194"/>
      <c r="P474" s="195"/>
      <c r="Q474" s="171"/>
      <c r="R474" s="171"/>
      <c r="S474" s="194"/>
      <c r="T474" s="195"/>
      <c r="U474" s="171"/>
      <c r="V474" s="171"/>
      <c r="W474" s="194"/>
      <c r="X474" s="195"/>
      <c r="Y474" s="171"/>
      <c r="Z474" s="171"/>
      <c r="AA474" s="194"/>
      <c r="AB474" s="195"/>
      <c r="AC474" s="171"/>
      <c r="AD474" s="171"/>
      <c r="AE474" s="194"/>
      <c r="AF474" s="195"/>
      <c r="AG474" s="171"/>
      <c r="AH474" s="171"/>
      <c r="AI474" s="194"/>
      <c r="AJ474" s="196"/>
    </row>
    <row r="475" spans="2:36">
      <c r="B475" s="166"/>
      <c r="C475" s="167"/>
      <c r="D475" s="171"/>
      <c r="E475" s="171"/>
      <c r="F475" s="171"/>
      <c r="G475" s="172"/>
      <c r="H475" s="173"/>
      <c r="I475" s="193"/>
      <c r="J475" s="171"/>
      <c r="K475" s="194"/>
      <c r="L475" s="173"/>
      <c r="M475" s="171"/>
      <c r="N475" s="171"/>
      <c r="O475" s="194"/>
      <c r="P475" s="195"/>
      <c r="Q475" s="171"/>
      <c r="R475" s="171"/>
      <c r="S475" s="194"/>
      <c r="T475" s="195"/>
      <c r="U475" s="171"/>
      <c r="V475" s="171"/>
      <c r="W475" s="194"/>
      <c r="X475" s="195"/>
      <c r="Y475" s="171"/>
      <c r="Z475" s="171"/>
      <c r="AA475" s="194"/>
      <c r="AB475" s="195"/>
      <c r="AC475" s="171"/>
      <c r="AD475" s="171"/>
      <c r="AE475" s="194"/>
      <c r="AF475" s="195"/>
      <c r="AG475" s="171"/>
      <c r="AH475" s="171"/>
      <c r="AI475" s="194"/>
      <c r="AJ475" s="196"/>
    </row>
    <row r="476" spans="2:36">
      <c r="B476" s="166"/>
      <c r="C476" s="167"/>
      <c r="D476" s="171"/>
      <c r="E476" s="171"/>
      <c r="F476" s="171"/>
      <c r="G476" s="172"/>
      <c r="H476" s="173"/>
      <c r="I476" s="193"/>
      <c r="J476" s="171"/>
      <c r="K476" s="194"/>
      <c r="L476" s="173"/>
      <c r="M476" s="171"/>
      <c r="N476" s="171"/>
      <c r="O476" s="194"/>
      <c r="P476" s="195"/>
      <c r="Q476" s="171"/>
      <c r="R476" s="171"/>
      <c r="S476" s="194"/>
      <c r="T476" s="195"/>
      <c r="U476" s="171"/>
      <c r="V476" s="171"/>
      <c r="W476" s="194"/>
      <c r="X476" s="195"/>
      <c r="Y476" s="171"/>
      <c r="Z476" s="171"/>
      <c r="AA476" s="194"/>
      <c r="AB476" s="195"/>
      <c r="AC476" s="171"/>
      <c r="AD476" s="171"/>
      <c r="AE476" s="194"/>
      <c r="AF476" s="195"/>
      <c r="AG476" s="171"/>
      <c r="AH476" s="171"/>
      <c r="AI476" s="194"/>
      <c r="AJ476" s="196"/>
    </row>
    <row r="477" spans="2:36">
      <c r="B477" s="166"/>
      <c r="C477" s="167"/>
      <c r="D477" s="171"/>
      <c r="E477" s="171"/>
      <c r="F477" s="171"/>
      <c r="G477" s="172"/>
      <c r="H477" s="173"/>
      <c r="I477" s="193"/>
      <c r="J477" s="171"/>
      <c r="K477" s="194"/>
      <c r="L477" s="173"/>
      <c r="M477" s="171"/>
      <c r="N477" s="171"/>
      <c r="O477" s="194"/>
      <c r="P477" s="195"/>
      <c r="Q477" s="171"/>
      <c r="R477" s="171"/>
      <c r="S477" s="194"/>
      <c r="T477" s="195"/>
      <c r="U477" s="171"/>
      <c r="V477" s="171"/>
      <c r="W477" s="194"/>
      <c r="X477" s="195"/>
      <c r="Y477" s="171"/>
      <c r="Z477" s="171"/>
      <c r="AA477" s="194"/>
      <c r="AB477" s="195"/>
      <c r="AC477" s="171"/>
      <c r="AD477" s="171"/>
      <c r="AE477" s="194"/>
      <c r="AF477" s="195"/>
      <c r="AG477" s="171"/>
      <c r="AH477" s="171"/>
      <c r="AI477" s="194"/>
      <c r="AJ477" s="196"/>
    </row>
    <row r="478" spans="2:36">
      <c r="B478" s="166"/>
      <c r="C478" s="167"/>
      <c r="D478" s="171"/>
      <c r="E478" s="171"/>
      <c r="F478" s="171"/>
      <c r="G478" s="172"/>
      <c r="H478" s="173"/>
      <c r="I478" s="193"/>
      <c r="J478" s="171"/>
      <c r="K478" s="194"/>
      <c r="L478" s="173"/>
      <c r="M478" s="171"/>
      <c r="N478" s="171"/>
      <c r="O478" s="194"/>
      <c r="P478" s="195"/>
      <c r="Q478" s="171"/>
      <c r="R478" s="171"/>
      <c r="S478" s="194"/>
      <c r="T478" s="195"/>
      <c r="U478" s="171"/>
      <c r="V478" s="171"/>
      <c r="W478" s="194"/>
      <c r="X478" s="195"/>
      <c r="Y478" s="171"/>
      <c r="Z478" s="171"/>
      <c r="AA478" s="194"/>
      <c r="AB478" s="195"/>
      <c r="AC478" s="171"/>
      <c r="AD478" s="171"/>
      <c r="AE478" s="194"/>
      <c r="AF478" s="195"/>
      <c r="AG478" s="171"/>
      <c r="AH478" s="171"/>
      <c r="AI478" s="194"/>
      <c r="AJ478" s="196"/>
    </row>
    <row r="479" spans="2:36">
      <c r="B479" s="166"/>
      <c r="C479" s="167"/>
      <c r="D479" s="171"/>
      <c r="E479" s="171"/>
      <c r="F479" s="171"/>
      <c r="G479" s="172"/>
      <c r="H479" s="173"/>
      <c r="I479" s="193"/>
      <c r="J479" s="171"/>
      <c r="K479" s="194"/>
      <c r="L479" s="173"/>
      <c r="M479" s="171"/>
      <c r="N479" s="171"/>
      <c r="O479" s="194"/>
      <c r="P479" s="195"/>
      <c r="Q479" s="171"/>
      <c r="R479" s="171"/>
      <c r="S479" s="194"/>
      <c r="T479" s="195"/>
      <c r="U479" s="171"/>
      <c r="V479" s="171"/>
      <c r="W479" s="194"/>
      <c r="X479" s="195"/>
      <c r="Y479" s="171"/>
      <c r="Z479" s="171"/>
      <c r="AA479" s="194"/>
      <c r="AB479" s="195"/>
      <c r="AC479" s="171"/>
      <c r="AD479" s="171"/>
      <c r="AE479" s="194"/>
      <c r="AF479" s="195"/>
      <c r="AG479" s="171"/>
      <c r="AH479" s="171"/>
      <c r="AI479" s="194"/>
      <c r="AJ479" s="196"/>
    </row>
    <row r="480" spans="2:36">
      <c r="B480" s="166"/>
      <c r="C480" s="167"/>
      <c r="D480" s="171"/>
      <c r="E480" s="171"/>
      <c r="F480" s="171"/>
      <c r="G480" s="172"/>
      <c r="H480" s="173"/>
      <c r="I480" s="193"/>
      <c r="J480" s="171"/>
      <c r="K480" s="194"/>
      <c r="L480" s="173"/>
      <c r="M480" s="171"/>
      <c r="N480" s="171"/>
      <c r="O480" s="194"/>
      <c r="P480" s="195"/>
      <c r="Q480" s="171"/>
      <c r="R480" s="171"/>
      <c r="S480" s="194"/>
      <c r="T480" s="195"/>
      <c r="U480" s="171"/>
      <c r="V480" s="171"/>
      <c r="W480" s="194"/>
      <c r="X480" s="195"/>
      <c r="Y480" s="171"/>
      <c r="Z480" s="171"/>
      <c r="AA480" s="194"/>
      <c r="AB480" s="195"/>
      <c r="AC480" s="171"/>
      <c r="AD480" s="171"/>
      <c r="AE480" s="194"/>
      <c r="AF480" s="195"/>
      <c r="AG480" s="171"/>
      <c r="AH480" s="171"/>
      <c r="AI480" s="194"/>
      <c r="AJ480" s="196"/>
    </row>
    <row r="481" spans="2:36">
      <c r="B481" s="166"/>
      <c r="C481" s="167"/>
      <c r="D481" s="171"/>
      <c r="E481" s="171"/>
      <c r="F481" s="171"/>
      <c r="G481" s="172"/>
      <c r="H481" s="173"/>
      <c r="I481" s="193"/>
      <c r="J481" s="171"/>
      <c r="K481" s="194"/>
      <c r="L481" s="173"/>
      <c r="M481" s="171"/>
      <c r="N481" s="171"/>
      <c r="O481" s="194"/>
      <c r="P481" s="195"/>
      <c r="Q481" s="171"/>
      <c r="R481" s="171"/>
      <c r="S481" s="194"/>
      <c r="T481" s="195"/>
      <c r="U481" s="171"/>
      <c r="V481" s="171"/>
      <c r="W481" s="194"/>
      <c r="X481" s="195"/>
      <c r="Y481" s="171"/>
      <c r="Z481" s="171"/>
      <c r="AA481" s="194"/>
      <c r="AB481" s="195"/>
      <c r="AC481" s="171"/>
      <c r="AD481" s="171"/>
      <c r="AE481" s="194"/>
      <c r="AF481" s="195"/>
      <c r="AG481" s="171"/>
      <c r="AH481" s="171"/>
      <c r="AI481" s="194"/>
      <c r="AJ481" s="196"/>
    </row>
    <row r="482" spans="2:36">
      <c r="B482" s="166"/>
      <c r="C482" s="167"/>
      <c r="D482" s="171"/>
      <c r="E482" s="171"/>
      <c r="F482" s="171"/>
      <c r="G482" s="172"/>
      <c r="H482" s="173"/>
      <c r="I482" s="193"/>
      <c r="J482" s="171"/>
      <c r="K482" s="194"/>
      <c r="L482" s="173"/>
      <c r="M482" s="171"/>
      <c r="N482" s="171"/>
      <c r="O482" s="194"/>
      <c r="P482" s="195"/>
      <c r="Q482" s="171"/>
      <c r="R482" s="171"/>
      <c r="S482" s="194"/>
      <c r="T482" s="195"/>
      <c r="U482" s="171"/>
      <c r="V482" s="171"/>
      <c r="W482" s="194"/>
      <c r="X482" s="195"/>
      <c r="Y482" s="171"/>
      <c r="Z482" s="171"/>
      <c r="AA482" s="194"/>
      <c r="AB482" s="195"/>
      <c r="AC482" s="171"/>
      <c r="AD482" s="171"/>
      <c r="AE482" s="194"/>
      <c r="AF482" s="195"/>
      <c r="AG482" s="171"/>
      <c r="AH482" s="171"/>
      <c r="AI482" s="194"/>
      <c r="AJ482" s="196"/>
    </row>
    <row r="483" spans="2:36">
      <c r="B483" s="166"/>
      <c r="C483" s="167"/>
      <c r="D483" s="171"/>
      <c r="E483" s="171"/>
      <c r="F483" s="171"/>
      <c r="G483" s="172"/>
      <c r="H483" s="173"/>
      <c r="I483" s="193"/>
      <c r="J483" s="171"/>
      <c r="K483" s="194"/>
      <c r="L483" s="173"/>
      <c r="M483" s="171"/>
      <c r="N483" s="171"/>
      <c r="O483" s="194"/>
      <c r="P483" s="195"/>
      <c r="Q483" s="171"/>
      <c r="R483" s="171"/>
      <c r="S483" s="194"/>
      <c r="T483" s="195"/>
      <c r="U483" s="171"/>
      <c r="V483" s="171"/>
      <c r="W483" s="194"/>
      <c r="X483" s="195"/>
      <c r="Y483" s="171"/>
      <c r="Z483" s="171"/>
      <c r="AA483" s="194"/>
      <c r="AB483" s="195"/>
      <c r="AC483" s="171"/>
      <c r="AD483" s="171"/>
      <c r="AE483" s="194"/>
      <c r="AF483" s="195"/>
      <c r="AG483" s="171"/>
      <c r="AH483" s="171"/>
      <c r="AI483" s="194"/>
      <c r="AJ483" s="196"/>
    </row>
    <row r="484" spans="2:36">
      <c r="B484" s="166"/>
      <c r="C484" s="167"/>
      <c r="D484" s="171"/>
      <c r="E484" s="171"/>
      <c r="F484" s="171"/>
      <c r="G484" s="172"/>
      <c r="H484" s="173"/>
      <c r="I484" s="193"/>
      <c r="J484" s="171"/>
      <c r="K484" s="194"/>
      <c r="L484" s="173"/>
      <c r="M484" s="171"/>
      <c r="N484" s="171"/>
      <c r="O484" s="194"/>
      <c r="P484" s="195"/>
      <c r="Q484" s="171"/>
      <c r="R484" s="171"/>
      <c r="S484" s="194"/>
      <c r="T484" s="195"/>
      <c r="U484" s="171"/>
      <c r="V484" s="171"/>
      <c r="W484" s="194"/>
      <c r="X484" s="195"/>
      <c r="Y484" s="171"/>
      <c r="Z484" s="171"/>
      <c r="AA484" s="194"/>
      <c r="AB484" s="195"/>
      <c r="AC484" s="171"/>
      <c r="AD484" s="171"/>
      <c r="AE484" s="194"/>
      <c r="AF484" s="195"/>
      <c r="AG484" s="171"/>
      <c r="AH484" s="171"/>
      <c r="AI484" s="194"/>
      <c r="AJ484" s="196"/>
    </row>
    <row r="485" spans="2:36">
      <c r="B485" s="166"/>
      <c r="C485" s="167"/>
      <c r="D485" s="171"/>
      <c r="E485" s="171"/>
      <c r="F485" s="171"/>
      <c r="G485" s="172"/>
      <c r="H485" s="173"/>
      <c r="I485" s="193"/>
      <c r="J485" s="171"/>
      <c r="K485" s="194"/>
      <c r="L485" s="173"/>
      <c r="M485" s="171"/>
      <c r="N485" s="171"/>
      <c r="O485" s="194"/>
      <c r="P485" s="195"/>
      <c r="Q485" s="171"/>
      <c r="R485" s="171"/>
      <c r="S485" s="194"/>
      <c r="T485" s="195"/>
      <c r="U485" s="171"/>
      <c r="V485" s="171"/>
      <c r="W485" s="194"/>
      <c r="X485" s="195"/>
      <c r="Y485" s="171"/>
      <c r="Z485" s="171"/>
      <c r="AA485" s="194"/>
      <c r="AB485" s="195"/>
      <c r="AC485" s="171"/>
      <c r="AD485" s="171"/>
      <c r="AE485" s="194"/>
      <c r="AF485" s="195"/>
      <c r="AG485" s="171"/>
      <c r="AH485" s="171"/>
      <c r="AI485" s="194"/>
      <c r="AJ485" s="196"/>
    </row>
    <row r="486" spans="2:36">
      <c r="B486" s="166"/>
      <c r="C486" s="167"/>
      <c r="D486" s="171"/>
      <c r="E486" s="171"/>
      <c r="F486" s="171"/>
      <c r="G486" s="172"/>
      <c r="H486" s="173"/>
      <c r="I486" s="193"/>
      <c r="J486" s="171"/>
      <c r="K486" s="194"/>
      <c r="L486" s="173"/>
      <c r="M486" s="171"/>
      <c r="N486" s="171"/>
      <c r="O486" s="194"/>
      <c r="P486" s="195"/>
      <c r="Q486" s="171"/>
      <c r="R486" s="171"/>
      <c r="S486" s="194"/>
      <c r="T486" s="195"/>
      <c r="U486" s="171"/>
      <c r="V486" s="171"/>
      <c r="W486" s="194"/>
      <c r="X486" s="195"/>
      <c r="Y486" s="171"/>
      <c r="Z486" s="171"/>
      <c r="AA486" s="194"/>
      <c r="AB486" s="195"/>
      <c r="AC486" s="171"/>
      <c r="AD486" s="171"/>
      <c r="AE486" s="194"/>
      <c r="AF486" s="195"/>
      <c r="AG486" s="171"/>
      <c r="AH486" s="171"/>
      <c r="AI486" s="194"/>
      <c r="AJ486" s="196"/>
    </row>
    <row r="487" spans="2:36">
      <c r="B487" s="166"/>
      <c r="C487" s="167"/>
      <c r="D487" s="171"/>
      <c r="E487" s="171"/>
      <c r="F487" s="171"/>
      <c r="G487" s="172"/>
      <c r="H487" s="173"/>
      <c r="I487" s="193"/>
      <c r="J487" s="171"/>
      <c r="K487" s="194"/>
      <c r="L487" s="173"/>
      <c r="M487" s="171"/>
      <c r="N487" s="171"/>
      <c r="O487" s="194"/>
      <c r="P487" s="195"/>
      <c r="Q487" s="171"/>
      <c r="R487" s="171"/>
      <c r="S487" s="194"/>
      <c r="T487" s="195"/>
      <c r="U487" s="171"/>
      <c r="V487" s="171"/>
      <c r="W487" s="194"/>
      <c r="X487" s="195"/>
      <c r="Y487" s="171"/>
      <c r="Z487" s="171"/>
      <c r="AA487" s="194"/>
      <c r="AB487" s="195"/>
      <c r="AC487" s="171"/>
      <c r="AD487" s="171"/>
      <c r="AE487" s="194"/>
      <c r="AF487" s="195"/>
      <c r="AG487" s="171"/>
      <c r="AH487" s="171"/>
      <c r="AI487" s="194"/>
      <c r="AJ487" s="196"/>
    </row>
    <row r="488" spans="2:36">
      <c r="B488" s="166"/>
      <c r="C488" s="167"/>
      <c r="D488" s="171"/>
      <c r="E488" s="171"/>
      <c r="F488" s="171"/>
      <c r="G488" s="172"/>
      <c r="H488" s="173"/>
      <c r="I488" s="193"/>
      <c r="J488" s="171"/>
      <c r="K488" s="194"/>
      <c r="L488" s="173"/>
      <c r="M488" s="171"/>
      <c r="N488" s="171"/>
      <c r="O488" s="194"/>
      <c r="P488" s="195"/>
      <c r="Q488" s="171"/>
      <c r="R488" s="171"/>
      <c r="S488" s="194"/>
      <c r="T488" s="195"/>
      <c r="U488" s="171"/>
      <c r="V488" s="171"/>
      <c r="W488" s="194"/>
      <c r="X488" s="195"/>
      <c r="Y488" s="171"/>
      <c r="Z488" s="171"/>
      <c r="AA488" s="194"/>
      <c r="AB488" s="195"/>
      <c r="AC488" s="171"/>
      <c r="AD488" s="171"/>
      <c r="AE488" s="194"/>
      <c r="AF488" s="195"/>
      <c r="AG488" s="171"/>
      <c r="AH488" s="171"/>
      <c r="AI488" s="194"/>
      <c r="AJ488" s="196"/>
    </row>
    <row r="489" spans="2:36">
      <c r="B489" s="166"/>
      <c r="C489" s="167"/>
      <c r="D489" s="171"/>
      <c r="E489" s="171"/>
      <c r="F489" s="171"/>
      <c r="G489" s="172"/>
      <c r="H489" s="173"/>
      <c r="I489" s="193"/>
      <c r="J489" s="171"/>
      <c r="K489" s="194"/>
      <c r="L489" s="173"/>
      <c r="M489" s="171"/>
      <c r="N489" s="171"/>
      <c r="O489" s="194"/>
      <c r="P489" s="195"/>
      <c r="Q489" s="171"/>
      <c r="R489" s="171"/>
      <c r="S489" s="194"/>
      <c r="T489" s="195"/>
      <c r="U489" s="171"/>
      <c r="V489" s="171"/>
      <c r="W489" s="194"/>
      <c r="X489" s="195"/>
      <c r="Y489" s="171"/>
      <c r="Z489" s="171"/>
      <c r="AA489" s="194"/>
      <c r="AB489" s="195"/>
      <c r="AC489" s="171"/>
      <c r="AD489" s="171"/>
      <c r="AE489" s="194"/>
      <c r="AF489" s="195"/>
      <c r="AG489" s="171"/>
      <c r="AH489" s="171"/>
      <c r="AI489" s="194"/>
      <c r="AJ489" s="196"/>
    </row>
    <row r="490" spans="2:36">
      <c r="B490" s="166"/>
      <c r="C490" s="167"/>
      <c r="D490" s="171"/>
      <c r="E490" s="171"/>
      <c r="F490" s="171"/>
      <c r="G490" s="172"/>
      <c r="H490" s="173"/>
      <c r="I490" s="193"/>
      <c r="J490" s="171"/>
      <c r="K490" s="194"/>
      <c r="L490" s="173"/>
      <c r="M490" s="171"/>
      <c r="N490" s="171"/>
      <c r="O490" s="194"/>
      <c r="P490" s="195"/>
      <c r="Q490" s="171"/>
      <c r="R490" s="171"/>
      <c r="S490" s="194"/>
      <c r="T490" s="195"/>
      <c r="U490" s="171"/>
      <c r="V490" s="171"/>
      <c r="W490" s="194"/>
      <c r="X490" s="195"/>
      <c r="Y490" s="171"/>
      <c r="Z490" s="171"/>
      <c r="AA490" s="194"/>
      <c r="AB490" s="195"/>
      <c r="AC490" s="171"/>
      <c r="AD490" s="171"/>
      <c r="AE490" s="194"/>
      <c r="AF490" s="195"/>
      <c r="AG490" s="171"/>
      <c r="AH490" s="171"/>
      <c r="AI490" s="194"/>
      <c r="AJ490" s="196"/>
    </row>
    <row r="491" spans="2:36">
      <c r="B491" s="166"/>
      <c r="C491" s="167"/>
      <c r="D491" s="171"/>
      <c r="E491" s="171"/>
      <c r="F491" s="171"/>
      <c r="G491" s="172"/>
      <c r="H491" s="173"/>
      <c r="I491" s="193"/>
      <c r="J491" s="171"/>
      <c r="K491" s="194"/>
      <c r="L491" s="173"/>
      <c r="M491" s="171"/>
      <c r="N491" s="171"/>
      <c r="O491" s="194"/>
      <c r="P491" s="195"/>
      <c r="Q491" s="171"/>
      <c r="R491" s="171"/>
      <c r="S491" s="194"/>
      <c r="T491" s="195"/>
      <c r="U491" s="171"/>
      <c r="V491" s="171"/>
      <c r="W491" s="194"/>
      <c r="X491" s="195"/>
      <c r="Y491" s="171"/>
      <c r="Z491" s="171"/>
      <c r="AA491" s="194"/>
      <c r="AB491" s="195"/>
      <c r="AC491" s="171"/>
      <c r="AD491" s="171"/>
      <c r="AE491" s="194"/>
      <c r="AF491" s="195"/>
      <c r="AG491" s="171"/>
      <c r="AH491" s="171"/>
      <c r="AI491" s="194"/>
      <c r="AJ491" s="196"/>
    </row>
    <row r="492" spans="2:36">
      <c r="B492" s="166"/>
      <c r="C492" s="167"/>
      <c r="D492" s="171"/>
      <c r="E492" s="171"/>
      <c r="F492" s="171"/>
      <c r="G492" s="172"/>
      <c r="H492" s="173"/>
      <c r="I492" s="193"/>
      <c r="J492" s="171"/>
      <c r="K492" s="194"/>
      <c r="L492" s="173"/>
      <c r="M492" s="171"/>
      <c r="N492" s="171"/>
      <c r="O492" s="194"/>
      <c r="P492" s="195"/>
      <c r="Q492" s="171"/>
      <c r="R492" s="171"/>
      <c r="S492" s="194"/>
      <c r="T492" s="195"/>
      <c r="U492" s="171"/>
      <c r="V492" s="171"/>
      <c r="W492" s="194"/>
      <c r="X492" s="195"/>
      <c r="Y492" s="171"/>
      <c r="Z492" s="171"/>
      <c r="AA492" s="194"/>
      <c r="AB492" s="195"/>
      <c r="AC492" s="171"/>
      <c r="AD492" s="171"/>
      <c r="AE492" s="194"/>
      <c r="AF492" s="195"/>
      <c r="AG492" s="171"/>
      <c r="AH492" s="171"/>
      <c r="AI492" s="194"/>
      <c r="AJ492" s="196"/>
    </row>
    <row r="493" spans="2:36">
      <c r="B493" s="166"/>
      <c r="C493" s="167"/>
      <c r="D493" s="171"/>
      <c r="E493" s="171"/>
      <c r="F493" s="171"/>
      <c r="G493" s="172"/>
      <c r="H493" s="173"/>
      <c r="I493" s="193"/>
      <c r="J493" s="171"/>
      <c r="K493" s="194"/>
      <c r="L493" s="173"/>
      <c r="M493" s="171"/>
      <c r="N493" s="171"/>
      <c r="O493" s="194"/>
      <c r="P493" s="195"/>
      <c r="Q493" s="171"/>
      <c r="R493" s="171"/>
      <c r="S493" s="194"/>
      <c r="T493" s="195"/>
      <c r="U493" s="171"/>
      <c r="V493" s="171"/>
      <c r="W493" s="194"/>
      <c r="X493" s="195"/>
      <c r="Y493" s="171"/>
      <c r="Z493" s="171"/>
      <c r="AA493" s="194"/>
      <c r="AB493" s="195"/>
      <c r="AC493" s="171"/>
      <c r="AD493" s="171"/>
      <c r="AE493" s="194"/>
      <c r="AF493" s="195"/>
      <c r="AG493" s="171"/>
      <c r="AH493" s="171"/>
      <c r="AI493" s="194"/>
      <c r="AJ493" s="196"/>
    </row>
    <row r="494" spans="2:36">
      <c r="B494" s="166"/>
      <c r="C494" s="167"/>
      <c r="D494" s="171"/>
      <c r="E494" s="171"/>
      <c r="F494" s="171"/>
      <c r="G494" s="172"/>
      <c r="H494" s="173"/>
      <c r="I494" s="193"/>
      <c r="J494" s="171"/>
      <c r="K494" s="194"/>
      <c r="L494" s="173"/>
      <c r="M494" s="171"/>
      <c r="N494" s="171"/>
      <c r="O494" s="194"/>
      <c r="P494" s="195"/>
      <c r="Q494" s="171"/>
      <c r="R494" s="171"/>
      <c r="S494" s="194"/>
      <c r="T494" s="195"/>
      <c r="U494" s="171"/>
      <c r="V494" s="171"/>
      <c r="W494" s="194"/>
      <c r="X494" s="195"/>
      <c r="Y494" s="171"/>
      <c r="Z494" s="171"/>
      <c r="AA494" s="194"/>
      <c r="AB494" s="195"/>
      <c r="AC494" s="171"/>
      <c r="AD494" s="171"/>
      <c r="AE494" s="194"/>
      <c r="AF494" s="195"/>
      <c r="AG494" s="171"/>
      <c r="AH494" s="171"/>
      <c r="AI494" s="194"/>
      <c r="AJ494" s="196"/>
    </row>
    <row r="495" spans="2:36">
      <c r="B495" s="166"/>
      <c r="C495" s="167"/>
      <c r="D495" s="171"/>
      <c r="E495" s="171"/>
      <c r="F495" s="171"/>
      <c r="G495" s="172"/>
      <c r="H495" s="173"/>
      <c r="I495" s="193"/>
      <c r="J495" s="171"/>
      <c r="K495" s="194"/>
      <c r="L495" s="173"/>
      <c r="M495" s="171"/>
      <c r="N495" s="171"/>
      <c r="O495" s="194"/>
      <c r="P495" s="195"/>
      <c r="Q495" s="171"/>
      <c r="R495" s="171"/>
      <c r="S495" s="194"/>
      <c r="T495" s="195"/>
      <c r="U495" s="171"/>
      <c r="V495" s="171"/>
      <c r="W495" s="194"/>
      <c r="X495" s="195"/>
      <c r="Y495" s="171"/>
      <c r="Z495" s="171"/>
      <c r="AA495" s="194"/>
      <c r="AB495" s="195"/>
      <c r="AC495" s="171"/>
      <c r="AD495" s="171"/>
      <c r="AE495" s="194"/>
      <c r="AF495" s="195"/>
      <c r="AG495" s="171"/>
      <c r="AH495" s="171"/>
      <c r="AI495" s="194"/>
      <c r="AJ495" s="196"/>
    </row>
    <row r="496" spans="2:36">
      <c r="B496" s="166"/>
      <c r="C496" s="167"/>
      <c r="D496" s="171"/>
      <c r="E496" s="171"/>
      <c r="F496" s="171"/>
      <c r="G496" s="172"/>
      <c r="H496" s="173"/>
      <c r="I496" s="193"/>
      <c r="J496" s="171"/>
      <c r="K496" s="194"/>
      <c r="L496" s="173"/>
      <c r="M496" s="171"/>
      <c r="N496" s="171"/>
      <c r="O496" s="194"/>
      <c r="P496" s="195"/>
      <c r="Q496" s="171"/>
      <c r="R496" s="171"/>
      <c r="S496" s="194"/>
      <c r="T496" s="195"/>
      <c r="U496" s="171"/>
      <c r="V496" s="171"/>
      <c r="W496" s="194"/>
      <c r="X496" s="195"/>
      <c r="Y496" s="171"/>
      <c r="Z496" s="171"/>
      <c r="AA496" s="194"/>
      <c r="AB496" s="195"/>
      <c r="AC496" s="171"/>
      <c r="AD496" s="171"/>
      <c r="AE496" s="194"/>
      <c r="AF496" s="195"/>
      <c r="AG496" s="171"/>
      <c r="AH496" s="171"/>
      <c r="AI496" s="194"/>
      <c r="AJ496" s="196"/>
    </row>
    <row r="497" spans="2:36">
      <c r="B497" s="166"/>
      <c r="C497" s="167"/>
      <c r="D497" s="171"/>
      <c r="E497" s="171"/>
      <c r="F497" s="171"/>
      <c r="G497" s="172"/>
      <c r="H497" s="173"/>
      <c r="I497" s="193"/>
      <c r="J497" s="171"/>
      <c r="K497" s="194"/>
      <c r="L497" s="173"/>
      <c r="M497" s="171"/>
      <c r="N497" s="171"/>
      <c r="O497" s="194"/>
      <c r="P497" s="195"/>
      <c r="Q497" s="171"/>
      <c r="R497" s="171"/>
      <c r="S497" s="194"/>
      <c r="T497" s="195"/>
      <c r="U497" s="171"/>
      <c r="V497" s="171"/>
      <c r="W497" s="194"/>
      <c r="X497" s="195"/>
      <c r="Y497" s="171"/>
      <c r="Z497" s="171"/>
      <c r="AA497" s="194"/>
      <c r="AB497" s="195"/>
      <c r="AC497" s="171"/>
      <c r="AD497" s="171"/>
      <c r="AE497" s="194"/>
      <c r="AF497" s="195"/>
      <c r="AG497" s="171"/>
      <c r="AH497" s="171"/>
      <c r="AI497" s="194"/>
      <c r="AJ497" s="196"/>
    </row>
    <row r="498" spans="2:36">
      <c r="B498" s="166"/>
      <c r="C498" s="167"/>
      <c r="D498" s="171"/>
      <c r="E498" s="171"/>
      <c r="F498" s="171"/>
      <c r="G498" s="172"/>
      <c r="H498" s="173"/>
      <c r="I498" s="193"/>
      <c r="J498" s="171"/>
      <c r="K498" s="194"/>
      <c r="L498" s="173"/>
      <c r="M498" s="171"/>
      <c r="N498" s="171"/>
      <c r="O498" s="194"/>
      <c r="P498" s="195"/>
      <c r="Q498" s="171"/>
      <c r="R498" s="171"/>
      <c r="S498" s="194"/>
      <c r="T498" s="195"/>
      <c r="U498" s="171"/>
      <c r="V498" s="171"/>
      <c r="W498" s="194"/>
      <c r="X498" s="195"/>
      <c r="Y498" s="171"/>
      <c r="Z498" s="171"/>
      <c r="AA498" s="194"/>
      <c r="AB498" s="195"/>
      <c r="AC498" s="171"/>
      <c r="AD498" s="171"/>
      <c r="AE498" s="194"/>
      <c r="AF498" s="195"/>
      <c r="AG498" s="171"/>
      <c r="AH498" s="171"/>
      <c r="AI498" s="194"/>
      <c r="AJ498" s="196"/>
    </row>
    <row r="499" spans="2:36">
      <c r="B499" s="166"/>
      <c r="C499" s="167"/>
      <c r="D499" s="171"/>
      <c r="E499" s="171"/>
      <c r="F499" s="171"/>
      <c r="G499" s="172"/>
      <c r="H499" s="173"/>
      <c r="I499" s="193"/>
      <c r="J499" s="171"/>
      <c r="K499" s="194"/>
      <c r="L499" s="173"/>
      <c r="M499" s="171"/>
      <c r="N499" s="171"/>
      <c r="O499" s="194"/>
      <c r="P499" s="195"/>
      <c r="Q499" s="171"/>
      <c r="R499" s="171"/>
      <c r="S499" s="194"/>
      <c r="T499" s="195"/>
      <c r="U499" s="171"/>
      <c r="V499" s="171"/>
      <c r="W499" s="194"/>
      <c r="X499" s="195"/>
      <c r="Y499" s="171"/>
      <c r="Z499" s="171"/>
      <c r="AA499" s="194"/>
      <c r="AB499" s="195"/>
      <c r="AC499" s="171"/>
      <c r="AD499" s="171"/>
      <c r="AE499" s="194"/>
      <c r="AF499" s="195"/>
      <c r="AG499" s="171"/>
      <c r="AH499" s="171"/>
      <c r="AI499" s="194"/>
      <c r="AJ499" s="196"/>
    </row>
    <row r="500" spans="2:36">
      <c r="B500" s="166"/>
      <c r="C500" s="167"/>
      <c r="D500" s="171"/>
      <c r="E500" s="171"/>
      <c r="F500" s="171"/>
      <c r="G500" s="172"/>
      <c r="H500" s="173"/>
      <c r="I500" s="193"/>
      <c r="J500" s="171"/>
      <c r="K500" s="194"/>
      <c r="L500" s="173"/>
      <c r="M500" s="171"/>
      <c r="N500" s="171"/>
      <c r="O500" s="194"/>
      <c r="P500" s="195"/>
      <c r="Q500" s="171"/>
      <c r="R500" s="171"/>
      <c r="S500" s="194"/>
      <c r="T500" s="195"/>
      <c r="U500" s="171"/>
      <c r="V500" s="171"/>
      <c r="W500" s="194"/>
      <c r="X500" s="195"/>
      <c r="Y500" s="171"/>
      <c r="Z500" s="171"/>
      <c r="AA500" s="194"/>
      <c r="AB500" s="195"/>
      <c r="AC500" s="171"/>
      <c r="AD500" s="171"/>
      <c r="AE500" s="194"/>
      <c r="AF500" s="195"/>
      <c r="AG500" s="171"/>
      <c r="AH500" s="171"/>
      <c r="AI500" s="194"/>
      <c r="AJ500" s="196"/>
    </row>
    <row r="501" spans="2:36">
      <c r="B501" s="166"/>
      <c r="C501" s="167"/>
      <c r="D501" s="171"/>
      <c r="E501" s="171"/>
      <c r="F501" s="171"/>
      <c r="G501" s="172"/>
      <c r="H501" s="173"/>
      <c r="I501" s="193"/>
      <c r="J501" s="171"/>
      <c r="K501" s="194"/>
      <c r="L501" s="173"/>
      <c r="M501" s="171"/>
      <c r="N501" s="171"/>
      <c r="O501" s="194"/>
      <c r="P501" s="195"/>
      <c r="Q501" s="171"/>
      <c r="R501" s="171"/>
      <c r="S501" s="194"/>
      <c r="T501" s="195"/>
      <c r="U501" s="171"/>
      <c r="V501" s="171"/>
      <c r="W501" s="194"/>
      <c r="X501" s="195"/>
      <c r="Y501" s="171"/>
      <c r="Z501" s="171"/>
      <c r="AA501" s="194"/>
      <c r="AB501" s="195"/>
      <c r="AC501" s="171"/>
      <c r="AD501" s="171"/>
      <c r="AE501" s="194"/>
      <c r="AF501" s="195"/>
      <c r="AG501" s="171"/>
      <c r="AH501" s="171"/>
      <c r="AI501" s="194"/>
      <c r="AJ501" s="196"/>
    </row>
    <row r="502" spans="2:36">
      <c r="B502" s="166"/>
      <c r="C502" s="167"/>
      <c r="D502" s="171"/>
      <c r="E502" s="171"/>
      <c r="F502" s="171"/>
      <c r="G502" s="172"/>
      <c r="H502" s="173"/>
      <c r="I502" s="193"/>
      <c r="J502" s="171"/>
      <c r="K502" s="194"/>
      <c r="L502" s="173"/>
      <c r="M502" s="171"/>
      <c r="N502" s="171"/>
      <c r="O502" s="194"/>
      <c r="P502" s="195"/>
      <c r="Q502" s="171"/>
      <c r="R502" s="171"/>
      <c r="S502" s="194"/>
      <c r="T502" s="195"/>
      <c r="U502" s="171"/>
      <c r="V502" s="171"/>
      <c r="W502" s="194"/>
      <c r="X502" s="195"/>
      <c r="Y502" s="171"/>
      <c r="Z502" s="171"/>
      <c r="AA502" s="194"/>
      <c r="AB502" s="195"/>
      <c r="AC502" s="171"/>
      <c r="AD502" s="171"/>
      <c r="AE502" s="194"/>
      <c r="AF502" s="195"/>
      <c r="AG502" s="171"/>
      <c r="AH502" s="171"/>
      <c r="AI502" s="194"/>
      <c r="AJ502" s="196"/>
    </row>
    <row r="503" spans="2:36">
      <c r="B503" s="166"/>
      <c r="C503" s="167"/>
      <c r="D503" s="171"/>
      <c r="E503" s="171"/>
      <c r="F503" s="171"/>
      <c r="G503" s="172"/>
      <c r="H503" s="173"/>
      <c r="I503" s="193"/>
      <c r="J503" s="171"/>
      <c r="K503" s="194"/>
      <c r="L503" s="173"/>
      <c r="M503" s="171"/>
      <c r="N503" s="171"/>
      <c r="O503" s="194"/>
      <c r="P503" s="195"/>
      <c r="Q503" s="171"/>
      <c r="R503" s="171"/>
      <c r="S503" s="194"/>
      <c r="T503" s="195"/>
      <c r="U503" s="171"/>
      <c r="V503" s="171"/>
      <c r="W503" s="194"/>
      <c r="X503" s="195"/>
      <c r="Y503" s="171"/>
      <c r="Z503" s="171"/>
      <c r="AA503" s="194"/>
      <c r="AB503" s="195"/>
      <c r="AC503" s="171"/>
      <c r="AD503" s="171"/>
      <c r="AE503" s="194"/>
      <c r="AF503" s="195"/>
      <c r="AG503" s="171"/>
      <c r="AH503" s="171"/>
      <c r="AI503" s="194"/>
      <c r="AJ503" s="196"/>
    </row>
    <row r="504" spans="2:36">
      <c r="B504" s="166"/>
      <c r="C504" s="167"/>
      <c r="D504" s="171"/>
      <c r="E504" s="171"/>
      <c r="F504" s="171"/>
      <c r="G504" s="172"/>
      <c r="H504" s="173"/>
      <c r="I504" s="193"/>
      <c r="J504" s="171"/>
      <c r="K504" s="194"/>
      <c r="L504" s="173"/>
      <c r="M504" s="171"/>
      <c r="N504" s="171"/>
      <c r="O504" s="194"/>
      <c r="P504" s="195"/>
      <c r="Q504" s="171"/>
      <c r="R504" s="171"/>
      <c r="S504" s="194"/>
      <c r="T504" s="195"/>
      <c r="U504" s="171"/>
      <c r="V504" s="171"/>
      <c r="W504" s="194"/>
      <c r="X504" s="195"/>
      <c r="Y504" s="171"/>
      <c r="Z504" s="171"/>
      <c r="AA504" s="194"/>
      <c r="AB504" s="195"/>
      <c r="AC504" s="171"/>
      <c r="AD504" s="171"/>
      <c r="AE504" s="194"/>
      <c r="AF504" s="195"/>
      <c r="AG504" s="171"/>
      <c r="AH504" s="171"/>
      <c r="AI504" s="194"/>
      <c r="AJ504" s="196"/>
    </row>
    <row r="505" spans="2:36">
      <c r="B505" s="166"/>
      <c r="C505" s="167"/>
      <c r="D505" s="171"/>
      <c r="E505" s="171"/>
      <c r="F505" s="171"/>
      <c r="G505" s="172"/>
      <c r="H505" s="173"/>
      <c r="I505" s="193"/>
      <c r="J505" s="171"/>
      <c r="K505" s="194"/>
      <c r="L505" s="173"/>
      <c r="M505" s="171"/>
      <c r="N505" s="171"/>
      <c r="O505" s="194"/>
      <c r="P505" s="195"/>
      <c r="Q505" s="171"/>
      <c r="R505" s="171"/>
      <c r="S505" s="194"/>
      <c r="T505" s="195"/>
      <c r="U505" s="171"/>
      <c r="V505" s="171"/>
      <c r="W505" s="194"/>
      <c r="X505" s="195"/>
      <c r="Y505" s="171"/>
      <c r="Z505" s="171"/>
      <c r="AA505" s="194"/>
      <c r="AB505" s="195"/>
      <c r="AC505" s="171"/>
      <c r="AD505" s="171"/>
      <c r="AE505" s="194"/>
      <c r="AF505" s="195"/>
      <c r="AG505" s="171"/>
      <c r="AH505" s="171"/>
      <c r="AI505" s="194"/>
      <c r="AJ505" s="196"/>
    </row>
    <row r="506" spans="2:36">
      <c r="B506" s="166"/>
      <c r="C506" s="167"/>
      <c r="D506" s="171"/>
      <c r="E506" s="171"/>
      <c r="F506" s="171"/>
      <c r="G506" s="172"/>
      <c r="H506" s="173"/>
      <c r="I506" s="193"/>
      <c r="J506" s="171"/>
      <c r="K506" s="194"/>
      <c r="L506" s="173"/>
      <c r="M506" s="171"/>
      <c r="N506" s="171"/>
      <c r="O506" s="194"/>
      <c r="P506" s="195"/>
      <c r="Q506" s="171"/>
      <c r="R506" s="171"/>
      <c r="S506" s="194"/>
      <c r="T506" s="195"/>
      <c r="U506" s="171"/>
      <c r="V506" s="171"/>
      <c r="W506" s="194"/>
      <c r="X506" s="195"/>
      <c r="Y506" s="171"/>
      <c r="Z506" s="171"/>
      <c r="AA506" s="194"/>
      <c r="AB506" s="195"/>
      <c r="AC506" s="171"/>
      <c r="AD506" s="171"/>
      <c r="AE506" s="194"/>
      <c r="AF506" s="195"/>
      <c r="AG506" s="171"/>
      <c r="AH506" s="171"/>
      <c r="AI506" s="194"/>
      <c r="AJ506" s="196"/>
    </row>
    <row r="507" spans="2:36">
      <c r="B507" s="166"/>
      <c r="C507" s="167"/>
      <c r="D507" s="171"/>
      <c r="E507" s="171"/>
      <c r="F507" s="171"/>
      <c r="G507" s="172"/>
      <c r="H507" s="173"/>
      <c r="I507" s="193"/>
      <c r="J507" s="171"/>
      <c r="K507" s="194"/>
      <c r="L507" s="173"/>
      <c r="M507" s="171"/>
      <c r="N507" s="171"/>
      <c r="O507" s="194"/>
      <c r="P507" s="195"/>
      <c r="Q507" s="171"/>
      <c r="R507" s="171"/>
      <c r="S507" s="194"/>
      <c r="T507" s="195"/>
      <c r="U507" s="171"/>
      <c r="V507" s="171"/>
      <c r="W507" s="194"/>
      <c r="X507" s="195"/>
      <c r="Y507" s="171"/>
      <c r="Z507" s="171"/>
      <c r="AA507" s="194"/>
      <c r="AB507" s="195"/>
      <c r="AC507" s="171"/>
      <c r="AD507" s="171"/>
      <c r="AE507" s="194"/>
      <c r="AF507" s="195"/>
      <c r="AG507" s="171"/>
      <c r="AH507" s="171"/>
      <c r="AI507" s="194"/>
      <c r="AJ507" s="196"/>
    </row>
    <row r="508" spans="2:36">
      <c r="B508" s="166"/>
      <c r="C508" s="167"/>
      <c r="D508" s="171"/>
      <c r="E508" s="171"/>
      <c r="F508" s="171"/>
      <c r="G508" s="172"/>
      <c r="H508" s="173"/>
      <c r="I508" s="193"/>
      <c r="J508" s="171"/>
      <c r="K508" s="194"/>
      <c r="L508" s="173"/>
      <c r="M508" s="171"/>
      <c r="N508" s="171"/>
      <c r="O508" s="194"/>
      <c r="P508" s="195"/>
      <c r="Q508" s="171"/>
      <c r="R508" s="171"/>
      <c r="S508" s="194"/>
      <c r="T508" s="195"/>
      <c r="U508" s="171"/>
      <c r="V508" s="171"/>
      <c r="W508" s="194"/>
      <c r="X508" s="195"/>
      <c r="Y508" s="171"/>
      <c r="Z508" s="171"/>
      <c r="AA508" s="194"/>
      <c r="AB508" s="195"/>
      <c r="AC508" s="171"/>
      <c r="AD508" s="171"/>
      <c r="AE508" s="194"/>
      <c r="AF508" s="195"/>
      <c r="AG508" s="171"/>
      <c r="AH508" s="171"/>
      <c r="AI508" s="194"/>
      <c r="AJ508" s="196"/>
    </row>
    <row r="509" spans="2:36">
      <c r="B509" s="166"/>
      <c r="C509" s="167"/>
      <c r="D509" s="171"/>
      <c r="E509" s="171"/>
      <c r="F509" s="171"/>
      <c r="G509" s="172"/>
      <c r="H509" s="173"/>
      <c r="I509" s="193"/>
      <c r="J509" s="171"/>
      <c r="K509" s="194"/>
      <c r="L509" s="173"/>
      <c r="M509" s="171"/>
      <c r="N509" s="171"/>
      <c r="O509" s="194"/>
      <c r="P509" s="195"/>
      <c r="Q509" s="171"/>
      <c r="R509" s="171"/>
      <c r="S509" s="194"/>
      <c r="T509" s="195"/>
      <c r="U509" s="171"/>
      <c r="V509" s="171"/>
      <c r="W509" s="194"/>
      <c r="X509" s="195"/>
      <c r="Y509" s="171"/>
      <c r="Z509" s="171"/>
      <c r="AA509" s="194"/>
      <c r="AB509" s="195"/>
      <c r="AC509" s="171"/>
      <c r="AD509" s="171"/>
      <c r="AE509" s="194"/>
      <c r="AF509" s="195"/>
      <c r="AG509" s="171"/>
      <c r="AH509" s="171"/>
      <c r="AI509" s="194"/>
      <c r="AJ509" s="196"/>
    </row>
    <row r="510" spans="2:36">
      <c r="B510" s="166"/>
      <c r="C510" s="167"/>
      <c r="D510" s="171"/>
      <c r="E510" s="171"/>
      <c r="F510" s="171"/>
      <c r="G510" s="172"/>
      <c r="H510" s="173"/>
      <c r="I510" s="193"/>
      <c r="J510" s="171"/>
      <c r="K510" s="194"/>
      <c r="L510" s="173"/>
      <c r="M510" s="171"/>
      <c r="N510" s="171"/>
      <c r="O510" s="194"/>
      <c r="P510" s="195"/>
      <c r="Q510" s="171"/>
      <c r="R510" s="171"/>
      <c r="S510" s="194"/>
      <c r="T510" s="195"/>
      <c r="U510" s="171"/>
      <c r="V510" s="171"/>
      <c r="W510" s="194"/>
      <c r="X510" s="195"/>
      <c r="Y510" s="171"/>
      <c r="Z510" s="171"/>
      <c r="AA510" s="194"/>
      <c r="AB510" s="195"/>
      <c r="AC510" s="171"/>
      <c r="AD510" s="171"/>
      <c r="AE510" s="194"/>
      <c r="AF510" s="195"/>
      <c r="AG510" s="171"/>
      <c r="AH510" s="171"/>
      <c r="AI510" s="194"/>
      <c r="AJ510" s="196"/>
    </row>
    <row r="511" spans="2:36">
      <c r="B511" s="166"/>
      <c r="C511" s="167"/>
      <c r="D511" s="171"/>
      <c r="E511" s="171"/>
      <c r="F511" s="171"/>
      <c r="G511" s="172"/>
      <c r="H511" s="173"/>
      <c r="I511" s="193"/>
      <c r="J511" s="171"/>
      <c r="K511" s="194"/>
      <c r="L511" s="173"/>
      <c r="M511" s="171"/>
      <c r="N511" s="171"/>
      <c r="O511" s="194"/>
      <c r="P511" s="195"/>
      <c r="Q511" s="171"/>
      <c r="R511" s="171"/>
      <c r="S511" s="194"/>
      <c r="T511" s="195"/>
      <c r="U511" s="171"/>
      <c r="V511" s="171"/>
      <c r="W511" s="194"/>
      <c r="X511" s="195"/>
      <c r="Y511" s="171"/>
      <c r="Z511" s="171"/>
      <c r="AA511" s="194"/>
      <c r="AB511" s="195"/>
      <c r="AC511" s="171"/>
      <c r="AD511" s="171"/>
      <c r="AE511" s="194"/>
      <c r="AF511" s="195"/>
      <c r="AG511" s="171"/>
      <c r="AH511" s="171"/>
      <c r="AI511" s="194"/>
      <c r="AJ511" s="196"/>
    </row>
    <row r="512" spans="2:36">
      <c r="B512" s="166"/>
      <c r="C512" s="167"/>
      <c r="D512" s="171"/>
      <c r="E512" s="171"/>
      <c r="F512" s="171"/>
      <c r="G512" s="172"/>
      <c r="H512" s="173"/>
      <c r="I512" s="193"/>
      <c r="J512" s="171"/>
      <c r="K512" s="194"/>
      <c r="L512" s="173"/>
      <c r="M512" s="171"/>
      <c r="N512" s="171"/>
      <c r="O512" s="194"/>
      <c r="P512" s="195"/>
      <c r="Q512" s="171"/>
      <c r="R512" s="171"/>
      <c r="S512" s="194"/>
      <c r="T512" s="195"/>
      <c r="U512" s="171"/>
      <c r="V512" s="171"/>
      <c r="W512" s="194"/>
      <c r="X512" s="195"/>
      <c r="Y512" s="171"/>
      <c r="Z512" s="171"/>
      <c r="AA512" s="194"/>
      <c r="AB512" s="195"/>
      <c r="AC512" s="171"/>
      <c r="AD512" s="171"/>
      <c r="AE512" s="194"/>
      <c r="AF512" s="195"/>
      <c r="AG512" s="171"/>
      <c r="AH512" s="171"/>
      <c r="AI512" s="194"/>
      <c r="AJ512" s="196"/>
    </row>
    <row r="513" spans="2:36">
      <c r="B513" s="166"/>
      <c r="C513" s="167"/>
      <c r="D513" s="171"/>
      <c r="E513" s="171"/>
      <c r="F513" s="171"/>
      <c r="G513" s="172"/>
      <c r="H513" s="173"/>
      <c r="I513" s="193"/>
      <c r="J513" s="171"/>
      <c r="K513" s="194"/>
      <c r="L513" s="173"/>
      <c r="M513" s="171"/>
      <c r="N513" s="171"/>
      <c r="O513" s="194"/>
      <c r="P513" s="195"/>
      <c r="Q513" s="171"/>
      <c r="R513" s="171"/>
      <c r="S513" s="194"/>
      <c r="T513" s="195"/>
      <c r="U513" s="171"/>
      <c r="V513" s="171"/>
      <c r="W513" s="194"/>
      <c r="X513" s="195"/>
      <c r="Y513" s="171"/>
      <c r="Z513" s="171"/>
      <c r="AA513" s="194"/>
      <c r="AB513" s="195"/>
      <c r="AC513" s="171"/>
      <c r="AD513" s="171"/>
      <c r="AE513" s="194"/>
      <c r="AF513" s="195"/>
      <c r="AG513" s="171"/>
      <c r="AH513" s="171"/>
      <c r="AI513" s="194"/>
      <c r="AJ513" s="196"/>
    </row>
    <row r="514" spans="2:36">
      <c r="B514" s="166"/>
      <c r="C514" s="167"/>
      <c r="D514" s="171"/>
      <c r="E514" s="171"/>
      <c r="F514" s="171"/>
      <c r="G514" s="172"/>
      <c r="H514" s="173"/>
      <c r="I514" s="193"/>
      <c r="J514" s="171"/>
      <c r="K514" s="194"/>
      <c r="L514" s="173"/>
      <c r="M514" s="171"/>
      <c r="N514" s="171"/>
      <c r="O514" s="194"/>
      <c r="P514" s="195"/>
      <c r="Q514" s="171"/>
      <c r="R514" s="171"/>
      <c r="S514" s="194"/>
      <c r="T514" s="195"/>
      <c r="U514" s="171"/>
      <c r="V514" s="171"/>
      <c r="W514" s="194"/>
      <c r="X514" s="195"/>
      <c r="Y514" s="171"/>
      <c r="Z514" s="171"/>
      <c r="AA514" s="194"/>
      <c r="AB514" s="195"/>
      <c r="AC514" s="171"/>
      <c r="AD514" s="171"/>
      <c r="AE514" s="194"/>
      <c r="AF514" s="195"/>
      <c r="AG514" s="171"/>
      <c r="AH514" s="171"/>
      <c r="AI514" s="194"/>
      <c r="AJ514" s="196"/>
    </row>
    <row r="515" spans="2:36">
      <c r="B515" s="166"/>
      <c r="C515" s="167"/>
      <c r="D515" s="171"/>
      <c r="E515" s="171"/>
      <c r="F515" s="171"/>
      <c r="G515" s="172"/>
      <c r="H515" s="173"/>
      <c r="I515" s="193"/>
      <c r="J515" s="171"/>
      <c r="K515" s="194"/>
      <c r="L515" s="173"/>
      <c r="M515" s="171"/>
      <c r="N515" s="171"/>
      <c r="O515" s="194"/>
      <c r="P515" s="195"/>
      <c r="Q515" s="171"/>
      <c r="R515" s="171"/>
      <c r="S515" s="194"/>
      <c r="T515" s="195"/>
      <c r="U515" s="171"/>
      <c r="V515" s="171"/>
      <c r="W515" s="194"/>
      <c r="X515" s="195"/>
      <c r="Y515" s="171"/>
      <c r="Z515" s="171"/>
      <c r="AA515" s="194"/>
      <c r="AB515" s="195"/>
      <c r="AC515" s="171"/>
      <c r="AD515" s="171"/>
      <c r="AE515" s="194"/>
      <c r="AF515" s="195"/>
      <c r="AG515" s="171"/>
      <c r="AH515" s="171"/>
      <c r="AI515" s="194"/>
      <c r="AJ515" s="196"/>
    </row>
    <row r="516" spans="2:36">
      <c r="B516" s="166"/>
      <c r="C516" s="167"/>
      <c r="D516" s="171"/>
      <c r="E516" s="171"/>
      <c r="F516" s="171"/>
      <c r="G516" s="172"/>
      <c r="H516" s="173"/>
      <c r="I516" s="193"/>
      <c r="J516" s="171"/>
      <c r="K516" s="194"/>
      <c r="L516" s="173"/>
      <c r="M516" s="171"/>
      <c r="N516" s="171"/>
      <c r="O516" s="194"/>
      <c r="P516" s="195"/>
      <c r="Q516" s="171"/>
      <c r="R516" s="171"/>
      <c r="S516" s="194"/>
      <c r="T516" s="195"/>
      <c r="U516" s="171"/>
      <c r="V516" s="171"/>
      <c r="W516" s="194"/>
      <c r="X516" s="195"/>
      <c r="Y516" s="171"/>
      <c r="Z516" s="171"/>
      <c r="AA516" s="194"/>
      <c r="AB516" s="195"/>
      <c r="AC516" s="171"/>
      <c r="AD516" s="171"/>
      <c r="AE516" s="194"/>
      <c r="AF516" s="195"/>
      <c r="AG516" s="171"/>
      <c r="AH516" s="171"/>
      <c r="AI516" s="194"/>
      <c r="AJ516" s="196"/>
    </row>
    <row r="517" spans="2:36">
      <c r="B517" s="166"/>
      <c r="C517" s="167"/>
      <c r="D517" s="171"/>
      <c r="E517" s="171"/>
      <c r="F517" s="171"/>
      <c r="G517" s="172"/>
      <c r="H517" s="173"/>
      <c r="I517" s="193"/>
      <c r="J517" s="171"/>
      <c r="K517" s="194"/>
      <c r="L517" s="173"/>
      <c r="M517" s="171"/>
      <c r="N517" s="171"/>
      <c r="O517" s="194"/>
      <c r="P517" s="195"/>
      <c r="Q517" s="171"/>
      <c r="R517" s="171"/>
      <c r="S517" s="194"/>
      <c r="T517" s="195"/>
      <c r="U517" s="171"/>
      <c r="V517" s="171"/>
      <c r="W517" s="194"/>
      <c r="X517" s="195"/>
      <c r="Y517" s="171"/>
      <c r="Z517" s="171"/>
      <c r="AA517" s="194"/>
      <c r="AB517" s="195"/>
      <c r="AC517" s="171"/>
      <c r="AD517" s="171"/>
      <c r="AE517" s="194"/>
      <c r="AF517" s="195"/>
      <c r="AG517" s="171"/>
      <c r="AH517" s="171"/>
      <c r="AI517" s="194"/>
      <c r="AJ517" s="196"/>
    </row>
    <row r="518" spans="2:36">
      <c r="B518" s="166"/>
      <c r="C518" s="167"/>
      <c r="D518" s="171"/>
      <c r="E518" s="171"/>
      <c r="F518" s="171"/>
      <c r="G518" s="172"/>
      <c r="H518" s="173"/>
      <c r="I518" s="193"/>
      <c r="J518" s="171"/>
      <c r="K518" s="194"/>
      <c r="L518" s="173"/>
      <c r="M518" s="171"/>
      <c r="N518" s="171"/>
      <c r="O518" s="194"/>
      <c r="P518" s="195"/>
      <c r="Q518" s="171"/>
      <c r="R518" s="171"/>
      <c r="S518" s="194"/>
      <c r="T518" s="195"/>
      <c r="U518" s="171"/>
      <c r="V518" s="171"/>
      <c r="W518" s="194"/>
      <c r="X518" s="195"/>
      <c r="Y518" s="171"/>
      <c r="Z518" s="171"/>
      <c r="AA518" s="194"/>
      <c r="AB518" s="195"/>
      <c r="AC518" s="171"/>
      <c r="AD518" s="171"/>
      <c r="AE518" s="194"/>
      <c r="AF518" s="195"/>
      <c r="AG518" s="171"/>
      <c r="AH518" s="171"/>
      <c r="AI518" s="194"/>
      <c r="AJ518" s="196"/>
    </row>
    <row r="519" spans="2:36">
      <c r="B519" s="166"/>
      <c r="C519" s="167"/>
      <c r="D519" s="171"/>
      <c r="E519" s="171"/>
      <c r="F519" s="171"/>
      <c r="G519" s="172"/>
      <c r="H519" s="173"/>
      <c r="I519" s="193"/>
      <c r="J519" s="171"/>
      <c r="K519" s="194"/>
      <c r="L519" s="173"/>
      <c r="M519" s="171"/>
      <c r="N519" s="171"/>
      <c r="O519" s="194"/>
      <c r="P519" s="195"/>
      <c r="Q519" s="171"/>
      <c r="R519" s="171"/>
      <c r="S519" s="194"/>
      <c r="T519" s="195"/>
      <c r="U519" s="171"/>
      <c r="V519" s="171"/>
      <c r="W519" s="194"/>
      <c r="X519" s="195"/>
      <c r="Y519" s="171"/>
      <c r="Z519" s="171"/>
      <c r="AA519" s="194"/>
      <c r="AB519" s="195"/>
      <c r="AC519" s="171"/>
      <c r="AD519" s="171"/>
      <c r="AE519" s="194"/>
      <c r="AF519" s="195"/>
      <c r="AG519" s="171"/>
      <c r="AH519" s="171"/>
      <c r="AI519" s="194"/>
      <c r="AJ519" s="196"/>
    </row>
    <row r="520" spans="2:36">
      <c r="B520" s="166"/>
      <c r="C520" s="167"/>
      <c r="D520" s="171"/>
      <c r="E520" s="171"/>
      <c r="F520" s="171"/>
      <c r="G520" s="172"/>
      <c r="H520" s="173"/>
      <c r="I520" s="193"/>
      <c r="J520" s="171"/>
      <c r="K520" s="194"/>
      <c r="L520" s="173"/>
      <c r="M520" s="171"/>
      <c r="N520" s="171"/>
      <c r="O520" s="194"/>
      <c r="P520" s="195"/>
      <c r="Q520" s="171"/>
      <c r="R520" s="171"/>
      <c r="S520" s="194"/>
      <c r="T520" s="195"/>
      <c r="U520" s="171"/>
      <c r="V520" s="171"/>
      <c r="W520" s="194"/>
      <c r="X520" s="195"/>
      <c r="Y520" s="171"/>
      <c r="Z520" s="171"/>
      <c r="AA520" s="194"/>
      <c r="AB520" s="195"/>
      <c r="AC520" s="171"/>
      <c r="AD520" s="171"/>
      <c r="AE520" s="194"/>
      <c r="AF520" s="195"/>
      <c r="AG520" s="171"/>
      <c r="AH520" s="171"/>
      <c r="AI520" s="194"/>
      <c r="AJ520" s="196"/>
    </row>
    <row r="521" spans="2:36">
      <c r="B521" s="166"/>
      <c r="C521" s="167"/>
      <c r="D521" s="171"/>
      <c r="E521" s="171"/>
      <c r="F521" s="171"/>
      <c r="G521" s="172"/>
      <c r="H521" s="173"/>
      <c r="I521" s="193"/>
      <c r="J521" s="171"/>
      <c r="K521" s="194"/>
      <c r="L521" s="173"/>
      <c r="M521" s="171"/>
      <c r="N521" s="171"/>
      <c r="O521" s="194"/>
      <c r="P521" s="195"/>
      <c r="Q521" s="171"/>
      <c r="R521" s="171"/>
      <c r="S521" s="194"/>
      <c r="T521" s="195"/>
      <c r="U521" s="171"/>
      <c r="V521" s="171"/>
      <c r="W521" s="194"/>
      <c r="X521" s="195"/>
      <c r="Y521" s="171"/>
      <c r="Z521" s="171"/>
      <c r="AA521" s="194"/>
      <c r="AB521" s="195"/>
      <c r="AC521" s="171"/>
      <c r="AD521" s="171"/>
      <c r="AE521" s="194"/>
      <c r="AF521" s="195"/>
      <c r="AG521" s="171"/>
      <c r="AH521" s="171"/>
      <c r="AI521" s="194"/>
      <c r="AJ521" s="196"/>
    </row>
    <row r="522" spans="2:36">
      <c r="B522" s="166"/>
      <c r="C522" s="167"/>
      <c r="D522" s="171"/>
      <c r="E522" s="171"/>
      <c r="F522" s="171"/>
      <c r="G522" s="172"/>
      <c r="H522" s="173"/>
      <c r="I522" s="193"/>
      <c r="J522" s="171"/>
      <c r="K522" s="194"/>
      <c r="L522" s="173"/>
      <c r="M522" s="171"/>
      <c r="N522" s="171"/>
      <c r="O522" s="194"/>
      <c r="P522" s="195"/>
      <c r="Q522" s="171"/>
      <c r="R522" s="171"/>
      <c r="S522" s="194"/>
      <c r="T522" s="195"/>
      <c r="U522" s="171"/>
      <c r="V522" s="171"/>
      <c r="W522" s="194"/>
      <c r="X522" s="195"/>
      <c r="Y522" s="171"/>
      <c r="Z522" s="171"/>
      <c r="AA522" s="194"/>
      <c r="AB522" s="195"/>
      <c r="AC522" s="171"/>
      <c r="AD522" s="171"/>
      <c r="AE522" s="194"/>
      <c r="AF522" s="195"/>
      <c r="AG522" s="171"/>
      <c r="AH522" s="171"/>
      <c r="AI522" s="194"/>
      <c r="AJ522" s="196"/>
    </row>
    <row r="523" spans="2:36">
      <c r="B523" s="166"/>
      <c r="C523" s="167"/>
      <c r="D523" s="171"/>
      <c r="E523" s="171"/>
      <c r="F523" s="171"/>
      <c r="G523" s="172"/>
      <c r="H523" s="173"/>
      <c r="I523" s="193"/>
      <c r="J523" s="171"/>
      <c r="K523" s="194"/>
      <c r="L523" s="173"/>
      <c r="M523" s="171"/>
      <c r="N523" s="171"/>
      <c r="O523" s="194"/>
      <c r="P523" s="195"/>
      <c r="Q523" s="171"/>
      <c r="R523" s="171"/>
      <c r="S523" s="194"/>
      <c r="T523" s="195"/>
      <c r="U523" s="171"/>
      <c r="V523" s="171"/>
      <c r="W523" s="194"/>
      <c r="X523" s="195"/>
      <c r="Y523" s="171"/>
      <c r="Z523" s="171"/>
      <c r="AA523" s="194"/>
      <c r="AB523" s="195"/>
      <c r="AC523" s="171"/>
      <c r="AD523" s="171"/>
      <c r="AE523" s="194"/>
      <c r="AF523" s="195"/>
      <c r="AG523" s="171"/>
      <c r="AH523" s="171"/>
      <c r="AI523" s="194"/>
      <c r="AJ523" s="196"/>
    </row>
    <row r="524" spans="2:36">
      <c r="B524" s="166"/>
      <c r="C524" s="167"/>
      <c r="D524" s="171"/>
      <c r="E524" s="171"/>
      <c r="F524" s="171"/>
      <c r="G524" s="172"/>
      <c r="H524" s="173"/>
      <c r="I524" s="193"/>
      <c r="J524" s="171"/>
      <c r="K524" s="194"/>
      <c r="L524" s="173"/>
      <c r="M524" s="171"/>
      <c r="N524" s="171"/>
      <c r="O524" s="194"/>
      <c r="P524" s="195"/>
      <c r="Q524" s="171"/>
      <c r="R524" s="171"/>
      <c r="S524" s="194"/>
      <c r="T524" s="195"/>
      <c r="U524" s="171"/>
      <c r="V524" s="171"/>
      <c r="W524" s="194"/>
      <c r="X524" s="195"/>
      <c r="Y524" s="171"/>
      <c r="Z524" s="171"/>
      <c r="AA524" s="194"/>
      <c r="AB524" s="195"/>
      <c r="AC524" s="171"/>
      <c r="AD524" s="171"/>
      <c r="AE524" s="194"/>
      <c r="AF524" s="195"/>
      <c r="AG524" s="171"/>
      <c r="AH524" s="171"/>
      <c r="AI524" s="194"/>
      <c r="AJ524" s="196"/>
    </row>
    <row r="525" spans="2:36">
      <c r="B525" s="166"/>
      <c r="C525" s="167"/>
      <c r="D525" s="171"/>
      <c r="E525" s="171"/>
      <c r="F525" s="171"/>
      <c r="G525" s="172"/>
      <c r="H525" s="173"/>
      <c r="I525" s="193"/>
      <c r="J525" s="171"/>
      <c r="K525" s="194"/>
      <c r="L525" s="173"/>
      <c r="M525" s="171"/>
      <c r="N525" s="171"/>
      <c r="O525" s="194"/>
      <c r="P525" s="195"/>
      <c r="Q525" s="171"/>
      <c r="R525" s="171"/>
      <c r="S525" s="194"/>
      <c r="T525" s="195"/>
      <c r="U525" s="171"/>
      <c r="V525" s="171"/>
      <c r="W525" s="194"/>
      <c r="X525" s="195"/>
      <c r="Y525" s="171"/>
      <c r="Z525" s="171"/>
      <c r="AA525" s="194"/>
      <c r="AB525" s="195"/>
      <c r="AC525" s="171"/>
      <c r="AD525" s="171"/>
      <c r="AE525" s="194"/>
      <c r="AF525" s="195"/>
      <c r="AG525" s="171"/>
      <c r="AH525" s="171"/>
      <c r="AI525" s="194"/>
      <c r="AJ525" s="196"/>
    </row>
    <row r="526" spans="2:36">
      <c r="B526" s="166"/>
      <c r="C526" s="167"/>
      <c r="D526" s="171"/>
      <c r="E526" s="171"/>
      <c r="F526" s="171"/>
      <c r="G526" s="172"/>
      <c r="H526" s="173"/>
      <c r="I526" s="193"/>
      <c r="J526" s="171"/>
      <c r="K526" s="194"/>
      <c r="L526" s="173"/>
      <c r="M526" s="171"/>
      <c r="N526" s="171"/>
      <c r="O526" s="194"/>
      <c r="P526" s="195"/>
      <c r="Q526" s="171"/>
      <c r="R526" s="171"/>
      <c r="S526" s="194"/>
      <c r="T526" s="195"/>
      <c r="U526" s="171"/>
      <c r="V526" s="171"/>
      <c r="W526" s="194"/>
      <c r="X526" s="195"/>
      <c r="Y526" s="171"/>
      <c r="Z526" s="171"/>
      <c r="AA526" s="194"/>
      <c r="AB526" s="195"/>
      <c r="AC526" s="171"/>
      <c r="AD526" s="171"/>
      <c r="AE526" s="194"/>
      <c r="AF526" s="195"/>
      <c r="AG526" s="171"/>
      <c r="AH526" s="171"/>
      <c r="AI526" s="194"/>
      <c r="AJ526" s="196"/>
    </row>
    <row r="527" spans="2:36">
      <c r="B527" s="166"/>
      <c r="C527" s="167"/>
      <c r="D527" s="171"/>
      <c r="E527" s="171"/>
      <c r="F527" s="171"/>
      <c r="G527" s="172"/>
      <c r="H527" s="173"/>
      <c r="I527" s="193"/>
      <c r="J527" s="171"/>
      <c r="K527" s="194"/>
      <c r="L527" s="173"/>
      <c r="M527" s="171"/>
      <c r="N527" s="171"/>
      <c r="O527" s="194"/>
      <c r="P527" s="195"/>
      <c r="Q527" s="171"/>
      <c r="R527" s="171"/>
      <c r="S527" s="194"/>
      <c r="T527" s="195"/>
      <c r="U527" s="171"/>
      <c r="V527" s="171"/>
      <c r="W527" s="194"/>
      <c r="X527" s="195"/>
      <c r="Y527" s="171"/>
      <c r="Z527" s="171"/>
      <c r="AA527" s="194"/>
      <c r="AB527" s="195"/>
      <c r="AC527" s="171"/>
      <c r="AD527" s="171"/>
      <c r="AE527" s="194"/>
      <c r="AF527" s="195"/>
      <c r="AG527" s="171"/>
      <c r="AH527" s="171"/>
      <c r="AI527" s="194"/>
      <c r="AJ527" s="196"/>
    </row>
    <row r="528" spans="2:36">
      <c r="B528" s="166"/>
      <c r="C528" s="167"/>
      <c r="D528" s="171"/>
      <c r="E528" s="171"/>
      <c r="F528" s="171"/>
      <c r="G528" s="172"/>
      <c r="H528" s="173"/>
      <c r="I528" s="193"/>
      <c r="J528" s="171"/>
      <c r="K528" s="194"/>
      <c r="L528" s="173"/>
      <c r="M528" s="171"/>
      <c r="N528" s="171"/>
      <c r="O528" s="194"/>
      <c r="P528" s="195"/>
      <c r="Q528" s="171"/>
      <c r="R528" s="171"/>
      <c r="S528" s="194"/>
      <c r="T528" s="195"/>
      <c r="U528" s="171"/>
      <c r="V528" s="171"/>
      <c r="W528" s="194"/>
      <c r="X528" s="195"/>
      <c r="Y528" s="171"/>
      <c r="Z528" s="171"/>
      <c r="AA528" s="194"/>
      <c r="AB528" s="195"/>
      <c r="AC528" s="171"/>
      <c r="AD528" s="171"/>
      <c r="AE528" s="194"/>
      <c r="AF528" s="195"/>
      <c r="AG528" s="171"/>
      <c r="AH528" s="171"/>
      <c r="AI528" s="194"/>
      <c r="AJ528" s="196"/>
    </row>
    <row r="529" spans="2:36">
      <c r="B529" s="166"/>
      <c r="C529" s="167"/>
      <c r="D529" s="171"/>
      <c r="E529" s="171"/>
      <c r="F529" s="171"/>
      <c r="G529" s="172"/>
      <c r="H529" s="173"/>
      <c r="I529" s="193"/>
      <c r="J529" s="171"/>
      <c r="K529" s="194"/>
      <c r="L529" s="173"/>
      <c r="M529" s="171"/>
      <c r="N529" s="171"/>
      <c r="O529" s="194"/>
      <c r="P529" s="195"/>
      <c r="Q529" s="171"/>
      <c r="R529" s="171"/>
      <c r="S529" s="194"/>
      <c r="T529" s="195"/>
      <c r="U529" s="171"/>
      <c r="V529" s="171"/>
      <c r="W529" s="194"/>
      <c r="X529" s="195"/>
      <c r="Y529" s="171"/>
      <c r="Z529" s="171"/>
      <c r="AA529" s="194"/>
      <c r="AB529" s="195"/>
      <c r="AC529" s="171"/>
      <c r="AD529" s="171"/>
      <c r="AE529" s="194"/>
      <c r="AF529" s="195"/>
      <c r="AG529" s="171"/>
      <c r="AH529" s="171"/>
      <c r="AI529" s="194"/>
      <c r="AJ529" s="196"/>
    </row>
    <row r="530" spans="2:36">
      <c r="B530" s="166"/>
      <c r="C530" s="167"/>
      <c r="D530" s="171"/>
      <c r="E530" s="171"/>
      <c r="F530" s="171"/>
      <c r="G530" s="172"/>
      <c r="H530" s="173"/>
      <c r="I530" s="193"/>
      <c r="J530" s="171"/>
      <c r="K530" s="194"/>
      <c r="L530" s="173"/>
      <c r="M530" s="171"/>
      <c r="N530" s="171"/>
      <c r="O530" s="194"/>
      <c r="P530" s="195"/>
      <c r="Q530" s="171"/>
      <c r="R530" s="171"/>
      <c r="S530" s="194"/>
      <c r="T530" s="195"/>
      <c r="U530" s="171"/>
      <c r="V530" s="171"/>
      <c r="W530" s="194"/>
      <c r="X530" s="195"/>
      <c r="Y530" s="171"/>
      <c r="Z530" s="171"/>
      <c r="AA530" s="194"/>
      <c r="AB530" s="195"/>
      <c r="AC530" s="171"/>
      <c r="AD530" s="171"/>
      <c r="AE530" s="194"/>
      <c r="AF530" s="195"/>
      <c r="AG530" s="171"/>
      <c r="AH530" s="171"/>
      <c r="AI530" s="194"/>
      <c r="AJ530" s="196"/>
    </row>
    <row r="531" spans="2:36">
      <c r="B531" s="166"/>
      <c r="C531" s="167"/>
      <c r="D531" s="171"/>
      <c r="E531" s="171"/>
      <c r="F531" s="171"/>
      <c r="G531" s="172"/>
      <c r="H531" s="173"/>
      <c r="I531" s="193"/>
      <c r="J531" s="171"/>
      <c r="K531" s="194"/>
      <c r="L531" s="173"/>
      <c r="M531" s="171"/>
      <c r="N531" s="171"/>
      <c r="O531" s="194"/>
      <c r="P531" s="195"/>
      <c r="Q531" s="171"/>
      <c r="R531" s="171"/>
      <c r="S531" s="194"/>
      <c r="T531" s="195"/>
      <c r="U531" s="171"/>
      <c r="V531" s="171"/>
      <c r="W531" s="194"/>
      <c r="X531" s="195"/>
      <c r="Y531" s="171"/>
      <c r="Z531" s="171"/>
      <c r="AA531" s="194"/>
      <c r="AB531" s="195"/>
      <c r="AC531" s="171"/>
      <c r="AD531" s="171"/>
      <c r="AE531" s="194"/>
      <c r="AF531" s="195"/>
      <c r="AG531" s="171"/>
      <c r="AH531" s="171"/>
      <c r="AI531" s="194"/>
      <c r="AJ531" s="196"/>
    </row>
    <row r="532" spans="2:36">
      <c r="B532" s="166"/>
      <c r="C532" s="167"/>
      <c r="D532" s="171"/>
      <c r="E532" s="171"/>
      <c r="F532" s="171"/>
      <c r="G532" s="172"/>
      <c r="H532" s="173"/>
      <c r="I532" s="193"/>
      <c r="J532" s="171"/>
      <c r="K532" s="194"/>
      <c r="L532" s="173"/>
      <c r="M532" s="171"/>
      <c r="N532" s="171"/>
      <c r="O532" s="194"/>
      <c r="P532" s="195"/>
      <c r="Q532" s="171"/>
      <c r="R532" s="171"/>
      <c r="S532" s="194"/>
      <c r="T532" s="195"/>
      <c r="U532" s="171"/>
      <c r="V532" s="171"/>
      <c r="W532" s="194"/>
      <c r="X532" s="195"/>
      <c r="Y532" s="171"/>
      <c r="Z532" s="171"/>
      <c r="AA532" s="194"/>
      <c r="AB532" s="195"/>
      <c r="AC532" s="171"/>
      <c r="AD532" s="171"/>
      <c r="AE532" s="194"/>
      <c r="AF532" s="195"/>
      <c r="AG532" s="171"/>
      <c r="AH532" s="171"/>
      <c r="AI532" s="194"/>
      <c r="AJ532" s="196"/>
    </row>
    <row r="533" spans="2:36">
      <c r="B533" s="166"/>
      <c r="C533" s="167"/>
      <c r="D533" s="171"/>
      <c r="E533" s="171"/>
      <c r="F533" s="171"/>
      <c r="G533" s="172"/>
      <c r="H533" s="173"/>
      <c r="I533" s="193"/>
      <c r="J533" s="171"/>
      <c r="K533" s="194"/>
      <c r="L533" s="173"/>
      <c r="M533" s="171"/>
      <c r="N533" s="171"/>
      <c r="O533" s="194"/>
      <c r="P533" s="195"/>
      <c r="Q533" s="171"/>
      <c r="R533" s="171"/>
      <c r="S533" s="194"/>
      <c r="T533" s="195"/>
      <c r="U533" s="171"/>
      <c r="V533" s="171"/>
      <c r="W533" s="194"/>
      <c r="X533" s="195"/>
      <c r="Y533" s="171"/>
      <c r="Z533" s="171"/>
      <c r="AA533" s="194"/>
      <c r="AB533" s="195"/>
      <c r="AC533" s="171"/>
      <c r="AD533" s="171"/>
      <c r="AE533" s="194"/>
      <c r="AF533" s="195"/>
      <c r="AG533" s="171"/>
      <c r="AH533" s="171"/>
      <c r="AI533" s="194"/>
      <c r="AJ533" s="196"/>
    </row>
    <row r="534" spans="2:36">
      <c r="B534" s="166"/>
      <c r="C534" s="167"/>
      <c r="D534" s="171"/>
      <c r="E534" s="171"/>
      <c r="F534" s="171"/>
      <c r="G534" s="172"/>
      <c r="H534" s="173"/>
      <c r="I534" s="193"/>
      <c r="J534" s="171"/>
      <c r="K534" s="194"/>
      <c r="L534" s="173"/>
      <c r="M534" s="171"/>
      <c r="N534" s="171"/>
      <c r="O534" s="194"/>
      <c r="P534" s="195"/>
      <c r="Q534" s="171"/>
      <c r="R534" s="171"/>
      <c r="S534" s="194"/>
      <c r="T534" s="195"/>
      <c r="U534" s="171"/>
      <c r="V534" s="171"/>
      <c r="W534" s="194"/>
      <c r="X534" s="195"/>
      <c r="Y534" s="171"/>
      <c r="Z534" s="171"/>
      <c r="AA534" s="194"/>
      <c r="AB534" s="195"/>
      <c r="AC534" s="171"/>
      <c r="AD534" s="171"/>
      <c r="AE534" s="194"/>
      <c r="AF534" s="195"/>
      <c r="AG534" s="171"/>
      <c r="AH534" s="171"/>
      <c r="AI534" s="194"/>
      <c r="AJ534" s="196"/>
    </row>
    <row r="535" spans="2:36">
      <c r="B535" s="166"/>
      <c r="C535" s="167"/>
      <c r="D535" s="171"/>
      <c r="E535" s="171"/>
      <c r="F535" s="171"/>
      <c r="G535" s="172"/>
      <c r="H535" s="173"/>
      <c r="I535" s="193"/>
      <c r="J535" s="171"/>
      <c r="K535" s="194"/>
      <c r="L535" s="173"/>
      <c r="M535" s="171"/>
      <c r="N535" s="171"/>
      <c r="O535" s="194"/>
      <c r="P535" s="195"/>
      <c r="Q535" s="171"/>
      <c r="R535" s="171"/>
      <c r="S535" s="194"/>
      <c r="T535" s="195"/>
      <c r="U535" s="171"/>
      <c r="V535" s="171"/>
      <c r="W535" s="194"/>
      <c r="X535" s="195"/>
      <c r="Y535" s="171"/>
      <c r="Z535" s="171"/>
      <c r="AA535" s="194"/>
      <c r="AB535" s="195"/>
      <c r="AC535" s="171"/>
      <c r="AD535" s="171"/>
      <c r="AE535" s="194"/>
      <c r="AF535" s="195"/>
      <c r="AG535" s="171"/>
      <c r="AH535" s="171"/>
      <c r="AI535" s="194"/>
      <c r="AJ535" s="196"/>
    </row>
    <row r="536" spans="2:36">
      <c r="B536" s="166"/>
      <c r="C536" s="167"/>
      <c r="D536" s="171"/>
      <c r="E536" s="171"/>
      <c r="F536" s="171"/>
      <c r="G536" s="172"/>
      <c r="H536" s="173"/>
      <c r="I536" s="193"/>
      <c r="J536" s="171"/>
      <c r="K536" s="194"/>
      <c r="L536" s="173"/>
      <c r="M536" s="171"/>
      <c r="N536" s="171"/>
      <c r="O536" s="194"/>
      <c r="P536" s="195"/>
      <c r="Q536" s="171"/>
      <c r="R536" s="171"/>
      <c r="S536" s="194"/>
      <c r="T536" s="195"/>
      <c r="U536" s="171"/>
      <c r="V536" s="171"/>
      <c r="W536" s="194"/>
      <c r="X536" s="195"/>
      <c r="Y536" s="171"/>
      <c r="Z536" s="171"/>
      <c r="AA536" s="194"/>
      <c r="AB536" s="195"/>
      <c r="AC536" s="171"/>
      <c r="AD536" s="171"/>
      <c r="AE536" s="194"/>
      <c r="AF536" s="195"/>
      <c r="AG536" s="171"/>
      <c r="AH536" s="171"/>
      <c r="AI536" s="194"/>
      <c r="AJ536" s="196"/>
    </row>
    <row r="537" spans="2:36">
      <c r="B537" s="166"/>
      <c r="C537" s="167"/>
      <c r="D537" s="171"/>
      <c r="E537" s="171"/>
      <c r="F537" s="171"/>
      <c r="G537" s="172"/>
      <c r="H537" s="173"/>
      <c r="I537" s="193"/>
      <c r="J537" s="171"/>
      <c r="K537" s="194"/>
      <c r="L537" s="173"/>
      <c r="M537" s="171"/>
      <c r="N537" s="171"/>
      <c r="O537" s="194"/>
      <c r="P537" s="195"/>
      <c r="Q537" s="171"/>
      <c r="R537" s="171"/>
      <c r="S537" s="194"/>
      <c r="T537" s="195"/>
      <c r="U537" s="171"/>
      <c r="V537" s="171"/>
      <c r="W537" s="194"/>
      <c r="X537" s="195"/>
      <c r="Y537" s="171"/>
      <c r="Z537" s="171"/>
      <c r="AA537" s="194"/>
      <c r="AB537" s="195"/>
      <c r="AC537" s="171"/>
      <c r="AD537" s="171"/>
      <c r="AE537" s="194"/>
      <c r="AF537" s="195"/>
      <c r="AG537" s="171"/>
      <c r="AH537" s="171"/>
      <c r="AI537" s="194"/>
      <c r="AJ537" s="196"/>
    </row>
    <row r="538" spans="2:36">
      <c r="B538" s="166"/>
      <c r="C538" s="167"/>
      <c r="D538" s="171"/>
      <c r="E538" s="171"/>
      <c r="F538" s="171"/>
      <c r="G538" s="172"/>
      <c r="H538" s="173"/>
      <c r="I538" s="193"/>
      <c r="J538" s="171"/>
      <c r="K538" s="194"/>
      <c r="L538" s="173"/>
      <c r="M538" s="171"/>
      <c r="N538" s="171"/>
      <c r="O538" s="194"/>
      <c r="P538" s="195"/>
      <c r="Q538" s="171"/>
      <c r="R538" s="171"/>
      <c r="S538" s="194"/>
      <c r="T538" s="195"/>
      <c r="U538" s="171"/>
      <c r="V538" s="171"/>
      <c r="W538" s="194"/>
      <c r="X538" s="195"/>
      <c r="Y538" s="171"/>
      <c r="Z538" s="171"/>
      <c r="AA538" s="194"/>
      <c r="AB538" s="195"/>
      <c r="AC538" s="171"/>
      <c r="AD538" s="171"/>
      <c r="AE538" s="194"/>
      <c r="AF538" s="195"/>
      <c r="AG538" s="171"/>
      <c r="AH538" s="171"/>
      <c r="AI538" s="194"/>
      <c r="AJ538" s="196"/>
    </row>
    <row r="539" spans="2:36">
      <c r="B539" s="166"/>
      <c r="C539" s="167"/>
      <c r="D539" s="171"/>
      <c r="E539" s="171"/>
      <c r="F539" s="171"/>
      <c r="G539" s="172"/>
      <c r="H539" s="173"/>
      <c r="I539" s="193"/>
      <c r="J539" s="171"/>
      <c r="K539" s="194"/>
      <c r="L539" s="173"/>
      <c r="M539" s="171"/>
      <c r="N539" s="171"/>
      <c r="O539" s="194"/>
      <c r="P539" s="195"/>
      <c r="Q539" s="171"/>
      <c r="R539" s="171"/>
      <c r="S539" s="194"/>
      <c r="T539" s="195"/>
      <c r="U539" s="171"/>
      <c r="V539" s="171"/>
      <c r="W539" s="194"/>
      <c r="X539" s="195"/>
      <c r="Y539" s="171"/>
      <c r="Z539" s="171"/>
      <c r="AA539" s="194"/>
      <c r="AB539" s="195"/>
      <c r="AC539" s="171"/>
      <c r="AD539" s="171"/>
      <c r="AE539" s="194"/>
      <c r="AF539" s="195"/>
      <c r="AG539" s="171"/>
      <c r="AH539" s="171"/>
      <c r="AI539" s="194"/>
      <c r="AJ539" s="196"/>
    </row>
    <row r="540" spans="2:36">
      <c r="B540" s="166"/>
      <c r="C540" s="167"/>
      <c r="D540" s="171"/>
      <c r="E540" s="171"/>
      <c r="F540" s="171"/>
      <c r="G540" s="172"/>
      <c r="H540" s="173"/>
      <c r="I540" s="193"/>
      <c r="J540" s="171"/>
      <c r="K540" s="194"/>
      <c r="L540" s="173"/>
      <c r="M540" s="171"/>
      <c r="N540" s="171"/>
      <c r="O540" s="194"/>
      <c r="P540" s="195"/>
      <c r="Q540" s="171"/>
      <c r="R540" s="171"/>
      <c r="S540" s="194"/>
      <c r="T540" s="195"/>
      <c r="U540" s="171"/>
      <c r="V540" s="171"/>
      <c r="W540" s="194"/>
      <c r="X540" s="195"/>
      <c r="Y540" s="171"/>
      <c r="Z540" s="171"/>
      <c r="AA540" s="194"/>
      <c r="AB540" s="195"/>
      <c r="AC540" s="171"/>
      <c r="AD540" s="171"/>
      <c r="AE540" s="194"/>
      <c r="AF540" s="195"/>
      <c r="AG540" s="171"/>
      <c r="AH540" s="171"/>
      <c r="AI540" s="194"/>
      <c r="AJ540" s="196"/>
    </row>
    <row r="541" spans="2:36">
      <c r="B541" s="166"/>
      <c r="C541" s="167"/>
      <c r="D541" s="171"/>
      <c r="E541" s="171"/>
      <c r="F541" s="171"/>
      <c r="G541" s="172"/>
      <c r="H541" s="173"/>
      <c r="I541" s="193"/>
      <c r="J541" s="171"/>
      <c r="K541" s="194"/>
      <c r="L541" s="173"/>
      <c r="M541" s="171"/>
      <c r="N541" s="171"/>
      <c r="O541" s="194"/>
      <c r="P541" s="195"/>
      <c r="Q541" s="171"/>
      <c r="R541" s="171"/>
      <c r="S541" s="194"/>
      <c r="T541" s="195"/>
      <c r="U541" s="171"/>
      <c r="V541" s="171"/>
      <c r="W541" s="194"/>
      <c r="X541" s="195"/>
      <c r="Y541" s="171"/>
      <c r="Z541" s="171"/>
      <c r="AA541" s="194"/>
      <c r="AB541" s="195"/>
      <c r="AC541" s="171"/>
      <c r="AD541" s="171"/>
      <c r="AE541" s="194"/>
      <c r="AF541" s="195"/>
      <c r="AG541" s="171"/>
      <c r="AH541" s="171"/>
      <c r="AI541" s="194"/>
      <c r="AJ541" s="196"/>
    </row>
    <row r="542" spans="2:36">
      <c r="B542" s="166"/>
      <c r="C542" s="167"/>
      <c r="D542" s="171"/>
      <c r="E542" s="171"/>
      <c r="F542" s="171"/>
      <c r="G542" s="172"/>
      <c r="H542" s="173"/>
      <c r="I542" s="193"/>
      <c r="J542" s="171"/>
      <c r="K542" s="194"/>
      <c r="L542" s="173"/>
      <c r="M542" s="171"/>
      <c r="N542" s="171"/>
      <c r="O542" s="194"/>
      <c r="P542" s="195"/>
      <c r="Q542" s="171"/>
      <c r="R542" s="171"/>
      <c r="S542" s="194"/>
      <c r="T542" s="195"/>
      <c r="U542" s="171"/>
      <c r="V542" s="171"/>
      <c r="W542" s="194"/>
      <c r="X542" s="195"/>
      <c r="Y542" s="171"/>
      <c r="Z542" s="171"/>
      <c r="AA542" s="194"/>
      <c r="AB542" s="195"/>
      <c r="AC542" s="171"/>
      <c r="AD542" s="171"/>
      <c r="AE542" s="194"/>
      <c r="AF542" s="195"/>
      <c r="AG542" s="171"/>
      <c r="AH542" s="171"/>
      <c r="AI542" s="194"/>
      <c r="AJ542" s="196"/>
    </row>
    <row r="543" spans="2:36">
      <c r="B543" s="166"/>
      <c r="C543" s="167"/>
      <c r="D543" s="171"/>
      <c r="E543" s="171"/>
      <c r="F543" s="171"/>
      <c r="G543" s="172"/>
      <c r="H543" s="173"/>
      <c r="I543" s="193"/>
      <c r="J543" s="171"/>
      <c r="K543" s="194"/>
      <c r="L543" s="173"/>
      <c r="M543" s="171"/>
      <c r="N543" s="171"/>
      <c r="O543" s="194"/>
      <c r="P543" s="195"/>
      <c r="Q543" s="171"/>
      <c r="R543" s="171"/>
      <c r="S543" s="194"/>
      <c r="T543" s="195"/>
      <c r="U543" s="171"/>
      <c r="V543" s="171"/>
      <c r="W543" s="194"/>
      <c r="X543" s="195"/>
      <c r="Y543" s="171"/>
      <c r="Z543" s="171"/>
      <c r="AA543" s="194"/>
      <c r="AB543" s="195"/>
      <c r="AC543" s="171"/>
      <c r="AD543" s="171"/>
      <c r="AE543" s="194"/>
      <c r="AF543" s="195"/>
      <c r="AG543" s="171"/>
      <c r="AH543" s="171"/>
      <c r="AI543" s="194"/>
      <c r="AJ543" s="196"/>
    </row>
    <row r="544" spans="2:36">
      <c r="B544" s="166"/>
      <c r="C544" s="167"/>
      <c r="D544" s="171"/>
      <c r="E544" s="171"/>
      <c r="F544" s="171"/>
      <c r="G544" s="172"/>
      <c r="H544" s="173"/>
      <c r="I544" s="193"/>
      <c r="J544" s="171"/>
      <c r="K544" s="194"/>
      <c r="L544" s="173"/>
      <c r="M544" s="171"/>
      <c r="N544" s="171"/>
      <c r="O544" s="194"/>
      <c r="P544" s="195"/>
      <c r="Q544" s="171"/>
      <c r="R544" s="171"/>
      <c r="S544" s="194"/>
      <c r="T544" s="195"/>
      <c r="U544" s="171"/>
      <c r="V544" s="171"/>
      <c r="W544" s="194"/>
      <c r="X544" s="195"/>
      <c r="Y544" s="171"/>
      <c r="Z544" s="171"/>
      <c r="AA544" s="194"/>
      <c r="AB544" s="195"/>
      <c r="AC544" s="171"/>
      <c r="AD544" s="171"/>
      <c r="AE544" s="194"/>
      <c r="AF544" s="195"/>
      <c r="AG544" s="171"/>
      <c r="AH544" s="171"/>
      <c r="AI544" s="194"/>
      <c r="AJ544" s="196"/>
    </row>
    <row r="545" spans="2:36">
      <c r="B545" s="166"/>
      <c r="C545" s="167"/>
      <c r="D545" s="171"/>
      <c r="E545" s="171"/>
      <c r="F545" s="171"/>
      <c r="G545" s="172"/>
      <c r="H545" s="173"/>
      <c r="I545" s="193"/>
      <c r="J545" s="171"/>
      <c r="K545" s="194"/>
      <c r="L545" s="173"/>
      <c r="M545" s="171"/>
      <c r="N545" s="171"/>
      <c r="O545" s="194"/>
      <c r="P545" s="195"/>
      <c r="Q545" s="171"/>
      <c r="R545" s="171"/>
      <c r="S545" s="194"/>
      <c r="T545" s="195"/>
      <c r="U545" s="171"/>
      <c r="V545" s="171"/>
      <c r="W545" s="194"/>
      <c r="X545" s="195"/>
      <c r="Y545" s="171"/>
      <c r="Z545" s="171"/>
      <c r="AA545" s="194"/>
      <c r="AB545" s="195"/>
      <c r="AC545" s="171"/>
      <c r="AD545" s="171"/>
      <c r="AE545" s="194"/>
      <c r="AF545" s="195"/>
      <c r="AG545" s="171"/>
      <c r="AH545" s="171"/>
      <c r="AI545" s="194"/>
      <c r="AJ545" s="196"/>
    </row>
    <row r="546" spans="2:36">
      <c r="B546" s="166"/>
      <c r="C546" s="167"/>
      <c r="D546" s="171"/>
      <c r="E546" s="171"/>
      <c r="F546" s="171"/>
      <c r="G546" s="172"/>
      <c r="H546" s="173"/>
      <c r="I546" s="193"/>
      <c r="J546" s="171"/>
      <c r="K546" s="194"/>
      <c r="L546" s="173"/>
      <c r="M546" s="171"/>
      <c r="N546" s="171"/>
      <c r="O546" s="194"/>
      <c r="P546" s="195"/>
      <c r="Q546" s="171"/>
      <c r="R546" s="171"/>
      <c r="S546" s="194"/>
      <c r="T546" s="195"/>
      <c r="U546" s="171"/>
      <c r="V546" s="171"/>
      <c r="W546" s="194"/>
      <c r="X546" s="195"/>
      <c r="Y546" s="171"/>
      <c r="Z546" s="171"/>
      <c r="AA546" s="194"/>
      <c r="AB546" s="195"/>
      <c r="AC546" s="171"/>
      <c r="AD546" s="171"/>
      <c r="AE546" s="194"/>
      <c r="AF546" s="195"/>
      <c r="AG546" s="171"/>
      <c r="AH546" s="171"/>
      <c r="AI546" s="194"/>
      <c r="AJ546" s="196"/>
    </row>
    <row r="547" spans="2:36">
      <c r="B547" s="166"/>
      <c r="C547" s="167"/>
      <c r="D547" s="171"/>
      <c r="E547" s="171"/>
      <c r="F547" s="171"/>
      <c r="G547" s="172"/>
      <c r="H547" s="173"/>
      <c r="I547" s="193"/>
      <c r="J547" s="171"/>
      <c r="K547" s="194"/>
      <c r="L547" s="173"/>
      <c r="M547" s="171"/>
      <c r="N547" s="171"/>
      <c r="O547" s="194"/>
      <c r="P547" s="195"/>
      <c r="Q547" s="171"/>
      <c r="R547" s="171"/>
      <c r="S547" s="194"/>
      <c r="T547" s="195"/>
      <c r="U547" s="171"/>
      <c r="V547" s="171"/>
      <c r="W547" s="194"/>
      <c r="X547" s="195"/>
      <c r="Y547" s="171"/>
      <c r="Z547" s="171"/>
      <c r="AA547" s="194"/>
      <c r="AB547" s="195"/>
      <c r="AC547" s="171"/>
      <c r="AD547" s="171"/>
      <c r="AE547" s="194"/>
      <c r="AF547" s="195"/>
      <c r="AG547" s="171"/>
      <c r="AH547" s="171"/>
      <c r="AI547" s="194"/>
      <c r="AJ547" s="196"/>
    </row>
    <row r="548" spans="2:36">
      <c r="B548" s="166"/>
      <c r="C548" s="167"/>
      <c r="D548" s="171"/>
      <c r="E548" s="171"/>
      <c r="F548" s="171"/>
      <c r="G548" s="172"/>
      <c r="H548" s="173"/>
      <c r="I548" s="193"/>
      <c r="J548" s="171"/>
      <c r="K548" s="194"/>
      <c r="L548" s="173"/>
      <c r="M548" s="171"/>
      <c r="N548" s="171"/>
      <c r="O548" s="194"/>
      <c r="P548" s="195"/>
      <c r="Q548" s="171"/>
      <c r="R548" s="171"/>
      <c r="S548" s="194"/>
      <c r="T548" s="195"/>
      <c r="U548" s="171"/>
      <c r="V548" s="171"/>
      <c r="W548" s="194"/>
      <c r="X548" s="195"/>
      <c r="Y548" s="171"/>
      <c r="Z548" s="171"/>
      <c r="AA548" s="194"/>
      <c r="AB548" s="195"/>
      <c r="AC548" s="171"/>
      <c r="AD548" s="171"/>
      <c r="AE548" s="194"/>
      <c r="AF548" s="195"/>
      <c r="AG548" s="171"/>
      <c r="AH548" s="171"/>
      <c r="AI548" s="194"/>
      <c r="AJ548" s="196"/>
    </row>
    <row r="549" spans="2:36">
      <c r="B549" s="166"/>
      <c r="C549" s="167"/>
      <c r="D549" s="171"/>
      <c r="E549" s="171"/>
      <c r="F549" s="171"/>
      <c r="G549" s="172"/>
      <c r="H549" s="173"/>
      <c r="I549" s="193"/>
      <c r="J549" s="171"/>
      <c r="K549" s="194"/>
      <c r="L549" s="173"/>
      <c r="M549" s="171"/>
      <c r="N549" s="171"/>
      <c r="O549" s="194"/>
      <c r="P549" s="195"/>
      <c r="Q549" s="171"/>
      <c r="R549" s="171"/>
      <c r="S549" s="194"/>
      <c r="T549" s="195"/>
      <c r="U549" s="171"/>
      <c r="V549" s="171"/>
      <c r="W549" s="194"/>
      <c r="X549" s="195"/>
      <c r="Y549" s="171"/>
      <c r="Z549" s="171"/>
      <c r="AA549" s="194"/>
      <c r="AB549" s="195"/>
      <c r="AC549" s="171"/>
      <c r="AD549" s="171"/>
      <c r="AE549" s="194"/>
      <c r="AF549" s="195"/>
      <c r="AG549" s="171"/>
      <c r="AH549" s="171"/>
      <c r="AI549" s="194"/>
      <c r="AJ549" s="196"/>
    </row>
    <row r="550" spans="2:36">
      <c r="B550" s="166"/>
      <c r="C550" s="167"/>
      <c r="D550" s="171"/>
      <c r="E550" s="171"/>
      <c r="F550" s="171"/>
      <c r="G550" s="172"/>
      <c r="H550" s="173"/>
      <c r="I550" s="193"/>
      <c r="J550" s="171"/>
      <c r="K550" s="194"/>
      <c r="L550" s="173"/>
      <c r="M550" s="171"/>
      <c r="N550" s="171"/>
      <c r="O550" s="194"/>
      <c r="P550" s="195"/>
      <c r="Q550" s="171"/>
      <c r="R550" s="171"/>
      <c r="S550" s="194"/>
      <c r="T550" s="195"/>
      <c r="U550" s="171"/>
      <c r="V550" s="171"/>
      <c r="W550" s="194"/>
      <c r="X550" s="195"/>
      <c r="Y550" s="171"/>
      <c r="Z550" s="171"/>
      <c r="AA550" s="194"/>
      <c r="AB550" s="195"/>
      <c r="AC550" s="171"/>
      <c r="AD550" s="171"/>
      <c r="AE550" s="194"/>
      <c r="AF550" s="195"/>
      <c r="AG550" s="171"/>
      <c r="AH550" s="171"/>
      <c r="AI550" s="194"/>
      <c r="AJ550" s="196"/>
    </row>
    <row r="551" spans="2:36">
      <c r="B551" s="166"/>
      <c r="C551" s="167"/>
      <c r="D551" s="171"/>
      <c r="E551" s="171"/>
      <c r="F551" s="171"/>
      <c r="G551" s="172"/>
      <c r="H551" s="173"/>
      <c r="I551" s="193"/>
      <c r="J551" s="171"/>
      <c r="K551" s="194"/>
      <c r="L551" s="173"/>
      <c r="M551" s="171"/>
      <c r="N551" s="171"/>
      <c r="O551" s="194"/>
      <c r="P551" s="195"/>
      <c r="Q551" s="171"/>
      <c r="R551" s="171"/>
      <c r="S551" s="194"/>
      <c r="T551" s="195"/>
      <c r="U551" s="171"/>
      <c r="V551" s="171"/>
      <c r="W551" s="194"/>
      <c r="X551" s="195"/>
      <c r="Y551" s="171"/>
      <c r="Z551" s="171"/>
      <c r="AA551" s="194"/>
      <c r="AB551" s="195"/>
      <c r="AC551" s="171"/>
      <c r="AD551" s="171"/>
      <c r="AE551" s="194"/>
      <c r="AF551" s="195"/>
      <c r="AG551" s="171"/>
      <c r="AH551" s="171"/>
      <c r="AI551" s="194"/>
      <c r="AJ551" s="196"/>
    </row>
    <row r="552" spans="2:36">
      <c r="B552" s="166"/>
      <c r="C552" s="167"/>
      <c r="D552" s="171"/>
      <c r="E552" s="171"/>
      <c r="F552" s="171"/>
      <c r="G552" s="172"/>
      <c r="H552" s="173"/>
      <c r="I552" s="193"/>
      <c r="J552" s="171"/>
      <c r="K552" s="194"/>
      <c r="L552" s="173"/>
      <c r="M552" s="171"/>
      <c r="N552" s="171"/>
      <c r="O552" s="194"/>
      <c r="P552" s="195"/>
      <c r="Q552" s="171"/>
      <c r="R552" s="171"/>
      <c r="S552" s="194"/>
      <c r="T552" s="195"/>
      <c r="U552" s="171"/>
      <c r="V552" s="171"/>
      <c r="W552" s="194"/>
      <c r="X552" s="195"/>
      <c r="Y552" s="171"/>
      <c r="Z552" s="171"/>
      <c r="AA552" s="194"/>
      <c r="AB552" s="195"/>
      <c r="AC552" s="171"/>
      <c r="AD552" s="171"/>
      <c r="AE552" s="194"/>
      <c r="AF552" s="195"/>
      <c r="AG552" s="171"/>
      <c r="AH552" s="171"/>
      <c r="AI552" s="194"/>
      <c r="AJ552" s="196"/>
    </row>
    <row r="553" spans="2:36">
      <c r="B553" s="166"/>
      <c r="C553" s="167"/>
      <c r="D553" s="171"/>
      <c r="E553" s="171"/>
      <c r="F553" s="171"/>
      <c r="G553" s="172"/>
      <c r="H553" s="173"/>
      <c r="I553" s="193"/>
      <c r="J553" s="171"/>
      <c r="K553" s="194"/>
      <c r="L553" s="173"/>
      <c r="M553" s="171"/>
      <c r="N553" s="171"/>
      <c r="O553" s="194"/>
      <c r="P553" s="195"/>
      <c r="Q553" s="171"/>
      <c r="R553" s="171"/>
      <c r="S553" s="194"/>
      <c r="T553" s="195"/>
      <c r="U553" s="171"/>
      <c r="V553" s="171"/>
      <c r="W553" s="194"/>
      <c r="X553" s="195"/>
      <c r="Y553" s="171"/>
      <c r="Z553" s="171"/>
      <c r="AA553" s="194"/>
      <c r="AB553" s="195"/>
      <c r="AC553" s="171"/>
      <c r="AD553" s="171"/>
      <c r="AE553" s="194"/>
      <c r="AF553" s="195"/>
      <c r="AG553" s="171"/>
      <c r="AH553" s="171"/>
      <c r="AI553" s="194"/>
      <c r="AJ553" s="196"/>
    </row>
    <row r="554" spans="2:36">
      <c r="B554" s="166"/>
      <c r="C554" s="167"/>
      <c r="D554" s="171"/>
      <c r="E554" s="171"/>
      <c r="F554" s="171"/>
      <c r="G554" s="172"/>
      <c r="H554" s="173"/>
      <c r="I554" s="193"/>
      <c r="J554" s="171"/>
      <c r="K554" s="194"/>
      <c r="L554" s="173"/>
      <c r="M554" s="171"/>
      <c r="N554" s="171"/>
      <c r="O554" s="194"/>
      <c r="P554" s="195"/>
      <c r="Q554" s="171"/>
      <c r="R554" s="171"/>
      <c r="S554" s="194"/>
      <c r="T554" s="195"/>
      <c r="U554" s="171"/>
      <c r="V554" s="171"/>
      <c r="W554" s="194"/>
      <c r="X554" s="195"/>
      <c r="Y554" s="171"/>
      <c r="Z554" s="171"/>
      <c r="AA554" s="194"/>
      <c r="AB554" s="195"/>
      <c r="AC554" s="171"/>
      <c r="AD554" s="171"/>
      <c r="AE554" s="194"/>
      <c r="AF554" s="195"/>
      <c r="AG554" s="171"/>
      <c r="AH554" s="171"/>
      <c r="AI554" s="194"/>
      <c r="AJ554" s="196"/>
    </row>
    <row r="555" spans="2:36">
      <c r="B555" s="166"/>
      <c r="C555" s="167"/>
      <c r="D555" s="171"/>
      <c r="E555" s="171"/>
      <c r="F555" s="171"/>
      <c r="G555" s="172"/>
      <c r="H555" s="173"/>
      <c r="I555" s="193"/>
      <c r="J555" s="171"/>
      <c r="K555" s="194"/>
      <c r="L555" s="173"/>
      <c r="M555" s="171"/>
      <c r="N555" s="171"/>
      <c r="O555" s="194"/>
      <c r="P555" s="195"/>
      <c r="Q555" s="171"/>
      <c r="R555" s="171"/>
      <c r="S555" s="194"/>
      <c r="T555" s="195"/>
      <c r="U555" s="171"/>
      <c r="V555" s="171"/>
      <c r="W555" s="194"/>
      <c r="X555" s="195"/>
      <c r="Y555" s="171"/>
      <c r="Z555" s="171"/>
      <c r="AA555" s="194"/>
      <c r="AB555" s="195"/>
      <c r="AC555" s="171"/>
      <c r="AD555" s="171"/>
      <c r="AE555" s="194"/>
      <c r="AF555" s="195"/>
      <c r="AG555" s="171"/>
      <c r="AH555" s="171"/>
      <c r="AI555" s="194"/>
      <c r="AJ555" s="196"/>
    </row>
    <row r="556" spans="2:36">
      <c r="B556" s="166"/>
      <c r="C556" s="167"/>
      <c r="D556" s="171"/>
      <c r="E556" s="171"/>
      <c r="F556" s="171"/>
      <c r="G556" s="172"/>
      <c r="H556" s="173"/>
      <c r="I556" s="193"/>
      <c r="J556" s="171"/>
      <c r="K556" s="194"/>
      <c r="L556" s="173"/>
      <c r="M556" s="171"/>
      <c r="N556" s="171"/>
      <c r="O556" s="194"/>
      <c r="P556" s="195"/>
      <c r="Q556" s="171"/>
      <c r="R556" s="171"/>
      <c r="S556" s="194"/>
      <c r="T556" s="195"/>
      <c r="U556" s="171"/>
      <c r="V556" s="171"/>
      <c r="W556" s="194"/>
      <c r="X556" s="195"/>
      <c r="Y556" s="171"/>
      <c r="Z556" s="171"/>
      <c r="AA556" s="194"/>
      <c r="AB556" s="195"/>
      <c r="AC556" s="171"/>
      <c r="AD556" s="171"/>
      <c r="AE556" s="194"/>
      <c r="AF556" s="195"/>
      <c r="AG556" s="171"/>
      <c r="AH556" s="171"/>
      <c r="AI556" s="194"/>
      <c r="AJ556" s="196"/>
    </row>
    <row r="557" spans="2:36">
      <c r="B557" s="166"/>
      <c r="C557" s="167"/>
      <c r="D557" s="171"/>
      <c r="E557" s="171"/>
      <c r="F557" s="171"/>
      <c r="G557" s="172"/>
      <c r="H557" s="173"/>
      <c r="I557" s="193"/>
      <c r="J557" s="171"/>
      <c r="K557" s="194"/>
      <c r="L557" s="173"/>
      <c r="M557" s="171"/>
      <c r="N557" s="171"/>
      <c r="O557" s="194"/>
      <c r="P557" s="195"/>
      <c r="Q557" s="171"/>
      <c r="R557" s="171"/>
      <c r="S557" s="194"/>
      <c r="T557" s="195"/>
      <c r="U557" s="171"/>
      <c r="V557" s="171"/>
      <c r="W557" s="194"/>
      <c r="X557" s="195"/>
      <c r="Y557" s="171"/>
      <c r="Z557" s="171"/>
      <c r="AA557" s="194"/>
      <c r="AB557" s="195"/>
      <c r="AC557" s="171"/>
      <c r="AD557" s="171"/>
      <c r="AE557" s="194"/>
      <c r="AF557" s="195"/>
      <c r="AG557" s="171"/>
      <c r="AH557" s="171"/>
      <c r="AI557" s="194"/>
      <c r="AJ557" s="196"/>
    </row>
    <row r="558" spans="2:36">
      <c r="B558" s="166"/>
      <c r="C558" s="167"/>
      <c r="D558" s="171"/>
      <c r="E558" s="171"/>
      <c r="F558" s="171"/>
      <c r="G558" s="172"/>
      <c r="H558" s="173"/>
      <c r="I558" s="193"/>
      <c r="J558" s="171"/>
      <c r="K558" s="194"/>
      <c r="L558" s="173"/>
      <c r="M558" s="171"/>
      <c r="N558" s="171"/>
      <c r="O558" s="194"/>
      <c r="P558" s="195"/>
      <c r="Q558" s="171"/>
      <c r="R558" s="171"/>
      <c r="S558" s="194"/>
      <c r="T558" s="195"/>
      <c r="U558" s="171"/>
      <c r="V558" s="171"/>
      <c r="W558" s="194"/>
      <c r="X558" s="195"/>
      <c r="Y558" s="171"/>
      <c r="Z558" s="171"/>
      <c r="AA558" s="194"/>
      <c r="AB558" s="195"/>
      <c r="AC558" s="171"/>
      <c r="AD558" s="171"/>
      <c r="AE558" s="194"/>
      <c r="AF558" s="195"/>
      <c r="AG558" s="171"/>
      <c r="AH558" s="171"/>
      <c r="AI558" s="194"/>
      <c r="AJ558" s="196"/>
    </row>
    <row r="559" spans="2:36">
      <c r="B559" s="166"/>
      <c r="C559" s="167"/>
      <c r="D559" s="171"/>
      <c r="E559" s="171"/>
      <c r="F559" s="171"/>
      <c r="G559" s="172"/>
      <c r="H559" s="173"/>
      <c r="I559" s="193"/>
      <c r="J559" s="171"/>
      <c r="K559" s="194"/>
      <c r="L559" s="173"/>
      <c r="M559" s="171"/>
      <c r="N559" s="171"/>
      <c r="O559" s="194"/>
      <c r="P559" s="195"/>
      <c r="Q559" s="171"/>
      <c r="R559" s="171"/>
      <c r="S559" s="194"/>
      <c r="T559" s="195"/>
      <c r="U559" s="171"/>
      <c r="V559" s="171"/>
      <c r="W559" s="194"/>
      <c r="X559" s="195"/>
      <c r="Y559" s="171"/>
      <c r="Z559" s="171"/>
      <c r="AA559" s="194"/>
      <c r="AB559" s="195"/>
      <c r="AC559" s="171"/>
      <c r="AD559" s="171"/>
      <c r="AE559" s="194"/>
      <c r="AF559" s="195"/>
      <c r="AG559" s="171"/>
      <c r="AH559" s="171"/>
      <c r="AI559" s="194"/>
      <c r="AJ559" s="196"/>
    </row>
    <row r="560" spans="2:36">
      <c r="B560" s="166"/>
      <c r="C560" s="167"/>
      <c r="D560" s="171"/>
      <c r="E560" s="171"/>
      <c r="F560" s="171"/>
      <c r="G560" s="172"/>
      <c r="H560" s="173"/>
      <c r="I560" s="193"/>
      <c r="J560" s="171"/>
      <c r="K560" s="194"/>
      <c r="L560" s="173"/>
      <c r="M560" s="171"/>
      <c r="N560" s="171"/>
      <c r="O560" s="194"/>
      <c r="P560" s="195"/>
      <c r="Q560" s="171"/>
      <c r="R560" s="171"/>
      <c r="S560" s="194"/>
      <c r="T560" s="195"/>
      <c r="U560" s="171"/>
      <c r="V560" s="171"/>
      <c r="W560" s="194"/>
      <c r="X560" s="195"/>
      <c r="Y560" s="171"/>
      <c r="Z560" s="171"/>
      <c r="AA560" s="194"/>
      <c r="AB560" s="195"/>
      <c r="AC560" s="171"/>
      <c r="AD560" s="171"/>
      <c r="AE560" s="194"/>
      <c r="AF560" s="195"/>
      <c r="AG560" s="171"/>
      <c r="AH560" s="171"/>
      <c r="AI560" s="194"/>
      <c r="AJ560" s="196"/>
    </row>
    <row r="561" spans="2:36">
      <c r="B561" s="166"/>
      <c r="C561" s="167"/>
      <c r="D561" s="171"/>
      <c r="E561" s="171"/>
      <c r="F561" s="171"/>
      <c r="G561" s="172"/>
      <c r="H561" s="173"/>
      <c r="I561" s="193"/>
      <c r="J561" s="171"/>
      <c r="K561" s="194"/>
      <c r="L561" s="173"/>
      <c r="M561" s="171"/>
      <c r="N561" s="171"/>
      <c r="O561" s="194"/>
      <c r="P561" s="195"/>
      <c r="Q561" s="171"/>
      <c r="R561" s="171"/>
      <c r="S561" s="194"/>
      <c r="T561" s="195"/>
      <c r="U561" s="171"/>
      <c r="V561" s="171"/>
      <c r="W561" s="194"/>
      <c r="X561" s="195"/>
      <c r="Y561" s="171"/>
      <c r="Z561" s="171"/>
      <c r="AA561" s="194"/>
      <c r="AB561" s="195"/>
      <c r="AC561" s="171"/>
      <c r="AD561" s="171"/>
      <c r="AE561" s="194"/>
      <c r="AF561" s="195"/>
      <c r="AG561" s="171"/>
      <c r="AH561" s="171"/>
      <c r="AI561" s="194"/>
      <c r="AJ561" s="196"/>
    </row>
    <row r="562" spans="2:36">
      <c r="B562" s="166"/>
      <c r="C562" s="167"/>
      <c r="D562" s="171"/>
      <c r="E562" s="171"/>
      <c r="F562" s="171"/>
      <c r="G562" s="172"/>
      <c r="H562" s="173"/>
      <c r="I562" s="193"/>
      <c r="J562" s="171"/>
      <c r="K562" s="194"/>
      <c r="L562" s="173"/>
      <c r="M562" s="171"/>
      <c r="N562" s="171"/>
      <c r="O562" s="194"/>
      <c r="P562" s="195"/>
      <c r="Q562" s="171"/>
      <c r="R562" s="171"/>
      <c r="S562" s="194"/>
      <c r="T562" s="195"/>
      <c r="U562" s="171"/>
      <c r="V562" s="171"/>
      <c r="W562" s="194"/>
      <c r="X562" s="195"/>
      <c r="Y562" s="171"/>
      <c r="Z562" s="171"/>
      <c r="AA562" s="194"/>
      <c r="AB562" s="195"/>
      <c r="AC562" s="171"/>
      <c r="AD562" s="171"/>
      <c r="AE562" s="194"/>
      <c r="AF562" s="195"/>
      <c r="AG562" s="171"/>
      <c r="AH562" s="171"/>
      <c r="AI562" s="194"/>
      <c r="AJ562" s="196"/>
    </row>
    <row r="563" spans="2:36">
      <c r="B563" s="166"/>
      <c r="C563" s="167"/>
      <c r="D563" s="171"/>
      <c r="E563" s="171"/>
      <c r="F563" s="171"/>
      <c r="G563" s="172"/>
      <c r="H563" s="173"/>
      <c r="I563" s="193"/>
      <c r="J563" s="171"/>
      <c r="K563" s="194"/>
      <c r="L563" s="173"/>
      <c r="M563" s="171"/>
      <c r="N563" s="171"/>
      <c r="O563" s="194"/>
      <c r="P563" s="195"/>
      <c r="Q563" s="171"/>
      <c r="R563" s="171"/>
      <c r="S563" s="194"/>
      <c r="T563" s="195"/>
      <c r="U563" s="171"/>
      <c r="V563" s="171"/>
      <c r="W563" s="194"/>
      <c r="X563" s="195"/>
      <c r="Y563" s="171"/>
      <c r="Z563" s="171"/>
      <c r="AA563" s="194"/>
      <c r="AB563" s="195"/>
      <c r="AC563" s="171"/>
      <c r="AD563" s="171"/>
      <c r="AE563" s="194"/>
      <c r="AF563" s="195"/>
      <c r="AG563" s="171"/>
      <c r="AH563" s="171"/>
      <c r="AI563" s="194"/>
      <c r="AJ563" s="196"/>
    </row>
    <row r="564" spans="2:36">
      <c r="B564" s="166"/>
      <c r="C564" s="167"/>
      <c r="D564" s="171"/>
      <c r="E564" s="171"/>
      <c r="F564" s="171"/>
      <c r="G564" s="172"/>
      <c r="H564" s="173"/>
      <c r="I564" s="193"/>
      <c r="J564" s="171"/>
      <c r="K564" s="194"/>
      <c r="L564" s="173"/>
      <c r="M564" s="171"/>
      <c r="N564" s="171"/>
      <c r="O564" s="194"/>
      <c r="P564" s="195"/>
      <c r="Q564" s="171"/>
      <c r="R564" s="171"/>
      <c r="S564" s="194"/>
      <c r="T564" s="195"/>
      <c r="U564" s="171"/>
      <c r="V564" s="171"/>
      <c r="W564" s="194"/>
      <c r="X564" s="195"/>
      <c r="Y564" s="171"/>
      <c r="Z564" s="171"/>
      <c r="AA564" s="194"/>
      <c r="AB564" s="195"/>
      <c r="AC564" s="171"/>
      <c r="AD564" s="171"/>
      <c r="AE564" s="194"/>
      <c r="AF564" s="195"/>
      <c r="AG564" s="171"/>
      <c r="AH564" s="171"/>
      <c r="AI564" s="194"/>
      <c r="AJ564" s="196"/>
    </row>
    <row r="565" spans="2:36">
      <c r="B565" s="166"/>
      <c r="C565" s="167"/>
      <c r="D565" s="171"/>
      <c r="E565" s="171"/>
      <c r="F565" s="171"/>
      <c r="G565" s="172"/>
      <c r="H565" s="173"/>
      <c r="I565" s="193"/>
      <c r="J565" s="171"/>
      <c r="K565" s="194"/>
      <c r="L565" s="173"/>
      <c r="M565" s="171"/>
      <c r="N565" s="171"/>
      <c r="O565" s="194"/>
      <c r="P565" s="195"/>
      <c r="Q565" s="171"/>
      <c r="R565" s="171"/>
      <c r="S565" s="194"/>
      <c r="T565" s="195"/>
      <c r="U565" s="171"/>
      <c r="V565" s="171"/>
      <c r="W565" s="194"/>
      <c r="X565" s="195"/>
      <c r="Y565" s="171"/>
      <c r="Z565" s="171"/>
      <c r="AA565" s="194"/>
      <c r="AB565" s="195"/>
      <c r="AC565" s="171"/>
      <c r="AD565" s="171"/>
      <c r="AE565" s="194"/>
      <c r="AF565" s="195"/>
      <c r="AG565" s="171"/>
      <c r="AH565" s="171"/>
      <c r="AI565" s="194"/>
      <c r="AJ565" s="196"/>
    </row>
    <row r="566" spans="2:36">
      <c r="B566" s="166"/>
      <c r="C566" s="167"/>
      <c r="D566" s="171"/>
      <c r="E566" s="171"/>
      <c r="F566" s="171"/>
      <c r="G566" s="172"/>
      <c r="H566" s="173"/>
      <c r="I566" s="193"/>
      <c r="J566" s="171"/>
      <c r="K566" s="194"/>
      <c r="L566" s="173"/>
      <c r="M566" s="171"/>
      <c r="N566" s="171"/>
      <c r="O566" s="194"/>
      <c r="P566" s="195"/>
      <c r="Q566" s="171"/>
      <c r="R566" s="171"/>
      <c r="S566" s="194"/>
      <c r="T566" s="195"/>
      <c r="U566" s="171"/>
      <c r="V566" s="171"/>
      <c r="W566" s="194"/>
      <c r="X566" s="195"/>
      <c r="Y566" s="171"/>
      <c r="Z566" s="171"/>
      <c r="AA566" s="194"/>
      <c r="AB566" s="195"/>
      <c r="AC566" s="171"/>
      <c r="AD566" s="171"/>
      <c r="AE566" s="194"/>
      <c r="AF566" s="195"/>
      <c r="AG566" s="171"/>
      <c r="AH566" s="171"/>
      <c r="AI566" s="194"/>
      <c r="AJ566" s="196"/>
    </row>
    <row r="567" spans="2:36">
      <c r="B567" s="166"/>
      <c r="C567" s="167"/>
      <c r="D567" s="171"/>
      <c r="E567" s="171"/>
      <c r="F567" s="171"/>
      <c r="G567" s="172"/>
      <c r="H567" s="173"/>
      <c r="I567" s="193"/>
      <c r="J567" s="171"/>
      <c r="K567" s="194"/>
      <c r="L567" s="173"/>
      <c r="M567" s="171"/>
      <c r="N567" s="171"/>
      <c r="O567" s="194"/>
      <c r="P567" s="195"/>
      <c r="Q567" s="171"/>
      <c r="R567" s="171"/>
      <c r="S567" s="194"/>
      <c r="T567" s="195"/>
      <c r="U567" s="171"/>
      <c r="V567" s="171"/>
      <c r="W567" s="194"/>
      <c r="X567" s="195"/>
      <c r="Y567" s="171"/>
      <c r="Z567" s="171"/>
      <c r="AA567" s="194"/>
      <c r="AB567" s="195"/>
      <c r="AC567" s="171"/>
      <c r="AD567" s="171"/>
      <c r="AE567" s="194"/>
      <c r="AF567" s="195"/>
      <c r="AG567" s="171"/>
      <c r="AH567" s="171"/>
      <c r="AI567" s="194"/>
      <c r="AJ567" s="196"/>
    </row>
    <row r="568" spans="2:36">
      <c r="B568" s="166"/>
      <c r="C568" s="167"/>
      <c r="D568" s="171"/>
      <c r="E568" s="171"/>
      <c r="F568" s="171"/>
      <c r="G568" s="172"/>
      <c r="H568" s="173"/>
      <c r="I568" s="193"/>
      <c r="J568" s="171"/>
      <c r="K568" s="194"/>
      <c r="L568" s="173"/>
      <c r="M568" s="171"/>
      <c r="N568" s="171"/>
      <c r="O568" s="194"/>
      <c r="P568" s="195"/>
      <c r="Q568" s="171"/>
      <c r="R568" s="171"/>
      <c r="S568" s="194"/>
      <c r="T568" s="195"/>
      <c r="U568" s="171"/>
      <c r="V568" s="171"/>
      <c r="W568" s="194"/>
      <c r="X568" s="195"/>
      <c r="Y568" s="171"/>
      <c r="Z568" s="171"/>
      <c r="AA568" s="194"/>
      <c r="AB568" s="195"/>
      <c r="AC568" s="171"/>
      <c r="AD568" s="171"/>
      <c r="AE568" s="194"/>
      <c r="AF568" s="195"/>
      <c r="AG568" s="171"/>
      <c r="AH568" s="171"/>
      <c r="AI568" s="194"/>
      <c r="AJ568" s="196"/>
    </row>
    <row r="569" spans="2:36">
      <c r="B569" s="166"/>
      <c r="C569" s="167"/>
      <c r="D569" s="171"/>
      <c r="E569" s="171"/>
      <c r="F569" s="171"/>
      <c r="G569" s="172"/>
      <c r="H569" s="173"/>
      <c r="I569" s="193"/>
      <c r="J569" s="171"/>
      <c r="K569" s="194"/>
      <c r="L569" s="173"/>
      <c r="M569" s="171"/>
      <c r="N569" s="171"/>
      <c r="O569" s="194"/>
      <c r="P569" s="195"/>
      <c r="Q569" s="171"/>
      <c r="R569" s="171"/>
      <c r="S569" s="194"/>
      <c r="T569" s="195"/>
      <c r="U569" s="171"/>
      <c r="V569" s="171"/>
      <c r="W569" s="194"/>
      <c r="X569" s="195"/>
      <c r="Y569" s="171"/>
      <c r="Z569" s="171"/>
      <c r="AA569" s="194"/>
      <c r="AB569" s="195"/>
      <c r="AC569" s="171"/>
      <c r="AD569" s="171"/>
      <c r="AE569" s="194"/>
      <c r="AF569" s="195"/>
      <c r="AG569" s="171"/>
      <c r="AH569" s="171"/>
      <c r="AI569" s="194"/>
      <c r="AJ569" s="196"/>
    </row>
    <row r="570" spans="2:36">
      <c r="B570" s="166"/>
      <c r="C570" s="167"/>
      <c r="D570" s="171"/>
      <c r="E570" s="171"/>
      <c r="F570" s="171"/>
      <c r="G570" s="172"/>
      <c r="H570" s="173"/>
      <c r="I570" s="193"/>
      <c r="J570" s="171"/>
      <c r="K570" s="194"/>
      <c r="L570" s="173"/>
      <c r="M570" s="171"/>
      <c r="N570" s="171"/>
      <c r="O570" s="194"/>
      <c r="P570" s="195"/>
      <c r="Q570" s="171"/>
      <c r="R570" s="171"/>
      <c r="S570" s="194"/>
      <c r="T570" s="195"/>
      <c r="U570" s="171"/>
      <c r="V570" s="171"/>
      <c r="W570" s="194"/>
      <c r="X570" s="195"/>
      <c r="Y570" s="171"/>
      <c r="Z570" s="171"/>
      <c r="AA570" s="194"/>
      <c r="AB570" s="195"/>
      <c r="AC570" s="171"/>
      <c r="AD570" s="171"/>
      <c r="AE570" s="194"/>
      <c r="AF570" s="195"/>
      <c r="AG570" s="171"/>
      <c r="AH570" s="171"/>
      <c r="AI570" s="194"/>
      <c r="AJ570" s="196"/>
    </row>
    <row r="571" spans="2:36">
      <c r="B571" s="166"/>
      <c r="C571" s="167"/>
      <c r="D571" s="171"/>
      <c r="E571" s="171"/>
      <c r="F571" s="171"/>
      <c r="G571" s="172"/>
      <c r="H571" s="173"/>
      <c r="I571" s="193"/>
      <c r="J571" s="171"/>
      <c r="K571" s="194"/>
      <c r="L571" s="173"/>
      <c r="M571" s="171"/>
      <c r="N571" s="171"/>
      <c r="O571" s="194"/>
      <c r="P571" s="195"/>
      <c r="Q571" s="171"/>
      <c r="R571" s="171"/>
      <c r="S571" s="194"/>
      <c r="T571" s="195"/>
      <c r="U571" s="171"/>
      <c r="V571" s="171"/>
      <c r="W571" s="194"/>
      <c r="X571" s="195"/>
      <c r="Y571" s="171"/>
      <c r="Z571" s="171"/>
      <c r="AA571" s="194"/>
      <c r="AB571" s="195"/>
      <c r="AC571" s="171"/>
      <c r="AD571" s="171"/>
      <c r="AE571" s="194"/>
      <c r="AF571" s="195"/>
      <c r="AG571" s="171"/>
      <c r="AH571" s="171"/>
      <c r="AI571" s="194"/>
      <c r="AJ571" s="196"/>
    </row>
    <row r="572" spans="2:36">
      <c r="B572" s="166"/>
      <c r="C572" s="167"/>
      <c r="D572" s="171"/>
      <c r="E572" s="171"/>
      <c r="F572" s="171"/>
      <c r="G572" s="172"/>
      <c r="H572" s="173"/>
      <c r="I572" s="193"/>
      <c r="J572" s="171"/>
      <c r="K572" s="194"/>
      <c r="L572" s="173"/>
      <c r="M572" s="171"/>
      <c r="N572" s="171"/>
      <c r="O572" s="194"/>
      <c r="P572" s="195"/>
      <c r="Q572" s="171"/>
      <c r="R572" s="171"/>
      <c r="S572" s="194"/>
      <c r="T572" s="195"/>
      <c r="U572" s="171"/>
      <c r="V572" s="171"/>
      <c r="W572" s="194"/>
      <c r="X572" s="195"/>
      <c r="Y572" s="171"/>
      <c r="Z572" s="171"/>
      <c r="AA572" s="194"/>
      <c r="AB572" s="195"/>
      <c r="AC572" s="171"/>
      <c r="AD572" s="171"/>
      <c r="AE572" s="194"/>
      <c r="AF572" s="195"/>
      <c r="AG572" s="171"/>
      <c r="AH572" s="171"/>
      <c r="AI572" s="194"/>
      <c r="AJ572" s="196"/>
    </row>
    <row r="573" spans="2:36">
      <c r="B573" s="166"/>
      <c r="C573" s="167"/>
      <c r="D573" s="171"/>
      <c r="E573" s="171"/>
      <c r="F573" s="171"/>
      <c r="G573" s="172"/>
      <c r="H573" s="173"/>
      <c r="I573" s="193"/>
      <c r="J573" s="171"/>
      <c r="K573" s="194"/>
      <c r="L573" s="173"/>
      <c r="M573" s="171"/>
      <c r="N573" s="171"/>
      <c r="O573" s="194"/>
      <c r="P573" s="195"/>
      <c r="Q573" s="171"/>
      <c r="R573" s="171"/>
      <c r="S573" s="194"/>
      <c r="T573" s="195"/>
      <c r="U573" s="171"/>
      <c r="V573" s="171"/>
      <c r="W573" s="194"/>
      <c r="X573" s="195"/>
      <c r="Y573" s="171"/>
      <c r="Z573" s="171"/>
      <c r="AA573" s="194"/>
      <c r="AB573" s="195"/>
      <c r="AC573" s="171"/>
      <c r="AD573" s="171"/>
      <c r="AE573" s="194"/>
      <c r="AF573" s="195"/>
      <c r="AG573" s="171"/>
      <c r="AH573" s="171"/>
      <c r="AI573" s="194"/>
      <c r="AJ573" s="196"/>
    </row>
    <row r="574" spans="2:36">
      <c r="B574" s="166"/>
      <c r="C574" s="167"/>
      <c r="D574" s="171"/>
      <c r="E574" s="171"/>
      <c r="F574" s="171"/>
      <c r="G574" s="172"/>
      <c r="H574" s="173"/>
      <c r="I574" s="193"/>
      <c r="J574" s="171"/>
      <c r="K574" s="194"/>
      <c r="L574" s="173"/>
      <c r="M574" s="171"/>
      <c r="N574" s="171"/>
      <c r="O574" s="194"/>
      <c r="P574" s="195"/>
      <c r="Q574" s="171"/>
      <c r="R574" s="171"/>
      <c r="S574" s="194"/>
      <c r="T574" s="195"/>
      <c r="U574" s="171"/>
      <c r="V574" s="171"/>
      <c r="W574" s="194"/>
      <c r="X574" s="195"/>
      <c r="Y574" s="171"/>
      <c r="Z574" s="171"/>
      <c r="AA574" s="194"/>
      <c r="AB574" s="195"/>
      <c r="AC574" s="171"/>
      <c r="AD574" s="171"/>
      <c r="AE574" s="194"/>
      <c r="AF574" s="195"/>
      <c r="AG574" s="171"/>
      <c r="AH574" s="171"/>
      <c r="AI574" s="194"/>
      <c r="AJ574" s="196"/>
    </row>
    <row r="575" spans="2:36">
      <c r="B575" s="166"/>
      <c r="C575" s="167"/>
      <c r="D575" s="171"/>
      <c r="E575" s="171"/>
      <c r="F575" s="171"/>
      <c r="G575" s="172"/>
      <c r="H575" s="173"/>
      <c r="I575" s="193"/>
      <c r="J575" s="171"/>
      <c r="K575" s="194"/>
      <c r="L575" s="173"/>
      <c r="M575" s="171"/>
      <c r="N575" s="171"/>
      <c r="O575" s="194"/>
      <c r="P575" s="195"/>
      <c r="Q575" s="171"/>
      <c r="R575" s="171"/>
      <c r="S575" s="194"/>
      <c r="T575" s="195"/>
      <c r="U575" s="171"/>
      <c r="V575" s="171"/>
      <c r="W575" s="194"/>
      <c r="X575" s="195"/>
      <c r="Y575" s="171"/>
      <c r="Z575" s="171"/>
      <c r="AA575" s="194"/>
      <c r="AB575" s="195"/>
      <c r="AC575" s="171"/>
      <c r="AD575" s="171"/>
      <c r="AE575" s="194"/>
      <c r="AF575" s="195"/>
      <c r="AG575" s="171"/>
      <c r="AH575" s="171"/>
      <c r="AI575" s="194"/>
      <c r="AJ575" s="196"/>
    </row>
    <row r="576" spans="2:36">
      <c r="B576" s="166"/>
      <c r="C576" s="167"/>
      <c r="D576" s="171"/>
      <c r="E576" s="171"/>
      <c r="F576" s="171"/>
      <c r="G576" s="172"/>
      <c r="H576" s="173"/>
      <c r="I576" s="193"/>
      <c r="J576" s="171"/>
      <c r="K576" s="194"/>
      <c r="L576" s="173"/>
      <c r="M576" s="171"/>
      <c r="N576" s="171"/>
      <c r="O576" s="194"/>
      <c r="P576" s="195"/>
      <c r="Q576" s="171"/>
      <c r="R576" s="171"/>
      <c r="S576" s="194"/>
      <c r="T576" s="195"/>
      <c r="U576" s="171"/>
      <c r="V576" s="171"/>
      <c r="W576" s="194"/>
      <c r="X576" s="195"/>
      <c r="Y576" s="171"/>
      <c r="Z576" s="171"/>
      <c r="AA576" s="194"/>
      <c r="AB576" s="195"/>
      <c r="AC576" s="171"/>
      <c r="AD576" s="171"/>
      <c r="AE576" s="194"/>
      <c r="AF576" s="195"/>
      <c r="AG576" s="171"/>
      <c r="AH576" s="171"/>
      <c r="AI576" s="194"/>
      <c r="AJ576" s="196"/>
    </row>
    <row r="577" spans="2:36">
      <c r="B577" s="166"/>
      <c r="C577" s="167"/>
      <c r="D577" s="171"/>
      <c r="E577" s="171"/>
      <c r="F577" s="171"/>
      <c r="G577" s="172"/>
      <c r="H577" s="173"/>
      <c r="I577" s="193"/>
      <c r="J577" s="171"/>
      <c r="K577" s="194"/>
      <c r="L577" s="173"/>
      <c r="M577" s="171"/>
      <c r="N577" s="171"/>
      <c r="O577" s="194"/>
      <c r="P577" s="195"/>
      <c r="Q577" s="171"/>
      <c r="R577" s="171"/>
      <c r="S577" s="194"/>
      <c r="T577" s="195"/>
      <c r="U577" s="171"/>
      <c r="V577" s="171"/>
      <c r="W577" s="194"/>
      <c r="X577" s="195"/>
      <c r="Y577" s="171"/>
      <c r="Z577" s="171"/>
      <c r="AA577" s="194"/>
      <c r="AB577" s="195"/>
      <c r="AC577" s="171"/>
      <c r="AD577" s="171"/>
      <c r="AE577" s="194"/>
      <c r="AF577" s="195"/>
      <c r="AG577" s="171"/>
      <c r="AH577" s="171"/>
      <c r="AI577" s="194"/>
      <c r="AJ577" s="196"/>
    </row>
    <row r="578" spans="2:36">
      <c r="B578" s="166"/>
      <c r="C578" s="167"/>
      <c r="D578" s="171"/>
      <c r="E578" s="171"/>
      <c r="F578" s="171"/>
      <c r="G578" s="172"/>
      <c r="H578" s="173"/>
      <c r="I578" s="193"/>
      <c r="J578" s="171"/>
      <c r="K578" s="194"/>
      <c r="L578" s="173"/>
      <c r="M578" s="171"/>
      <c r="N578" s="171"/>
      <c r="O578" s="194"/>
      <c r="P578" s="195"/>
      <c r="Q578" s="171"/>
      <c r="R578" s="171"/>
      <c r="S578" s="194"/>
      <c r="T578" s="195"/>
      <c r="U578" s="171"/>
      <c r="V578" s="171"/>
      <c r="W578" s="194"/>
      <c r="X578" s="195"/>
      <c r="Y578" s="171"/>
      <c r="Z578" s="171"/>
      <c r="AA578" s="194"/>
      <c r="AB578" s="195"/>
      <c r="AC578" s="171"/>
      <c r="AD578" s="171"/>
      <c r="AE578" s="194"/>
      <c r="AF578" s="195"/>
      <c r="AG578" s="171"/>
      <c r="AH578" s="171"/>
      <c r="AI578" s="194"/>
      <c r="AJ578" s="196"/>
    </row>
    <row r="579" spans="2:36">
      <c r="B579" s="166"/>
      <c r="C579" s="167"/>
      <c r="D579" s="171"/>
      <c r="E579" s="171"/>
      <c r="F579" s="171"/>
      <c r="G579" s="172"/>
      <c r="H579" s="173"/>
      <c r="I579" s="193"/>
      <c r="J579" s="171"/>
      <c r="K579" s="194"/>
      <c r="L579" s="173"/>
      <c r="M579" s="171"/>
      <c r="N579" s="171"/>
      <c r="O579" s="194"/>
      <c r="P579" s="195"/>
      <c r="Q579" s="171"/>
      <c r="R579" s="171"/>
      <c r="S579" s="194"/>
      <c r="T579" s="195"/>
      <c r="U579" s="171"/>
      <c r="V579" s="171"/>
      <c r="W579" s="194"/>
      <c r="X579" s="195"/>
      <c r="Y579" s="171"/>
      <c r="Z579" s="171"/>
      <c r="AA579" s="194"/>
      <c r="AB579" s="195"/>
      <c r="AC579" s="171"/>
      <c r="AD579" s="171"/>
      <c r="AE579" s="194"/>
      <c r="AF579" s="195"/>
      <c r="AG579" s="171"/>
      <c r="AH579" s="171"/>
      <c r="AI579" s="194"/>
      <c r="AJ579" s="196"/>
    </row>
    <row r="580" spans="2:36">
      <c r="B580" s="166"/>
      <c r="C580" s="167"/>
      <c r="D580" s="171"/>
      <c r="E580" s="171"/>
      <c r="F580" s="171"/>
      <c r="G580" s="172"/>
      <c r="H580" s="173"/>
      <c r="I580" s="193"/>
      <c r="J580" s="171"/>
      <c r="K580" s="194"/>
      <c r="L580" s="173"/>
      <c r="M580" s="171"/>
      <c r="N580" s="171"/>
      <c r="O580" s="194"/>
      <c r="P580" s="195"/>
      <c r="Q580" s="171"/>
      <c r="R580" s="171"/>
      <c r="S580" s="194"/>
      <c r="T580" s="195"/>
      <c r="U580" s="171"/>
      <c r="V580" s="171"/>
      <c r="W580" s="194"/>
      <c r="X580" s="195"/>
      <c r="Y580" s="171"/>
      <c r="Z580" s="171"/>
      <c r="AA580" s="194"/>
      <c r="AB580" s="195"/>
      <c r="AC580" s="171"/>
      <c r="AD580" s="171"/>
      <c r="AE580" s="194"/>
      <c r="AF580" s="195"/>
      <c r="AG580" s="171"/>
      <c r="AH580" s="171"/>
      <c r="AI580" s="194"/>
      <c r="AJ580" s="196"/>
    </row>
    <row r="581" spans="2:36">
      <c r="B581" s="166"/>
      <c r="C581" s="167"/>
      <c r="D581" s="171"/>
      <c r="E581" s="171"/>
      <c r="F581" s="171"/>
      <c r="G581" s="172"/>
      <c r="H581" s="173"/>
      <c r="I581" s="193"/>
      <c r="J581" s="171"/>
      <c r="K581" s="194"/>
      <c r="L581" s="173"/>
      <c r="M581" s="171"/>
      <c r="N581" s="171"/>
      <c r="O581" s="194"/>
      <c r="P581" s="195"/>
      <c r="Q581" s="171"/>
      <c r="R581" s="171"/>
      <c r="S581" s="194"/>
      <c r="T581" s="195"/>
      <c r="U581" s="171"/>
      <c r="V581" s="171"/>
      <c r="W581" s="194"/>
      <c r="X581" s="195"/>
      <c r="Y581" s="171"/>
      <c r="Z581" s="171"/>
      <c r="AA581" s="194"/>
      <c r="AB581" s="195"/>
      <c r="AC581" s="171"/>
      <c r="AD581" s="171"/>
      <c r="AE581" s="194"/>
      <c r="AF581" s="195"/>
      <c r="AG581" s="171"/>
      <c r="AH581" s="171"/>
      <c r="AI581" s="194"/>
      <c r="AJ581" s="196"/>
    </row>
    <row r="582" spans="2:36">
      <c r="B582" s="166"/>
      <c r="C582" s="167"/>
      <c r="D582" s="171"/>
      <c r="E582" s="171"/>
      <c r="F582" s="171"/>
      <c r="G582" s="172"/>
      <c r="H582" s="173"/>
      <c r="I582" s="193"/>
      <c r="J582" s="171"/>
      <c r="K582" s="194"/>
      <c r="L582" s="173"/>
      <c r="M582" s="171"/>
      <c r="N582" s="171"/>
      <c r="O582" s="194"/>
      <c r="P582" s="195"/>
      <c r="Q582" s="171"/>
      <c r="R582" s="171"/>
      <c r="S582" s="194"/>
      <c r="T582" s="195"/>
      <c r="U582" s="171"/>
      <c r="V582" s="171"/>
      <c r="W582" s="194"/>
      <c r="X582" s="195"/>
      <c r="Y582" s="171"/>
      <c r="Z582" s="171"/>
      <c r="AA582" s="194"/>
      <c r="AB582" s="195"/>
      <c r="AC582" s="171"/>
      <c r="AD582" s="171"/>
      <c r="AE582" s="194"/>
      <c r="AF582" s="195"/>
      <c r="AG582" s="171"/>
      <c r="AH582" s="171"/>
      <c r="AI582" s="194"/>
      <c r="AJ582" s="196"/>
    </row>
    <row r="583" spans="2:36">
      <c r="B583" s="166"/>
      <c r="C583" s="167"/>
      <c r="D583" s="171"/>
      <c r="E583" s="171"/>
      <c r="F583" s="171"/>
      <c r="G583" s="172"/>
      <c r="H583" s="173"/>
      <c r="I583" s="193"/>
      <c r="J583" s="171"/>
      <c r="K583" s="194"/>
      <c r="L583" s="173"/>
      <c r="M583" s="171"/>
      <c r="N583" s="171"/>
      <c r="O583" s="194"/>
      <c r="P583" s="195"/>
      <c r="Q583" s="171"/>
      <c r="R583" s="171"/>
      <c r="S583" s="194"/>
      <c r="T583" s="195"/>
      <c r="U583" s="171"/>
      <c r="V583" s="171"/>
      <c r="W583" s="194"/>
      <c r="X583" s="195"/>
      <c r="Y583" s="171"/>
      <c r="Z583" s="171"/>
      <c r="AA583" s="194"/>
      <c r="AB583" s="195"/>
      <c r="AC583" s="171"/>
      <c r="AD583" s="171"/>
      <c r="AE583" s="194"/>
      <c r="AF583" s="195"/>
      <c r="AG583" s="171"/>
      <c r="AH583" s="171"/>
      <c r="AI583" s="194"/>
      <c r="AJ583" s="196"/>
    </row>
    <row r="584" spans="2:36">
      <c r="B584" s="166"/>
      <c r="C584" s="167"/>
      <c r="D584" s="171"/>
      <c r="E584" s="171"/>
      <c r="F584" s="171"/>
      <c r="G584" s="172"/>
      <c r="H584" s="173"/>
      <c r="I584" s="193"/>
      <c r="J584" s="171"/>
      <c r="K584" s="194"/>
      <c r="L584" s="173"/>
      <c r="M584" s="171"/>
      <c r="N584" s="171"/>
      <c r="O584" s="194"/>
      <c r="P584" s="195"/>
      <c r="Q584" s="171"/>
      <c r="R584" s="171"/>
      <c r="S584" s="194"/>
      <c r="T584" s="195"/>
      <c r="U584" s="171"/>
      <c r="V584" s="171"/>
      <c r="W584" s="194"/>
      <c r="X584" s="195"/>
      <c r="Y584" s="171"/>
      <c r="Z584" s="171"/>
      <c r="AA584" s="194"/>
      <c r="AB584" s="195"/>
      <c r="AC584" s="171"/>
      <c r="AD584" s="171"/>
      <c r="AE584" s="194"/>
      <c r="AF584" s="195"/>
      <c r="AG584" s="171"/>
      <c r="AH584" s="171"/>
      <c r="AI584" s="194"/>
      <c r="AJ584" s="196"/>
    </row>
    <row r="585" spans="2:36">
      <c r="B585" s="166"/>
      <c r="C585" s="167"/>
      <c r="D585" s="171"/>
      <c r="E585" s="171"/>
      <c r="F585" s="171"/>
      <c r="G585" s="172"/>
      <c r="H585" s="173"/>
      <c r="I585" s="193"/>
      <c r="J585" s="171"/>
      <c r="K585" s="194"/>
      <c r="L585" s="173"/>
      <c r="M585" s="171"/>
      <c r="N585" s="171"/>
      <c r="O585" s="194"/>
      <c r="P585" s="195"/>
      <c r="Q585" s="171"/>
      <c r="R585" s="171"/>
      <c r="S585" s="194"/>
      <c r="T585" s="195"/>
      <c r="U585" s="171"/>
      <c r="V585" s="171"/>
      <c r="W585" s="194"/>
      <c r="X585" s="195"/>
      <c r="Y585" s="171"/>
      <c r="Z585" s="171"/>
      <c r="AA585" s="194"/>
      <c r="AB585" s="195"/>
      <c r="AC585" s="171"/>
      <c r="AD585" s="171"/>
      <c r="AE585" s="194"/>
      <c r="AF585" s="195"/>
      <c r="AG585" s="171"/>
      <c r="AH585" s="171"/>
      <c r="AI585" s="194"/>
      <c r="AJ585" s="196"/>
    </row>
    <row r="586" spans="2:36">
      <c r="B586" s="166"/>
      <c r="C586" s="167"/>
      <c r="D586" s="171"/>
      <c r="E586" s="171"/>
      <c r="F586" s="171"/>
      <c r="G586" s="172"/>
      <c r="H586" s="173"/>
      <c r="I586" s="193"/>
      <c r="J586" s="171"/>
      <c r="K586" s="194"/>
      <c r="L586" s="173"/>
      <c r="M586" s="171"/>
      <c r="N586" s="171"/>
      <c r="O586" s="194"/>
      <c r="P586" s="195"/>
      <c r="Q586" s="171"/>
      <c r="R586" s="171"/>
      <c r="S586" s="194"/>
      <c r="T586" s="195"/>
      <c r="U586" s="171"/>
      <c r="V586" s="171"/>
      <c r="W586" s="194"/>
      <c r="X586" s="195"/>
      <c r="Y586" s="171"/>
      <c r="Z586" s="171"/>
      <c r="AA586" s="194"/>
      <c r="AB586" s="195"/>
      <c r="AC586" s="171"/>
      <c r="AD586" s="171"/>
      <c r="AE586" s="194"/>
      <c r="AF586" s="195"/>
      <c r="AG586" s="171"/>
      <c r="AH586" s="171"/>
      <c r="AI586" s="194"/>
      <c r="AJ586" s="196"/>
    </row>
    <row r="587" spans="2:36">
      <c r="B587" s="166"/>
      <c r="C587" s="167"/>
      <c r="D587" s="171"/>
      <c r="E587" s="171"/>
      <c r="F587" s="171"/>
      <c r="G587" s="172"/>
      <c r="H587" s="173"/>
      <c r="I587" s="193"/>
      <c r="J587" s="171"/>
      <c r="K587" s="194"/>
      <c r="L587" s="173"/>
      <c r="M587" s="171"/>
      <c r="N587" s="171"/>
      <c r="O587" s="194"/>
      <c r="P587" s="195"/>
      <c r="Q587" s="171"/>
      <c r="R587" s="171"/>
      <c r="S587" s="194"/>
      <c r="T587" s="195"/>
      <c r="U587" s="171"/>
      <c r="V587" s="171"/>
      <c r="W587" s="194"/>
      <c r="X587" s="195"/>
      <c r="Y587" s="171"/>
      <c r="Z587" s="171"/>
      <c r="AA587" s="194"/>
      <c r="AB587" s="195"/>
      <c r="AC587" s="171"/>
      <c r="AD587" s="171"/>
      <c r="AE587" s="194"/>
      <c r="AF587" s="195"/>
      <c r="AG587" s="171"/>
      <c r="AH587" s="171"/>
      <c r="AI587" s="194"/>
      <c r="AJ587" s="196"/>
    </row>
    <row r="588" spans="2:36">
      <c r="B588" s="166"/>
      <c r="C588" s="167"/>
      <c r="D588" s="171"/>
      <c r="E588" s="171"/>
      <c r="F588" s="171"/>
      <c r="G588" s="172"/>
      <c r="H588" s="173"/>
      <c r="I588" s="193"/>
      <c r="J588" s="171"/>
      <c r="K588" s="194"/>
      <c r="L588" s="173"/>
      <c r="M588" s="171"/>
      <c r="N588" s="171"/>
      <c r="O588" s="194"/>
      <c r="P588" s="195"/>
      <c r="Q588" s="171"/>
      <c r="R588" s="171"/>
      <c r="S588" s="194"/>
      <c r="T588" s="195"/>
      <c r="U588" s="171"/>
      <c r="V588" s="171"/>
      <c r="W588" s="194"/>
      <c r="X588" s="195"/>
      <c r="Y588" s="171"/>
      <c r="Z588" s="171"/>
      <c r="AA588" s="194"/>
      <c r="AB588" s="195"/>
      <c r="AC588" s="171"/>
      <c r="AD588" s="171"/>
      <c r="AE588" s="194"/>
      <c r="AF588" s="195"/>
      <c r="AG588" s="171"/>
      <c r="AH588" s="171"/>
      <c r="AI588" s="194"/>
      <c r="AJ588" s="196"/>
    </row>
    <row r="589" spans="2:36">
      <c r="B589" s="166"/>
      <c r="C589" s="167"/>
      <c r="D589" s="171"/>
      <c r="E589" s="171"/>
      <c r="F589" s="171"/>
      <c r="G589" s="172"/>
      <c r="H589" s="173"/>
      <c r="I589" s="193"/>
      <c r="J589" s="171"/>
      <c r="K589" s="194"/>
      <c r="L589" s="173"/>
      <c r="M589" s="171"/>
      <c r="N589" s="171"/>
      <c r="O589" s="194"/>
      <c r="P589" s="195"/>
      <c r="Q589" s="171"/>
      <c r="R589" s="171"/>
      <c r="S589" s="194"/>
      <c r="T589" s="195"/>
      <c r="U589" s="171"/>
      <c r="V589" s="171"/>
      <c r="W589" s="194"/>
      <c r="X589" s="195"/>
      <c r="Y589" s="171"/>
      <c r="Z589" s="171"/>
      <c r="AA589" s="194"/>
      <c r="AB589" s="195"/>
      <c r="AC589" s="171"/>
      <c r="AD589" s="171"/>
      <c r="AE589" s="194"/>
      <c r="AF589" s="195"/>
      <c r="AG589" s="171"/>
      <c r="AH589" s="171"/>
      <c r="AI589" s="194"/>
      <c r="AJ589" s="196"/>
    </row>
    <row r="590" spans="2:36">
      <c r="B590" s="166"/>
      <c r="C590" s="167"/>
      <c r="D590" s="171"/>
      <c r="E590" s="171"/>
      <c r="F590" s="171"/>
      <c r="G590" s="172"/>
      <c r="H590" s="173"/>
      <c r="I590" s="193"/>
      <c r="J590" s="171"/>
      <c r="K590" s="194"/>
      <c r="L590" s="173"/>
      <c r="M590" s="171"/>
      <c r="N590" s="171"/>
      <c r="O590" s="194"/>
      <c r="P590" s="195"/>
      <c r="Q590" s="171"/>
      <c r="R590" s="171"/>
      <c r="S590" s="194"/>
      <c r="T590" s="195"/>
      <c r="U590" s="171"/>
      <c r="V590" s="171"/>
      <c r="W590" s="194"/>
      <c r="X590" s="195"/>
      <c r="Y590" s="171"/>
      <c r="Z590" s="171"/>
      <c r="AA590" s="194"/>
      <c r="AB590" s="195"/>
      <c r="AC590" s="171"/>
      <c r="AD590" s="171"/>
      <c r="AE590" s="194"/>
      <c r="AF590" s="195"/>
      <c r="AG590" s="171"/>
      <c r="AH590" s="171"/>
      <c r="AI590" s="194"/>
      <c r="AJ590" s="196"/>
    </row>
    <row r="591" spans="2:36">
      <c r="B591" s="166"/>
      <c r="C591" s="167"/>
      <c r="D591" s="171"/>
      <c r="E591" s="171"/>
      <c r="F591" s="171"/>
      <c r="G591" s="172"/>
      <c r="H591" s="173"/>
      <c r="I591" s="193"/>
      <c r="J591" s="171"/>
      <c r="K591" s="194"/>
      <c r="L591" s="173"/>
      <c r="M591" s="171"/>
      <c r="N591" s="171"/>
      <c r="O591" s="194"/>
      <c r="P591" s="195"/>
      <c r="Q591" s="171"/>
      <c r="R591" s="171"/>
      <c r="S591" s="194"/>
      <c r="T591" s="195"/>
      <c r="U591" s="171"/>
      <c r="V591" s="171"/>
      <c r="W591" s="194"/>
      <c r="X591" s="195"/>
      <c r="Y591" s="171"/>
      <c r="Z591" s="171"/>
      <c r="AA591" s="194"/>
      <c r="AB591" s="195"/>
      <c r="AC591" s="171"/>
      <c r="AD591" s="171"/>
      <c r="AE591" s="194"/>
      <c r="AF591" s="195"/>
      <c r="AG591" s="171"/>
      <c r="AH591" s="171"/>
      <c r="AI591" s="194"/>
      <c r="AJ591" s="196"/>
    </row>
    <row r="592" spans="2:36">
      <c r="B592" s="166"/>
      <c r="C592" s="167"/>
      <c r="D592" s="171"/>
      <c r="E592" s="171"/>
      <c r="F592" s="171"/>
      <c r="G592" s="172"/>
      <c r="H592" s="173"/>
      <c r="I592" s="193"/>
      <c r="J592" s="171"/>
      <c r="K592" s="194"/>
      <c r="L592" s="173"/>
      <c r="M592" s="171"/>
      <c r="N592" s="171"/>
      <c r="O592" s="194"/>
      <c r="P592" s="195"/>
      <c r="Q592" s="171"/>
      <c r="R592" s="171"/>
      <c r="S592" s="194"/>
      <c r="T592" s="195"/>
      <c r="U592" s="171"/>
      <c r="V592" s="171"/>
      <c r="W592" s="194"/>
      <c r="X592" s="195"/>
      <c r="Y592" s="171"/>
      <c r="Z592" s="171"/>
      <c r="AA592" s="194"/>
      <c r="AB592" s="195"/>
      <c r="AC592" s="171"/>
      <c r="AD592" s="171"/>
      <c r="AE592" s="194"/>
      <c r="AF592" s="195"/>
      <c r="AG592" s="171"/>
      <c r="AH592" s="171"/>
      <c r="AI592" s="194"/>
      <c r="AJ592" s="196"/>
    </row>
    <row r="593" spans="2:36">
      <c r="B593" s="166"/>
      <c r="C593" s="167"/>
      <c r="D593" s="171"/>
      <c r="E593" s="171"/>
      <c r="F593" s="171"/>
      <c r="G593" s="172"/>
      <c r="H593" s="173"/>
      <c r="I593" s="193"/>
      <c r="J593" s="171"/>
      <c r="K593" s="194"/>
      <c r="L593" s="173"/>
      <c r="M593" s="171"/>
      <c r="N593" s="171"/>
      <c r="O593" s="194"/>
      <c r="P593" s="195"/>
      <c r="Q593" s="171"/>
      <c r="R593" s="171"/>
      <c r="S593" s="194"/>
      <c r="T593" s="195"/>
      <c r="U593" s="171"/>
      <c r="V593" s="171"/>
      <c r="W593" s="194"/>
      <c r="X593" s="195"/>
      <c r="Y593" s="171"/>
      <c r="Z593" s="171"/>
      <c r="AA593" s="194"/>
      <c r="AB593" s="195"/>
      <c r="AC593" s="171"/>
      <c r="AD593" s="171"/>
      <c r="AE593" s="194"/>
      <c r="AF593" s="195"/>
      <c r="AG593" s="171"/>
      <c r="AH593" s="171"/>
      <c r="AI593" s="194"/>
      <c r="AJ593" s="196"/>
    </row>
    <row r="594" spans="2:36">
      <c r="B594" s="166"/>
      <c r="C594" s="167"/>
      <c r="D594" s="171"/>
      <c r="E594" s="171"/>
      <c r="F594" s="171"/>
      <c r="G594" s="172"/>
      <c r="H594" s="173"/>
      <c r="I594" s="193"/>
      <c r="J594" s="171"/>
      <c r="K594" s="194"/>
      <c r="L594" s="173"/>
      <c r="M594" s="171"/>
      <c r="N594" s="171"/>
      <c r="O594" s="194"/>
      <c r="P594" s="195"/>
      <c r="Q594" s="171"/>
      <c r="R594" s="171"/>
      <c r="S594" s="194"/>
      <c r="T594" s="195"/>
      <c r="U594" s="171"/>
      <c r="V594" s="171"/>
      <c r="W594" s="194"/>
      <c r="X594" s="195"/>
      <c r="Y594" s="171"/>
      <c r="Z594" s="171"/>
      <c r="AA594" s="194"/>
      <c r="AB594" s="195"/>
      <c r="AC594" s="171"/>
      <c r="AD594" s="171"/>
      <c r="AE594" s="194"/>
      <c r="AF594" s="195"/>
      <c r="AG594" s="171"/>
      <c r="AH594" s="171"/>
      <c r="AI594" s="194"/>
      <c r="AJ594" s="196"/>
    </row>
    <row r="595" spans="2:36">
      <c r="B595" s="166"/>
      <c r="C595" s="167"/>
      <c r="D595" s="171"/>
      <c r="E595" s="171"/>
      <c r="F595" s="171"/>
      <c r="G595" s="172"/>
      <c r="H595" s="173"/>
      <c r="I595" s="193"/>
      <c r="J595" s="171"/>
      <c r="K595" s="194"/>
      <c r="L595" s="173"/>
      <c r="M595" s="171"/>
      <c r="N595" s="171"/>
      <c r="O595" s="194"/>
      <c r="P595" s="195"/>
      <c r="Q595" s="171"/>
      <c r="R595" s="171"/>
      <c r="S595" s="194"/>
      <c r="T595" s="195"/>
      <c r="U595" s="171"/>
      <c r="V595" s="171"/>
      <c r="W595" s="194"/>
      <c r="X595" s="195"/>
      <c r="Y595" s="171"/>
      <c r="Z595" s="171"/>
      <c r="AA595" s="194"/>
      <c r="AB595" s="195"/>
      <c r="AC595" s="171"/>
      <c r="AD595" s="171"/>
      <c r="AE595" s="194"/>
      <c r="AF595" s="195"/>
      <c r="AG595" s="171"/>
      <c r="AH595" s="171"/>
      <c r="AI595" s="194"/>
      <c r="AJ595" s="196"/>
    </row>
    <row r="596" spans="2:36">
      <c r="B596" s="166"/>
      <c r="C596" s="167"/>
      <c r="D596" s="171"/>
      <c r="E596" s="171"/>
      <c r="F596" s="171"/>
      <c r="G596" s="172"/>
      <c r="H596" s="173"/>
      <c r="I596" s="193"/>
      <c r="J596" s="171"/>
      <c r="K596" s="194"/>
      <c r="L596" s="173"/>
      <c r="M596" s="171"/>
      <c r="N596" s="171"/>
      <c r="O596" s="194"/>
      <c r="P596" s="195"/>
      <c r="Q596" s="171"/>
      <c r="R596" s="171"/>
      <c r="S596" s="194"/>
      <c r="T596" s="195"/>
      <c r="U596" s="171"/>
      <c r="V596" s="171"/>
      <c r="W596" s="194"/>
      <c r="X596" s="195"/>
      <c r="Y596" s="171"/>
      <c r="Z596" s="171"/>
      <c r="AA596" s="194"/>
      <c r="AB596" s="195"/>
      <c r="AC596" s="171"/>
      <c r="AD596" s="171"/>
      <c r="AE596" s="194"/>
      <c r="AF596" s="195"/>
      <c r="AG596" s="171"/>
      <c r="AH596" s="171"/>
      <c r="AI596" s="194"/>
      <c r="AJ596" s="196"/>
    </row>
    <row r="597" spans="2:36">
      <c r="B597" s="166"/>
      <c r="C597" s="167"/>
      <c r="D597" s="171"/>
      <c r="E597" s="171"/>
      <c r="F597" s="171"/>
      <c r="G597" s="172"/>
      <c r="H597" s="173"/>
      <c r="I597" s="193"/>
      <c r="J597" s="171"/>
      <c r="K597" s="194"/>
      <c r="L597" s="173"/>
      <c r="M597" s="171"/>
      <c r="N597" s="171"/>
      <c r="O597" s="194"/>
      <c r="P597" s="195"/>
      <c r="Q597" s="171"/>
      <c r="R597" s="171"/>
      <c r="S597" s="194"/>
      <c r="T597" s="195"/>
      <c r="U597" s="171"/>
      <c r="V597" s="171"/>
      <c r="W597" s="194"/>
      <c r="X597" s="195"/>
      <c r="Y597" s="171"/>
      <c r="Z597" s="171"/>
      <c r="AA597" s="194"/>
      <c r="AB597" s="195"/>
      <c r="AC597" s="171"/>
      <c r="AD597" s="171"/>
      <c r="AE597" s="194"/>
      <c r="AF597" s="195"/>
      <c r="AG597" s="171"/>
      <c r="AH597" s="171"/>
      <c r="AI597" s="194"/>
      <c r="AJ597" s="196"/>
    </row>
    <row r="598" spans="2:36">
      <c r="B598" s="166"/>
      <c r="C598" s="167"/>
      <c r="D598" s="171"/>
      <c r="E598" s="171"/>
      <c r="F598" s="171"/>
      <c r="G598" s="172"/>
      <c r="H598" s="173"/>
      <c r="I598" s="193"/>
      <c r="J598" s="171"/>
      <c r="K598" s="194"/>
      <c r="L598" s="173"/>
      <c r="M598" s="171"/>
      <c r="N598" s="171"/>
      <c r="O598" s="194"/>
      <c r="P598" s="195"/>
      <c r="Q598" s="171"/>
      <c r="R598" s="171"/>
      <c r="S598" s="194"/>
      <c r="T598" s="195"/>
      <c r="U598" s="171"/>
      <c r="V598" s="171"/>
      <c r="W598" s="194"/>
      <c r="X598" s="195"/>
      <c r="Y598" s="171"/>
      <c r="Z598" s="171"/>
      <c r="AA598" s="194"/>
      <c r="AB598" s="195"/>
      <c r="AC598" s="171"/>
      <c r="AD598" s="171"/>
      <c r="AE598" s="194"/>
      <c r="AF598" s="195"/>
      <c r="AG598" s="171"/>
      <c r="AH598" s="171"/>
      <c r="AI598" s="194"/>
      <c r="AJ598" s="196"/>
    </row>
    <row r="599" spans="2:36">
      <c r="B599" s="166"/>
      <c r="C599" s="167"/>
      <c r="D599" s="171"/>
      <c r="E599" s="171"/>
      <c r="F599" s="171"/>
      <c r="G599" s="172"/>
      <c r="H599" s="173"/>
      <c r="I599" s="193"/>
      <c r="J599" s="171"/>
      <c r="K599" s="194"/>
      <c r="L599" s="173"/>
      <c r="M599" s="171"/>
      <c r="N599" s="171"/>
      <c r="O599" s="194"/>
      <c r="P599" s="195"/>
      <c r="Q599" s="171"/>
      <c r="R599" s="171"/>
      <c r="S599" s="194"/>
      <c r="T599" s="195"/>
      <c r="U599" s="171"/>
      <c r="V599" s="171"/>
      <c r="W599" s="194"/>
      <c r="X599" s="195"/>
      <c r="Y599" s="171"/>
      <c r="Z599" s="171"/>
      <c r="AA599" s="194"/>
      <c r="AB599" s="195"/>
      <c r="AC599" s="171"/>
      <c r="AD599" s="171"/>
      <c r="AE599" s="194"/>
      <c r="AF599" s="195"/>
      <c r="AG599" s="171"/>
      <c r="AH599" s="171"/>
      <c r="AI599" s="194"/>
      <c r="AJ599" s="196"/>
    </row>
    <row r="600" spans="2:36">
      <c r="B600" s="166"/>
      <c r="C600" s="167"/>
      <c r="D600" s="171"/>
      <c r="E600" s="171"/>
      <c r="F600" s="171"/>
      <c r="G600" s="172"/>
      <c r="H600" s="173"/>
      <c r="I600" s="193"/>
      <c r="J600" s="171"/>
      <c r="K600" s="194"/>
      <c r="L600" s="173"/>
      <c r="M600" s="171"/>
      <c r="N600" s="171"/>
      <c r="O600" s="194"/>
      <c r="P600" s="195"/>
      <c r="Q600" s="171"/>
      <c r="R600" s="171"/>
      <c r="S600" s="194"/>
      <c r="T600" s="195"/>
      <c r="U600" s="171"/>
      <c r="V600" s="171"/>
      <c r="W600" s="194"/>
      <c r="X600" s="195"/>
      <c r="Y600" s="171"/>
      <c r="Z600" s="171"/>
      <c r="AA600" s="194"/>
      <c r="AB600" s="195"/>
      <c r="AC600" s="171"/>
      <c r="AD600" s="171"/>
      <c r="AE600" s="194"/>
      <c r="AF600" s="195"/>
      <c r="AG600" s="171"/>
      <c r="AH600" s="171"/>
      <c r="AI600" s="194"/>
      <c r="AJ600" s="196"/>
    </row>
    <row r="601" spans="2:36">
      <c r="B601" s="166"/>
      <c r="C601" s="167"/>
      <c r="D601" s="171"/>
      <c r="E601" s="171"/>
      <c r="F601" s="171"/>
      <c r="G601" s="172"/>
      <c r="H601" s="173"/>
      <c r="I601" s="193"/>
      <c r="J601" s="171"/>
      <c r="K601" s="194"/>
      <c r="L601" s="173"/>
      <c r="M601" s="171"/>
      <c r="N601" s="171"/>
      <c r="O601" s="194"/>
      <c r="P601" s="195"/>
      <c r="Q601" s="171"/>
      <c r="R601" s="171"/>
      <c r="S601" s="194"/>
      <c r="T601" s="195"/>
      <c r="U601" s="171"/>
      <c r="V601" s="171"/>
      <c r="W601" s="194"/>
      <c r="X601" s="195"/>
      <c r="Y601" s="171"/>
      <c r="Z601" s="171"/>
      <c r="AA601" s="194"/>
      <c r="AB601" s="195"/>
      <c r="AC601" s="171"/>
      <c r="AD601" s="171"/>
      <c r="AE601" s="194"/>
      <c r="AF601" s="195"/>
      <c r="AG601" s="171"/>
      <c r="AH601" s="171"/>
      <c r="AI601" s="194"/>
      <c r="AJ601" s="196"/>
    </row>
    <row r="602" spans="2:36">
      <c r="B602" s="166"/>
      <c r="C602" s="167"/>
      <c r="D602" s="171"/>
      <c r="E602" s="171"/>
      <c r="F602" s="171"/>
      <c r="G602" s="172"/>
      <c r="H602" s="173"/>
      <c r="I602" s="193"/>
      <c r="J602" s="171"/>
      <c r="K602" s="194"/>
      <c r="L602" s="173"/>
      <c r="M602" s="171"/>
      <c r="N602" s="171"/>
      <c r="O602" s="194"/>
      <c r="P602" s="195"/>
      <c r="Q602" s="171"/>
      <c r="R602" s="171"/>
      <c r="S602" s="194"/>
      <c r="T602" s="195"/>
      <c r="U602" s="171"/>
      <c r="V602" s="171"/>
      <c r="W602" s="194"/>
      <c r="X602" s="195"/>
      <c r="Y602" s="171"/>
      <c r="Z602" s="171"/>
      <c r="AA602" s="194"/>
      <c r="AB602" s="195"/>
      <c r="AC602" s="171"/>
      <c r="AD602" s="171"/>
      <c r="AE602" s="194"/>
      <c r="AF602" s="195"/>
      <c r="AG602" s="171"/>
      <c r="AH602" s="171"/>
      <c r="AI602" s="194"/>
      <c r="AJ602" s="196"/>
    </row>
    <row r="603" spans="2:36">
      <c r="B603" s="166"/>
      <c r="C603" s="167"/>
      <c r="D603" s="171"/>
      <c r="E603" s="171"/>
      <c r="F603" s="171"/>
      <c r="G603" s="172"/>
      <c r="H603" s="173"/>
      <c r="I603" s="193"/>
      <c r="J603" s="171"/>
      <c r="K603" s="194"/>
      <c r="L603" s="173"/>
      <c r="M603" s="171"/>
      <c r="N603" s="171"/>
      <c r="O603" s="194"/>
      <c r="P603" s="195"/>
      <c r="Q603" s="171"/>
      <c r="R603" s="171"/>
      <c r="S603" s="194"/>
      <c r="T603" s="195"/>
      <c r="U603" s="171"/>
      <c r="V603" s="171"/>
      <c r="W603" s="194"/>
      <c r="X603" s="195"/>
      <c r="Y603" s="171"/>
      <c r="Z603" s="171"/>
      <c r="AA603" s="194"/>
      <c r="AB603" s="195"/>
      <c r="AC603" s="171"/>
      <c r="AD603" s="171"/>
      <c r="AE603" s="194"/>
      <c r="AF603" s="195"/>
      <c r="AG603" s="171"/>
      <c r="AH603" s="171"/>
      <c r="AI603" s="194"/>
      <c r="AJ603" s="196"/>
    </row>
    <row r="604" spans="2:36">
      <c r="B604" s="166"/>
      <c r="C604" s="167"/>
      <c r="D604" s="171"/>
      <c r="E604" s="171"/>
      <c r="F604" s="171"/>
      <c r="G604" s="172"/>
      <c r="H604" s="173"/>
      <c r="I604" s="193"/>
      <c r="J604" s="171"/>
      <c r="K604" s="194"/>
      <c r="L604" s="173"/>
      <c r="M604" s="171"/>
      <c r="N604" s="171"/>
      <c r="O604" s="194"/>
      <c r="P604" s="195"/>
      <c r="Q604" s="171"/>
      <c r="R604" s="171"/>
      <c r="S604" s="194"/>
      <c r="T604" s="195"/>
      <c r="U604" s="171"/>
      <c r="V604" s="171"/>
      <c r="W604" s="194"/>
      <c r="X604" s="195"/>
      <c r="Y604" s="171"/>
      <c r="Z604" s="171"/>
      <c r="AA604" s="194"/>
      <c r="AB604" s="195"/>
      <c r="AC604" s="171"/>
      <c r="AD604" s="171"/>
      <c r="AE604" s="194"/>
      <c r="AF604" s="195"/>
      <c r="AG604" s="171"/>
      <c r="AH604" s="171"/>
      <c r="AI604" s="194"/>
      <c r="AJ604" s="196"/>
    </row>
    <row r="605" spans="2:36">
      <c r="B605" s="166"/>
      <c r="C605" s="167"/>
      <c r="D605" s="171"/>
      <c r="E605" s="171"/>
      <c r="F605" s="171"/>
      <c r="G605" s="172"/>
      <c r="H605" s="173"/>
      <c r="I605" s="193"/>
      <c r="J605" s="171"/>
      <c r="K605" s="194"/>
      <c r="L605" s="173"/>
      <c r="M605" s="171"/>
      <c r="N605" s="171"/>
      <c r="O605" s="194"/>
      <c r="P605" s="195"/>
      <c r="Q605" s="171"/>
      <c r="R605" s="171"/>
      <c r="S605" s="194"/>
      <c r="T605" s="195"/>
      <c r="U605" s="171"/>
      <c r="V605" s="171"/>
      <c r="W605" s="194"/>
      <c r="X605" s="195"/>
      <c r="Y605" s="171"/>
      <c r="Z605" s="171"/>
      <c r="AA605" s="194"/>
      <c r="AB605" s="195"/>
      <c r="AC605" s="171"/>
      <c r="AD605" s="171"/>
      <c r="AE605" s="194"/>
      <c r="AF605" s="195"/>
      <c r="AG605" s="171"/>
      <c r="AH605" s="171"/>
      <c r="AI605" s="194"/>
      <c r="AJ605" s="196"/>
    </row>
    <row r="606" spans="2:36">
      <c r="B606" s="166"/>
      <c r="C606" s="167"/>
      <c r="D606" s="171"/>
      <c r="E606" s="171"/>
      <c r="F606" s="171"/>
      <c r="G606" s="172"/>
      <c r="H606" s="173"/>
      <c r="I606" s="193"/>
      <c r="J606" s="171"/>
      <c r="K606" s="194"/>
      <c r="L606" s="173"/>
      <c r="M606" s="171"/>
      <c r="N606" s="171"/>
      <c r="O606" s="194"/>
      <c r="P606" s="195"/>
      <c r="Q606" s="171"/>
      <c r="R606" s="171"/>
      <c r="S606" s="194"/>
      <c r="T606" s="195"/>
      <c r="U606" s="171"/>
      <c r="V606" s="171"/>
      <c r="W606" s="194"/>
      <c r="X606" s="195"/>
      <c r="Y606" s="171"/>
      <c r="Z606" s="171"/>
      <c r="AA606" s="194"/>
      <c r="AB606" s="195"/>
      <c r="AC606" s="171"/>
      <c r="AD606" s="171"/>
      <c r="AE606" s="194"/>
      <c r="AF606" s="195"/>
      <c r="AG606" s="171"/>
      <c r="AH606" s="171"/>
      <c r="AI606" s="194"/>
      <c r="AJ606" s="196"/>
    </row>
    <row r="607" spans="2:36">
      <c r="B607" s="166"/>
      <c r="C607" s="167"/>
      <c r="D607" s="171"/>
      <c r="E607" s="171"/>
      <c r="F607" s="171"/>
      <c r="G607" s="172"/>
      <c r="H607" s="173"/>
      <c r="I607" s="193"/>
      <c r="J607" s="171"/>
      <c r="K607" s="194"/>
      <c r="L607" s="173"/>
      <c r="M607" s="171"/>
      <c r="N607" s="171"/>
      <c r="O607" s="194"/>
      <c r="P607" s="195"/>
      <c r="Q607" s="171"/>
      <c r="R607" s="171"/>
      <c r="S607" s="194"/>
      <c r="T607" s="195"/>
      <c r="U607" s="171"/>
      <c r="V607" s="171"/>
      <c r="W607" s="194"/>
      <c r="X607" s="195"/>
      <c r="Y607" s="171"/>
      <c r="Z607" s="171"/>
      <c r="AA607" s="194"/>
      <c r="AB607" s="195"/>
      <c r="AC607" s="171"/>
      <c r="AD607" s="171"/>
      <c r="AE607" s="194"/>
      <c r="AF607" s="195"/>
      <c r="AG607" s="171"/>
      <c r="AH607" s="171"/>
      <c r="AI607" s="194"/>
      <c r="AJ607" s="196"/>
    </row>
    <row r="608" spans="2:36">
      <c r="B608" s="166"/>
      <c r="C608" s="167"/>
      <c r="D608" s="171"/>
      <c r="E608" s="171"/>
      <c r="F608" s="171"/>
      <c r="G608" s="172"/>
      <c r="H608" s="173"/>
      <c r="I608" s="193"/>
      <c r="J608" s="171"/>
      <c r="K608" s="194"/>
      <c r="L608" s="173"/>
      <c r="M608" s="171"/>
      <c r="N608" s="171"/>
      <c r="O608" s="194"/>
      <c r="P608" s="195"/>
      <c r="Q608" s="171"/>
      <c r="R608" s="171"/>
      <c r="S608" s="194"/>
      <c r="T608" s="195"/>
      <c r="U608" s="171"/>
      <c r="V608" s="171"/>
      <c r="W608" s="194"/>
      <c r="X608" s="195"/>
      <c r="Y608" s="171"/>
      <c r="Z608" s="171"/>
      <c r="AA608" s="194"/>
      <c r="AB608" s="195"/>
      <c r="AC608" s="171"/>
      <c r="AD608" s="171"/>
      <c r="AE608" s="194"/>
      <c r="AF608" s="195"/>
      <c r="AG608" s="171"/>
      <c r="AH608" s="171"/>
      <c r="AI608" s="194"/>
      <c r="AJ608" s="196"/>
    </row>
    <row r="609" spans="2:36">
      <c r="B609" s="166"/>
      <c r="C609" s="167"/>
      <c r="D609" s="171"/>
      <c r="E609" s="171"/>
      <c r="F609" s="171"/>
      <c r="G609" s="172"/>
      <c r="H609" s="173"/>
      <c r="I609" s="193"/>
      <c r="J609" s="171"/>
      <c r="K609" s="194"/>
      <c r="L609" s="173"/>
      <c r="M609" s="171"/>
      <c r="N609" s="171"/>
      <c r="O609" s="194"/>
      <c r="P609" s="195"/>
      <c r="Q609" s="171"/>
      <c r="R609" s="171"/>
      <c r="S609" s="194"/>
      <c r="T609" s="195"/>
      <c r="U609" s="171"/>
      <c r="V609" s="171"/>
      <c r="W609" s="194"/>
      <c r="X609" s="195"/>
      <c r="Y609" s="171"/>
      <c r="Z609" s="171"/>
      <c r="AA609" s="194"/>
      <c r="AB609" s="195"/>
      <c r="AC609" s="171"/>
      <c r="AD609" s="171"/>
      <c r="AE609" s="194"/>
      <c r="AF609" s="195"/>
      <c r="AG609" s="171"/>
      <c r="AH609" s="171"/>
      <c r="AI609" s="194"/>
      <c r="AJ609" s="196"/>
    </row>
    <row r="610" spans="2:36">
      <c r="B610" s="166"/>
      <c r="C610" s="167"/>
      <c r="D610" s="171"/>
      <c r="E610" s="171"/>
      <c r="F610" s="171"/>
      <c r="G610" s="172"/>
      <c r="H610" s="173"/>
      <c r="I610" s="193"/>
      <c r="J610" s="171"/>
      <c r="K610" s="194"/>
      <c r="L610" s="173"/>
      <c r="M610" s="171"/>
      <c r="N610" s="171"/>
      <c r="O610" s="194"/>
      <c r="P610" s="195"/>
      <c r="Q610" s="171"/>
      <c r="R610" s="171"/>
      <c r="S610" s="194"/>
      <c r="T610" s="195"/>
      <c r="U610" s="171"/>
      <c r="V610" s="171"/>
      <c r="W610" s="194"/>
      <c r="X610" s="195"/>
      <c r="Y610" s="171"/>
      <c r="Z610" s="171"/>
      <c r="AA610" s="194"/>
      <c r="AB610" s="195"/>
      <c r="AC610" s="171"/>
      <c r="AD610" s="171"/>
      <c r="AE610" s="194"/>
      <c r="AF610" s="195"/>
      <c r="AG610" s="171"/>
      <c r="AH610" s="171"/>
      <c r="AI610" s="194"/>
      <c r="AJ610" s="196"/>
    </row>
    <row r="611" spans="2:36">
      <c r="B611" s="166"/>
      <c r="C611" s="167"/>
      <c r="D611" s="171"/>
      <c r="E611" s="171"/>
      <c r="F611" s="171"/>
      <c r="G611" s="172"/>
      <c r="H611" s="173"/>
      <c r="I611" s="193"/>
      <c r="J611" s="171"/>
      <c r="K611" s="194"/>
      <c r="L611" s="173"/>
      <c r="M611" s="171"/>
      <c r="N611" s="171"/>
      <c r="O611" s="194"/>
      <c r="P611" s="195"/>
      <c r="Q611" s="171"/>
      <c r="R611" s="171"/>
      <c r="S611" s="194"/>
      <c r="T611" s="195"/>
      <c r="U611" s="171"/>
      <c r="V611" s="171"/>
      <c r="W611" s="194"/>
      <c r="X611" s="195"/>
      <c r="Y611" s="171"/>
      <c r="Z611" s="171"/>
      <c r="AA611" s="194"/>
      <c r="AB611" s="195"/>
      <c r="AC611" s="171"/>
      <c r="AD611" s="171"/>
      <c r="AE611" s="194"/>
      <c r="AF611" s="195"/>
      <c r="AG611" s="171"/>
      <c r="AH611" s="171"/>
      <c r="AI611" s="194"/>
      <c r="AJ611" s="196"/>
    </row>
    <row r="612" spans="2:36">
      <c r="B612" s="166"/>
      <c r="C612" s="167"/>
      <c r="D612" s="171"/>
      <c r="E612" s="171"/>
      <c r="F612" s="171"/>
      <c r="G612" s="172"/>
      <c r="H612" s="173"/>
      <c r="I612" s="193"/>
      <c r="J612" s="171"/>
      <c r="K612" s="194"/>
      <c r="L612" s="173"/>
      <c r="M612" s="171"/>
      <c r="N612" s="171"/>
      <c r="O612" s="194"/>
      <c r="P612" s="195"/>
      <c r="Q612" s="171"/>
      <c r="R612" s="171"/>
      <c r="S612" s="194"/>
      <c r="T612" s="195"/>
      <c r="U612" s="171"/>
      <c r="V612" s="171"/>
      <c r="W612" s="194"/>
      <c r="X612" s="195"/>
      <c r="Y612" s="171"/>
      <c r="Z612" s="171"/>
      <c r="AA612" s="194"/>
      <c r="AB612" s="195"/>
      <c r="AC612" s="171"/>
      <c r="AD612" s="171"/>
      <c r="AE612" s="194"/>
      <c r="AF612" s="195"/>
      <c r="AG612" s="171"/>
      <c r="AH612" s="171"/>
      <c r="AI612" s="194"/>
      <c r="AJ612" s="196"/>
    </row>
    <row r="613" spans="2:36">
      <c r="B613" s="166"/>
      <c r="C613" s="167"/>
      <c r="D613" s="171"/>
      <c r="E613" s="171"/>
      <c r="F613" s="171"/>
      <c r="G613" s="172"/>
      <c r="H613" s="173"/>
      <c r="I613" s="193"/>
      <c r="J613" s="171"/>
      <c r="K613" s="194"/>
      <c r="L613" s="173"/>
      <c r="M613" s="171"/>
      <c r="N613" s="171"/>
      <c r="O613" s="194"/>
      <c r="P613" s="195"/>
      <c r="Q613" s="171"/>
      <c r="R613" s="171"/>
      <c r="S613" s="194"/>
      <c r="T613" s="195"/>
      <c r="U613" s="171"/>
      <c r="V613" s="171"/>
      <c r="W613" s="194"/>
      <c r="X613" s="195"/>
      <c r="Y613" s="171"/>
      <c r="Z613" s="171"/>
      <c r="AA613" s="194"/>
      <c r="AB613" s="195"/>
      <c r="AC613" s="171"/>
      <c r="AD613" s="171"/>
      <c r="AE613" s="194"/>
      <c r="AF613" s="195"/>
      <c r="AG613" s="171"/>
      <c r="AH613" s="171"/>
      <c r="AI613" s="194"/>
      <c r="AJ613" s="196"/>
    </row>
    <row r="614" spans="2:36">
      <c r="B614" s="166"/>
      <c r="C614" s="167"/>
      <c r="D614" s="171"/>
      <c r="E614" s="171"/>
      <c r="F614" s="171"/>
      <c r="G614" s="172"/>
      <c r="H614" s="173"/>
      <c r="I614" s="193"/>
      <c r="J614" s="171"/>
      <c r="K614" s="194"/>
      <c r="L614" s="173"/>
      <c r="M614" s="171"/>
      <c r="N614" s="171"/>
      <c r="O614" s="194"/>
      <c r="P614" s="195"/>
      <c r="Q614" s="171"/>
      <c r="R614" s="171"/>
      <c r="S614" s="194"/>
      <c r="T614" s="195"/>
      <c r="U614" s="171"/>
      <c r="V614" s="171"/>
      <c r="W614" s="194"/>
      <c r="X614" s="195"/>
      <c r="Y614" s="171"/>
      <c r="Z614" s="171"/>
      <c r="AA614" s="194"/>
      <c r="AB614" s="195"/>
      <c r="AC614" s="171"/>
      <c r="AD614" s="171"/>
      <c r="AE614" s="194"/>
      <c r="AF614" s="195"/>
      <c r="AG614" s="171"/>
      <c r="AH614" s="171"/>
      <c r="AI614" s="194"/>
      <c r="AJ614" s="196"/>
    </row>
    <row r="615" spans="2:36">
      <c r="B615" s="166"/>
      <c r="C615" s="167"/>
      <c r="D615" s="171"/>
      <c r="E615" s="171"/>
      <c r="F615" s="171"/>
      <c r="G615" s="172"/>
      <c r="H615" s="173"/>
      <c r="I615" s="193"/>
      <c r="J615" s="171"/>
      <c r="K615" s="194"/>
      <c r="L615" s="173"/>
      <c r="M615" s="171"/>
      <c r="N615" s="171"/>
      <c r="O615" s="194"/>
      <c r="P615" s="195"/>
      <c r="Q615" s="171"/>
      <c r="R615" s="171"/>
      <c r="S615" s="194"/>
      <c r="T615" s="195"/>
      <c r="U615" s="171"/>
      <c r="V615" s="171"/>
      <c r="W615" s="194"/>
      <c r="X615" s="195"/>
      <c r="Y615" s="171"/>
      <c r="Z615" s="171"/>
      <c r="AA615" s="194"/>
      <c r="AB615" s="195"/>
      <c r="AC615" s="171"/>
      <c r="AD615" s="171"/>
      <c r="AE615" s="194"/>
      <c r="AF615" s="195"/>
      <c r="AG615" s="171"/>
      <c r="AH615" s="171"/>
      <c r="AI615" s="194"/>
      <c r="AJ615" s="196"/>
    </row>
    <row r="616" spans="2:36">
      <c r="B616" s="166"/>
      <c r="C616" s="167"/>
      <c r="D616" s="171"/>
      <c r="E616" s="171"/>
      <c r="F616" s="171"/>
      <c r="G616" s="172"/>
      <c r="H616" s="173"/>
      <c r="I616" s="193"/>
      <c r="J616" s="171"/>
      <c r="K616" s="194"/>
      <c r="L616" s="173"/>
      <c r="M616" s="171"/>
      <c r="N616" s="171"/>
      <c r="O616" s="194"/>
      <c r="P616" s="195"/>
      <c r="Q616" s="171"/>
      <c r="R616" s="171"/>
      <c r="S616" s="194"/>
      <c r="T616" s="195"/>
      <c r="U616" s="171"/>
      <c r="V616" s="171"/>
      <c r="W616" s="194"/>
      <c r="X616" s="195"/>
      <c r="Y616" s="171"/>
      <c r="Z616" s="171"/>
      <c r="AA616" s="194"/>
      <c r="AB616" s="195"/>
      <c r="AC616" s="171"/>
      <c r="AD616" s="171"/>
      <c r="AE616" s="194"/>
      <c r="AF616" s="195"/>
      <c r="AG616" s="171"/>
      <c r="AH616" s="171"/>
      <c r="AI616" s="194"/>
      <c r="AJ616" s="196"/>
    </row>
    <row r="617" spans="2:36">
      <c r="B617" s="166"/>
      <c r="C617" s="167"/>
      <c r="D617" s="171"/>
      <c r="E617" s="171"/>
      <c r="F617" s="171"/>
      <c r="G617" s="172"/>
      <c r="H617" s="173"/>
      <c r="I617" s="193"/>
      <c r="J617" s="171"/>
      <c r="K617" s="194"/>
      <c r="L617" s="173"/>
      <c r="M617" s="171"/>
      <c r="N617" s="171"/>
      <c r="O617" s="194"/>
      <c r="P617" s="195"/>
      <c r="Q617" s="171"/>
      <c r="R617" s="171"/>
      <c r="S617" s="194"/>
      <c r="T617" s="195"/>
      <c r="U617" s="171"/>
      <c r="V617" s="171"/>
      <c r="W617" s="194"/>
      <c r="X617" s="195"/>
      <c r="Y617" s="171"/>
      <c r="Z617" s="171"/>
      <c r="AA617" s="194"/>
      <c r="AB617" s="195"/>
      <c r="AC617" s="171"/>
      <c r="AD617" s="171"/>
      <c r="AE617" s="194"/>
      <c r="AF617" s="195"/>
      <c r="AG617" s="171"/>
      <c r="AH617" s="171"/>
      <c r="AI617" s="194"/>
      <c r="AJ617" s="196"/>
    </row>
    <row r="618" spans="2:36">
      <c r="B618" s="166"/>
      <c r="C618" s="167"/>
      <c r="D618" s="171"/>
      <c r="E618" s="171"/>
      <c r="F618" s="171"/>
      <c r="G618" s="172"/>
      <c r="H618" s="173"/>
      <c r="I618" s="193"/>
      <c r="J618" s="171"/>
      <c r="K618" s="194"/>
      <c r="L618" s="173"/>
      <c r="M618" s="171"/>
      <c r="N618" s="171"/>
      <c r="O618" s="194"/>
      <c r="P618" s="195"/>
      <c r="Q618" s="171"/>
      <c r="R618" s="171"/>
      <c r="S618" s="194"/>
      <c r="T618" s="195"/>
      <c r="U618" s="171"/>
      <c r="V618" s="171"/>
      <c r="W618" s="194"/>
      <c r="X618" s="195"/>
      <c r="Y618" s="171"/>
      <c r="Z618" s="171"/>
      <c r="AA618" s="194"/>
      <c r="AB618" s="195"/>
      <c r="AC618" s="171"/>
      <c r="AD618" s="171"/>
      <c r="AE618" s="194"/>
      <c r="AF618" s="195"/>
      <c r="AG618" s="171"/>
      <c r="AH618" s="171"/>
      <c r="AI618" s="194"/>
      <c r="AJ618" s="196"/>
    </row>
    <row r="619" spans="2:36">
      <c r="B619" s="166"/>
      <c r="C619" s="167"/>
      <c r="D619" s="171"/>
      <c r="E619" s="171"/>
      <c r="F619" s="171"/>
      <c r="G619" s="172"/>
      <c r="H619" s="173"/>
      <c r="I619" s="193"/>
      <c r="J619" s="171"/>
      <c r="K619" s="194"/>
      <c r="L619" s="173"/>
      <c r="M619" s="171"/>
      <c r="N619" s="171"/>
      <c r="O619" s="194"/>
      <c r="P619" s="195"/>
      <c r="Q619" s="171"/>
      <c r="R619" s="171"/>
      <c r="S619" s="194"/>
      <c r="T619" s="195"/>
      <c r="U619" s="171"/>
      <c r="V619" s="171"/>
      <c r="W619" s="194"/>
      <c r="X619" s="195"/>
      <c r="Y619" s="171"/>
      <c r="Z619" s="171"/>
      <c r="AA619" s="194"/>
      <c r="AB619" s="195"/>
      <c r="AC619" s="171"/>
      <c r="AD619" s="171"/>
      <c r="AE619" s="194"/>
      <c r="AF619" s="195"/>
      <c r="AG619" s="171"/>
      <c r="AH619" s="171"/>
      <c r="AI619" s="194"/>
      <c r="AJ619" s="196"/>
    </row>
    <row r="620" spans="2:36">
      <c r="B620" s="166"/>
      <c r="C620" s="167"/>
      <c r="D620" s="171"/>
      <c r="E620" s="171"/>
      <c r="F620" s="171"/>
      <c r="G620" s="172"/>
      <c r="H620" s="173"/>
      <c r="I620" s="193"/>
      <c r="J620" s="171"/>
      <c r="K620" s="194"/>
      <c r="L620" s="173"/>
      <c r="M620" s="171"/>
      <c r="N620" s="171"/>
      <c r="O620" s="194"/>
      <c r="P620" s="195"/>
      <c r="Q620" s="171"/>
      <c r="R620" s="171"/>
      <c r="S620" s="194"/>
      <c r="T620" s="195"/>
      <c r="U620" s="171"/>
      <c r="V620" s="171"/>
      <c r="W620" s="194"/>
      <c r="X620" s="195"/>
      <c r="Y620" s="171"/>
      <c r="Z620" s="171"/>
      <c r="AA620" s="194"/>
      <c r="AB620" s="195"/>
      <c r="AC620" s="171"/>
      <c r="AD620" s="171"/>
      <c r="AE620" s="194"/>
      <c r="AF620" s="195"/>
      <c r="AG620" s="171"/>
      <c r="AH620" s="171"/>
      <c r="AI620" s="194"/>
      <c r="AJ620" s="196"/>
    </row>
    <row r="621" spans="2:36">
      <c r="B621" s="166"/>
      <c r="C621" s="167"/>
      <c r="D621" s="171"/>
      <c r="E621" s="171"/>
      <c r="F621" s="171"/>
      <c r="G621" s="172"/>
      <c r="H621" s="173"/>
      <c r="I621" s="193"/>
      <c r="J621" s="171"/>
      <c r="K621" s="194"/>
      <c r="L621" s="173"/>
      <c r="M621" s="171"/>
      <c r="N621" s="171"/>
      <c r="O621" s="194"/>
      <c r="P621" s="195"/>
      <c r="Q621" s="171"/>
      <c r="R621" s="171"/>
      <c r="S621" s="194"/>
      <c r="T621" s="195"/>
      <c r="U621" s="171"/>
      <c r="V621" s="171"/>
      <c r="W621" s="194"/>
      <c r="X621" s="195"/>
      <c r="Y621" s="171"/>
      <c r="Z621" s="171"/>
      <c r="AA621" s="194"/>
      <c r="AB621" s="195"/>
      <c r="AC621" s="171"/>
      <c r="AD621" s="171"/>
      <c r="AE621" s="194"/>
      <c r="AF621" s="195"/>
      <c r="AG621" s="171"/>
      <c r="AH621" s="171"/>
      <c r="AI621" s="194"/>
      <c r="AJ621" s="196"/>
    </row>
    <row r="622" spans="2:36">
      <c r="B622" s="166"/>
      <c r="C622" s="167"/>
      <c r="D622" s="171"/>
      <c r="E622" s="171"/>
      <c r="F622" s="171"/>
      <c r="G622" s="172"/>
      <c r="H622" s="173"/>
      <c r="I622" s="193"/>
      <c r="J622" s="171"/>
      <c r="K622" s="194"/>
      <c r="L622" s="173"/>
      <c r="M622" s="171"/>
      <c r="N622" s="171"/>
      <c r="O622" s="194"/>
      <c r="P622" s="195"/>
      <c r="Q622" s="171"/>
      <c r="R622" s="171"/>
      <c r="S622" s="194"/>
      <c r="T622" s="195"/>
      <c r="U622" s="171"/>
      <c r="V622" s="171"/>
      <c r="W622" s="194"/>
      <c r="X622" s="195"/>
      <c r="Y622" s="171"/>
      <c r="Z622" s="171"/>
      <c r="AA622" s="194"/>
      <c r="AB622" s="195"/>
      <c r="AC622" s="171"/>
      <c r="AD622" s="171"/>
      <c r="AE622" s="194"/>
      <c r="AF622" s="195"/>
      <c r="AG622" s="171"/>
      <c r="AH622" s="171"/>
      <c r="AI622" s="194"/>
      <c r="AJ622" s="196"/>
    </row>
    <row r="623" spans="2:36">
      <c r="B623" s="166"/>
      <c r="C623" s="167"/>
      <c r="D623" s="171"/>
      <c r="E623" s="171"/>
      <c r="F623" s="171"/>
      <c r="G623" s="172"/>
      <c r="H623" s="173"/>
      <c r="I623" s="193"/>
      <c r="J623" s="171"/>
      <c r="K623" s="194"/>
      <c r="L623" s="173"/>
      <c r="M623" s="171"/>
      <c r="N623" s="171"/>
      <c r="O623" s="194"/>
      <c r="P623" s="195"/>
      <c r="Q623" s="171"/>
      <c r="R623" s="171"/>
      <c r="S623" s="194"/>
      <c r="T623" s="195"/>
      <c r="U623" s="171"/>
      <c r="V623" s="171"/>
      <c r="W623" s="194"/>
      <c r="X623" s="195"/>
      <c r="Y623" s="171"/>
      <c r="Z623" s="171"/>
      <c r="AA623" s="194"/>
      <c r="AB623" s="195"/>
      <c r="AC623" s="171"/>
      <c r="AD623" s="171"/>
      <c r="AE623" s="194"/>
      <c r="AF623" s="195"/>
      <c r="AG623" s="171"/>
      <c r="AH623" s="171"/>
      <c r="AI623" s="194"/>
      <c r="AJ623" s="196"/>
    </row>
    <row r="624" spans="2:36">
      <c r="B624" s="166"/>
      <c r="C624" s="167"/>
      <c r="D624" s="171"/>
      <c r="E624" s="171"/>
      <c r="F624" s="171"/>
      <c r="G624" s="172"/>
      <c r="H624" s="173"/>
      <c r="I624" s="193"/>
      <c r="J624" s="171"/>
      <c r="K624" s="194"/>
      <c r="L624" s="173"/>
      <c r="M624" s="171"/>
      <c r="N624" s="171"/>
      <c r="O624" s="194"/>
      <c r="P624" s="195"/>
      <c r="Q624" s="171"/>
      <c r="R624" s="171"/>
      <c r="S624" s="194"/>
      <c r="T624" s="195"/>
      <c r="U624" s="171"/>
      <c r="V624" s="171"/>
      <c r="W624" s="194"/>
      <c r="X624" s="195"/>
      <c r="Y624" s="171"/>
      <c r="Z624" s="171"/>
      <c r="AA624" s="194"/>
      <c r="AB624" s="195"/>
      <c r="AC624" s="171"/>
      <c r="AD624" s="171"/>
      <c r="AE624" s="194"/>
      <c r="AF624" s="195"/>
      <c r="AG624" s="171"/>
      <c r="AH624" s="171"/>
      <c r="AI624" s="194"/>
      <c r="AJ624" s="196"/>
    </row>
    <row r="625" spans="2:36">
      <c r="B625" s="166"/>
      <c r="C625" s="167"/>
      <c r="D625" s="171"/>
      <c r="E625" s="171"/>
      <c r="F625" s="171"/>
      <c r="G625" s="172"/>
      <c r="H625" s="173"/>
      <c r="I625" s="193"/>
      <c r="J625" s="171"/>
      <c r="K625" s="194"/>
      <c r="L625" s="173"/>
      <c r="M625" s="171"/>
      <c r="N625" s="171"/>
      <c r="O625" s="194"/>
      <c r="P625" s="195"/>
      <c r="Q625" s="171"/>
      <c r="R625" s="171"/>
      <c r="S625" s="194"/>
      <c r="T625" s="195"/>
      <c r="U625" s="171"/>
      <c r="V625" s="171"/>
      <c r="W625" s="194"/>
      <c r="X625" s="195"/>
      <c r="Y625" s="171"/>
      <c r="Z625" s="171"/>
      <c r="AA625" s="194"/>
      <c r="AB625" s="195"/>
      <c r="AC625" s="171"/>
      <c r="AD625" s="171"/>
      <c r="AE625" s="194"/>
      <c r="AF625" s="195"/>
      <c r="AG625" s="171"/>
      <c r="AH625" s="171"/>
      <c r="AI625" s="194"/>
      <c r="AJ625" s="196"/>
    </row>
    <row r="626" spans="2:36">
      <c r="B626" s="166"/>
      <c r="C626" s="167"/>
      <c r="D626" s="171"/>
      <c r="E626" s="171"/>
      <c r="F626" s="171"/>
      <c r="G626" s="172"/>
      <c r="H626" s="173"/>
      <c r="I626" s="193"/>
      <c r="J626" s="171"/>
      <c r="K626" s="194"/>
      <c r="L626" s="173"/>
      <c r="M626" s="171"/>
      <c r="N626" s="171"/>
      <c r="O626" s="194"/>
      <c r="P626" s="195"/>
      <c r="Q626" s="171"/>
      <c r="R626" s="171"/>
      <c r="S626" s="194"/>
      <c r="T626" s="195"/>
      <c r="U626" s="171"/>
      <c r="V626" s="171"/>
      <c r="W626" s="194"/>
      <c r="X626" s="195"/>
      <c r="Y626" s="171"/>
      <c r="Z626" s="171"/>
      <c r="AA626" s="194"/>
      <c r="AB626" s="195"/>
      <c r="AC626" s="171"/>
      <c r="AD626" s="171"/>
      <c r="AE626" s="194"/>
      <c r="AF626" s="195"/>
      <c r="AG626" s="171"/>
      <c r="AH626" s="171"/>
      <c r="AI626" s="194"/>
      <c r="AJ626" s="196"/>
    </row>
    <row r="627" spans="2:36">
      <c r="B627" s="166"/>
      <c r="C627" s="167"/>
      <c r="D627" s="171"/>
      <c r="E627" s="171"/>
      <c r="F627" s="171"/>
      <c r="G627" s="172"/>
      <c r="H627" s="173"/>
      <c r="I627" s="193"/>
      <c r="J627" s="171"/>
      <c r="K627" s="194"/>
      <c r="L627" s="173"/>
      <c r="M627" s="171"/>
      <c r="N627" s="171"/>
      <c r="O627" s="194"/>
      <c r="P627" s="195"/>
      <c r="Q627" s="171"/>
      <c r="R627" s="171"/>
      <c r="S627" s="194"/>
      <c r="T627" s="195"/>
      <c r="U627" s="171"/>
      <c r="V627" s="171"/>
      <c r="W627" s="194"/>
      <c r="X627" s="195"/>
      <c r="Y627" s="171"/>
      <c r="Z627" s="171"/>
      <c r="AA627" s="194"/>
      <c r="AB627" s="195"/>
      <c r="AC627" s="171"/>
      <c r="AD627" s="171"/>
      <c r="AE627" s="194"/>
      <c r="AF627" s="195"/>
      <c r="AG627" s="171"/>
      <c r="AH627" s="171"/>
      <c r="AI627" s="194"/>
      <c r="AJ627" s="196"/>
    </row>
    <row r="628" spans="2:36">
      <c r="B628" s="166"/>
      <c r="C628" s="167"/>
      <c r="D628" s="171"/>
      <c r="E628" s="171"/>
      <c r="F628" s="171"/>
      <c r="G628" s="172"/>
      <c r="H628" s="173"/>
      <c r="I628" s="193"/>
      <c r="J628" s="171"/>
      <c r="K628" s="194"/>
      <c r="L628" s="173"/>
      <c r="M628" s="171"/>
      <c r="N628" s="171"/>
      <c r="O628" s="194"/>
      <c r="P628" s="195"/>
      <c r="Q628" s="171"/>
      <c r="R628" s="171"/>
      <c r="S628" s="194"/>
      <c r="T628" s="195"/>
      <c r="U628" s="171"/>
      <c r="V628" s="171"/>
      <c r="W628" s="194"/>
      <c r="X628" s="195"/>
      <c r="Y628" s="171"/>
      <c r="Z628" s="171"/>
      <c r="AA628" s="194"/>
      <c r="AB628" s="195"/>
      <c r="AC628" s="171"/>
      <c r="AD628" s="171"/>
      <c r="AE628" s="194"/>
      <c r="AF628" s="195"/>
      <c r="AG628" s="171"/>
      <c r="AH628" s="171"/>
      <c r="AI628" s="194"/>
      <c r="AJ628" s="196"/>
    </row>
    <row r="629" spans="2:36">
      <c r="B629" s="166"/>
      <c r="C629" s="167"/>
      <c r="D629" s="171"/>
      <c r="E629" s="171"/>
      <c r="F629" s="171"/>
      <c r="G629" s="172"/>
      <c r="H629" s="173"/>
      <c r="I629" s="193"/>
      <c r="J629" s="171"/>
      <c r="K629" s="194"/>
      <c r="L629" s="173"/>
      <c r="M629" s="171"/>
      <c r="N629" s="171"/>
      <c r="O629" s="194"/>
      <c r="P629" s="195"/>
      <c r="Q629" s="171"/>
      <c r="R629" s="171"/>
      <c r="S629" s="194"/>
      <c r="T629" s="195"/>
      <c r="U629" s="171"/>
      <c r="V629" s="171"/>
      <c r="W629" s="194"/>
      <c r="X629" s="195"/>
      <c r="Y629" s="171"/>
      <c r="Z629" s="171"/>
      <c r="AA629" s="194"/>
      <c r="AB629" s="195"/>
      <c r="AC629" s="171"/>
      <c r="AD629" s="171"/>
      <c r="AE629" s="194"/>
      <c r="AF629" s="195"/>
      <c r="AG629" s="171"/>
      <c r="AH629" s="171"/>
      <c r="AI629" s="194"/>
      <c r="AJ629" s="196"/>
    </row>
    <row r="630" spans="2:36">
      <c r="B630" s="166"/>
      <c r="C630" s="167"/>
      <c r="D630" s="171"/>
      <c r="E630" s="171"/>
      <c r="F630" s="171"/>
      <c r="G630" s="172"/>
      <c r="H630" s="173"/>
      <c r="I630" s="193"/>
      <c r="J630" s="171"/>
      <c r="K630" s="194"/>
      <c r="L630" s="173"/>
      <c r="M630" s="171"/>
      <c r="N630" s="171"/>
      <c r="O630" s="194"/>
      <c r="P630" s="195"/>
      <c r="Q630" s="171"/>
      <c r="R630" s="171"/>
      <c r="S630" s="194"/>
      <c r="T630" s="195"/>
      <c r="U630" s="171"/>
      <c r="V630" s="171"/>
      <c r="W630" s="194"/>
      <c r="X630" s="195"/>
      <c r="Y630" s="171"/>
      <c r="Z630" s="171"/>
      <c r="AA630" s="194"/>
      <c r="AB630" s="195"/>
      <c r="AC630" s="171"/>
      <c r="AD630" s="171"/>
      <c r="AE630" s="194"/>
      <c r="AF630" s="195"/>
      <c r="AG630" s="171"/>
      <c r="AH630" s="171"/>
      <c r="AI630" s="194"/>
      <c r="AJ630" s="196"/>
    </row>
    <row r="631" spans="2:36">
      <c r="B631" s="166"/>
      <c r="C631" s="167"/>
      <c r="D631" s="171"/>
      <c r="E631" s="171"/>
      <c r="F631" s="171"/>
      <c r="G631" s="172"/>
      <c r="H631" s="173"/>
      <c r="I631" s="193"/>
      <c r="J631" s="171"/>
      <c r="K631" s="194"/>
      <c r="L631" s="173"/>
      <c r="M631" s="171"/>
      <c r="N631" s="171"/>
      <c r="O631" s="194"/>
      <c r="P631" s="195"/>
      <c r="Q631" s="171"/>
      <c r="R631" s="171"/>
      <c r="S631" s="194"/>
      <c r="T631" s="195"/>
      <c r="U631" s="171"/>
      <c r="V631" s="171"/>
      <c r="W631" s="194"/>
      <c r="X631" s="195"/>
      <c r="Y631" s="171"/>
      <c r="Z631" s="171"/>
      <c r="AA631" s="194"/>
      <c r="AB631" s="195"/>
      <c r="AC631" s="171"/>
      <c r="AD631" s="171"/>
      <c r="AE631" s="194"/>
      <c r="AF631" s="195"/>
      <c r="AG631" s="171"/>
      <c r="AH631" s="171"/>
      <c r="AI631" s="194"/>
      <c r="AJ631" s="196"/>
    </row>
    <row r="632" spans="2:36">
      <c r="B632" s="166"/>
      <c r="C632" s="167"/>
      <c r="D632" s="171"/>
      <c r="E632" s="171"/>
      <c r="F632" s="171"/>
      <c r="G632" s="172"/>
      <c r="H632" s="173"/>
      <c r="I632" s="193"/>
      <c r="J632" s="171"/>
      <c r="K632" s="194"/>
      <c r="L632" s="173"/>
      <c r="M632" s="171"/>
      <c r="N632" s="171"/>
      <c r="O632" s="194"/>
      <c r="P632" s="195"/>
      <c r="Q632" s="171"/>
      <c r="R632" s="171"/>
      <c r="S632" s="194"/>
      <c r="T632" s="195"/>
      <c r="U632" s="171"/>
      <c r="V632" s="171"/>
      <c r="W632" s="194"/>
      <c r="X632" s="195"/>
      <c r="Y632" s="171"/>
      <c r="Z632" s="171"/>
      <c r="AA632" s="194"/>
      <c r="AB632" s="195"/>
      <c r="AC632" s="171"/>
      <c r="AD632" s="171"/>
      <c r="AE632" s="194"/>
      <c r="AF632" s="195"/>
      <c r="AG632" s="171"/>
      <c r="AH632" s="171"/>
      <c r="AI632" s="194"/>
      <c r="AJ632" s="196"/>
    </row>
    <row r="633" spans="2:36">
      <c r="B633" s="166"/>
      <c r="C633" s="167"/>
      <c r="D633" s="171"/>
      <c r="E633" s="171"/>
      <c r="F633" s="171"/>
      <c r="G633" s="172"/>
      <c r="H633" s="173"/>
      <c r="I633" s="193"/>
      <c r="J633" s="171"/>
      <c r="K633" s="194"/>
      <c r="L633" s="173"/>
      <c r="M633" s="171"/>
      <c r="N633" s="171"/>
      <c r="O633" s="194"/>
      <c r="P633" s="195"/>
      <c r="Q633" s="171"/>
      <c r="R633" s="171"/>
      <c r="S633" s="194"/>
      <c r="T633" s="195"/>
      <c r="U633" s="171"/>
      <c r="V633" s="171"/>
      <c r="W633" s="194"/>
      <c r="X633" s="195"/>
      <c r="Y633" s="171"/>
      <c r="Z633" s="171"/>
      <c r="AA633" s="194"/>
      <c r="AB633" s="195"/>
      <c r="AC633" s="171"/>
      <c r="AD633" s="171"/>
      <c r="AE633" s="194"/>
      <c r="AF633" s="195"/>
      <c r="AG633" s="171"/>
      <c r="AH633" s="171"/>
      <c r="AI633" s="194"/>
      <c r="AJ633" s="196"/>
    </row>
    <row r="634" spans="2:36">
      <c r="B634" s="166"/>
      <c r="C634" s="167"/>
      <c r="D634" s="171"/>
      <c r="E634" s="171"/>
      <c r="F634" s="171"/>
      <c r="G634" s="172"/>
      <c r="H634" s="173"/>
      <c r="I634" s="193"/>
      <c r="J634" s="171"/>
      <c r="K634" s="194"/>
      <c r="L634" s="173"/>
      <c r="M634" s="171"/>
      <c r="N634" s="171"/>
      <c r="O634" s="194"/>
      <c r="P634" s="195"/>
      <c r="Q634" s="171"/>
      <c r="R634" s="171"/>
      <c r="S634" s="194"/>
      <c r="T634" s="195"/>
      <c r="U634" s="171"/>
      <c r="V634" s="171"/>
      <c r="W634" s="194"/>
      <c r="X634" s="195"/>
      <c r="Y634" s="171"/>
      <c r="Z634" s="171"/>
      <c r="AA634" s="194"/>
      <c r="AB634" s="195"/>
      <c r="AC634" s="171"/>
      <c r="AD634" s="171"/>
      <c r="AE634" s="194"/>
      <c r="AF634" s="195"/>
      <c r="AG634" s="171"/>
      <c r="AH634" s="171"/>
      <c r="AI634" s="194"/>
      <c r="AJ634" s="196"/>
    </row>
    <row r="635" spans="2:36">
      <c r="B635" s="166"/>
      <c r="C635" s="167"/>
      <c r="D635" s="171"/>
      <c r="E635" s="171"/>
      <c r="F635" s="171"/>
      <c r="G635" s="172"/>
      <c r="H635" s="173"/>
      <c r="I635" s="193"/>
      <c r="J635" s="171"/>
      <c r="K635" s="194"/>
      <c r="L635" s="173"/>
      <c r="M635" s="171"/>
      <c r="N635" s="171"/>
      <c r="O635" s="194"/>
      <c r="P635" s="195"/>
      <c r="Q635" s="171"/>
      <c r="R635" s="171"/>
      <c r="S635" s="194"/>
      <c r="T635" s="195"/>
      <c r="U635" s="171"/>
      <c r="V635" s="171"/>
      <c r="W635" s="194"/>
      <c r="X635" s="195"/>
      <c r="Y635" s="171"/>
      <c r="Z635" s="171"/>
      <c r="AA635" s="194"/>
      <c r="AB635" s="195"/>
      <c r="AC635" s="171"/>
      <c r="AD635" s="171"/>
      <c r="AE635" s="194"/>
      <c r="AF635" s="195"/>
      <c r="AG635" s="171"/>
      <c r="AH635" s="171"/>
      <c r="AI635" s="194"/>
      <c r="AJ635" s="196"/>
    </row>
    <row r="636" spans="2:36">
      <c r="B636" s="166"/>
      <c r="C636" s="167"/>
      <c r="D636" s="171"/>
      <c r="E636" s="171"/>
      <c r="F636" s="171"/>
      <c r="G636" s="172"/>
      <c r="H636" s="173"/>
      <c r="I636" s="193"/>
      <c r="J636" s="171"/>
      <c r="K636" s="194"/>
      <c r="L636" s="173"/>
      <c r="M636" s="171"/>
      <c r="N636" s="171"/>
      <c r="O636" s="194"/>
      <c r="P636" s="195"/>
      <c r="Q636" s="171"/>
      <c r="R636" s="171"/>
      <c r="S636" s="194"/>
      <c r="T636" s="195"/>
      <c r="U636" s="171"/>
      <c r="V636" s="171"/>
      <c r="W636" s="194"/>
      <c r="X636" s="195"/>
      <c r="Y636" s="171"/>
      <c r="Z636" s="171"/>
      <c r="AA636" s="194"/>
      <c r="AB636" s="195"/>
      <c r="AC636" s="171"/>
      <c r="AD636" s="171"/>
      <c r="AE636" s="194"/>
      <c r="AF636" s="195"/>
      <c r="AG636" s="171"/>
      <c r="AH636" s="171"/>
      <c r="AI636" s="194"/>
      <c r="AJ636" s="196"/>
    </row>
    <row r="637" spans="2:36">
      <c r="B637" s="166"/>
      <c r="C637" s="167"/>
      <c r="D637" s="171"/>
      <c r="E637" s="171"/>
      <c r="F637" s="171"/>
      <c r="G637" s="172"/>
      <c r="H637" s="173"/>
      <c r="I637" s="193"/>
      <c r="J637" s="171"/>
      <c r="K637" s="194"/>
      <c r="L637" s="173"/>
      <c r="M637" s="171"/>
      <c r="N637" s="171"/>
      <c r="O637" s="194"/>
      <c r="P637" s="195"/>
      <c r="Q637" s="171"/>
      <c r="R637" s="171"/>
      <c r="S637" s="194"/>
      <c r="T637" s="195"/>
      <c r="U637" s="171"/>
      <c r="V637" s="171"/>
      <c r="W637" s="194"/>
      <c r="X637" s="195"/>
      <c r="Y637" s="171"/>
      <c r="Z637" s="171"/>
      <c r="AA637" s="194"/>
      <c r="AB637" s="195"/>
      <c r="AC637" s="171"/>
      <c r="AD637" s="171"/>
      <c r="AE637" s="194"/>
      <c r="AF637" s="195"/>
      <c r="AG637" s="171"/>
      <c r="AH637" s="171"/>
      <c r="AI637" s="194"/>
      <c r="AJ637" s="196"/>
    </row>
    <row r="638" spans="2:36">
      <c r="B638" s="166"/>
      <c r="C638" s="167"/>
      <c r="D638" s="171"/>
      <c r="E638" s="171"/>
      <c r="F638" s="171"/>
      <c r="G638" s="172"/>
      <c r="H638" s="173"/>
      <c r="I638" s="193"/>
      <c r="J638" s="171"/>
      <c r="K638" s="194"/>
      <c r="L638" s="173"/>
      <c r="M638" s="171"/>
      <c r="N638" s="171"/>
      <c r="O638" s="194"/>
      <c r="P638" s="195"/>
      <c r="Q638" s="171"/>
      <c r="R638" s="171"/>
      <c r="S638" s="194"/>
      <c r="T638" s="195"/>
      <c r="U638" s="171"/>
      <c r="V638" s="171"/>
      <c r="W638" s="194"/>
      <c r="X638" s="195"/>
      <c r="Y638" s="171"/>
      <c r="Z638" s="171"/>
      <c r="AA638" s="194"/>
      <c r="AB638" s="195"/>
      <c r="AC638" s="171"/>
      <c r="AD638" s="171"/>
      <c r="AE638" s="194"/>
      <c r="AF638" s="195"/>
      <c r="AG638" s="171"/>
      <c r="AH638" s="171"/>
      <c r="AI638" s="194"/>
      <c r="AJ638" s="196"/>
    </row>
    <row r="639" spans="2:36">
      <c r="B639" s="166"/>
      <c r="C639" s="167"/>
      <c r="D639" s="171"/>
      <c r="E639" s="171"/>
      <c r="F639" s="171"/>
      <c r="G639" s="172"/>
      <c r="H639" s="173"/>
      <c r="I639" s="193"/>
      <c r="J639" s="171"/>
      <c r="K639" s="194"/>
      <c r="L639" s="173"/>
      <c r="M639" s="171"/>
      <c r="N639" s="171"/>
      <c r="O639" s="194"/>
      <c r="P639" s="195"/>
      <c r="Q639" s="171"/>
      <c r="R639" s="171"/>
      <c r="S639" s="194"/>
      <c r="T639" s="195"/>
      <c r="U639" s="171"/>
      <c r="V639" s="171"/>
      <c r="W639" s="194"/>
      <c r="X639" s="195"/>
      <c r="Y639" s="171"/>
      <c r="Z639" s="171"/>
      <c r="AA639" s="194"/>
      <c r="AB639" s="195"/>
      <c r="AC639" s="171"/>
      <c r="AD639" s="171"/>
      <c r="AE639" s="194"/>
      <c r="AF639" s="195"/>
      <c r="AG639" s="171"/>
      <c r="AH639" s="171"/>
      <c r="AI639" s="194"/>
      <c r="AJ639" s="196"/>
    </row>
    <row r="640" spans="2:36">
      <c r="B640" s="166"/>
      <c r="C640" s="167"/>
      <c r="D640" s="171"/>
      <c r="E640" s="171"/>
      <c r="F640" s="171"/>
      <c r="G640" s="172"/>
      <c r="H640" s="173"/>
      <c r="I640" s="193"/>
      <c r="J640" s="171"/>
      <c r="K640" s="194"/>
      <c r="L640" s="173"/>
      <c r="M640" s="171"/>
      <c r="N640" s="171"/>
      <c r="O640" s="194"/>
      <c r="P640" s="195"/>
      <c r="Q640" s="171"/>
      <c r="R640" s="171"/>
      <c r="S640" s="194"/>
      <c r="T640" s="195"/>
      <c r="U640" s="171"/>
      <c r="V640" s="171"/>
      <c r="W640" s="194"/>
      <c r="X640" s="195"/>
      <c r="Y640" s="171"/>
      <c r="Z640" s="171"/>
      <c r="AA640" s="194"/>
      <c r="AB640" s="195"/>
      <c r="AC640" s="171"/>
      <c r="AD640" s="171"/>
      <c r="AE640" s="194"/>
      <c r="AF640" s="195"/>
      <c r="AG640" s="171"/>
      <c r="AH640" s="171"/>
      <c r="AI640" s="194"/>
      <c r="AJ640" s="196"/>
    </row>
    <row r="641" spans="2:36">
      <c r="B641" s="166"/>
      <c r="C641" s="167"/>
      <c r="D641" s="171"/>
      <c r="E641" s="171"/>
      <c r="F641" s="171"/>
      <c r="G641" s="172"/>
      <c r="H641" s="173"/>
      <c r="I641" s="193"/>
      <c r="J641" s="171"/>
      <c r="K641" s="194"/>
      <c r="L641" s="173"/>
      <c r="M641" s="171"/>
      <c r="N641" s="171"/>
      <c r="O641" s="194"/>
      <c r="P641" s="195"/>
      <c r="Q641" s="171"/>
      <c r="R641" s="171"/>
      <c r="S641" s="194"/>
      <c r="T641" s="195"/>
      <c r="U641" s="171"/>
      <c r="V641" s="171"/>
      <c r="W641" s="194"/>
      <c r="X641" s="195"/>
      <c r="Y641" s="171"/>
      <c r="Z641" s="171"/>
      <c r="AA641" s="194"/>
      <c r="AB641" s="195"/>
      <c r="AC641" s="171"/>
      <c r="AD641" s="171"/>
      <c r="AE641" s="194"/>
      <c r="AF641" s="195"/>
      <c r="AG641" s="171"/>
      <c r="AH641" s="171"/>
      <c r="AI641" s="194"/>
      <c r="AJ641" s="196"/>
    </row>
    <row r="642" spans="2:36">
      <c r="B642" s="166"/>
      <c r="C642" s="167"/>
      <c r="D642" s="171"/>
      <c r="E642" s="171"/>
      <c r="F642" s="171"/>
      <c r="G642" s="172"/>
      <c r="H642" s="173"/>
      <c r="I642" s="193"/>
      <c r="J642" s="171"/>
      <c r="K642" s="194"/>
      <c r="L642" s="173"/>
      <c r="M642" s="171"/>
      <c r="N642" s="171"/>
      <c r="O642" s="194"/>
      <c r="P642" s="195"/>
      <c r="Q642" s="171"/>
      <c r="R642" s="171"/>
      <c r="S642" s="194"/>
      <c r="T642" s="195"/>
      <c r="U642" s="171"/>
      <c r="V642" s="171"/>
      <c r="W642" s="194"/>
      <c r="X642" s="195"/>
      <c r="Y642" s="171"/>
      <c r="Z642" s="171"/>
      <c r="AA642" s="194"/>
      <c r="AB642" s="195"/>
      <c r="AC642" s="171"/>
      <c r="AD642" s="171"/>
      <c r="AE642" s="194"/>
      <c r="AF642" s="195"/>
      <c r="AG642" s="171"/>
      <c r="AH642" s="171"/>
      <c r="AI642" s="194"/>
      <c r="AJ642" s="196"/>
    </row>
    <row r="643" spans="2:36">
      <c r="B643" s="166"/>
      <c r="C643" s="167"/>
      <c r="D643" s="171"/>
      <c r="E643" s="171"/>
      <c r="F643" s="171"/>
      <c r="G643" s="172"/>
      <c r="H643" s="173"/>
      <c r="I643" s="193"/>
      <c r="J643" s="171"/>
      <c r="K643" s="194"/>
      <c r="L643" s="173"/>
      <c r="M643" s="171"/>
      <c r="N643" s="171"/>
      <c r="O643" s="194"/>
      <c r="P643" s="195"/>
      <c r="Q643" s="171"/>
      <c r="R643" s="171"/>
      <c r="S643" s="194"/>
      <c r="T643" s="195"/>
      <c r="U643" s="171"/>
      <c r="V643" s="171"/>
      <c r="W643" s="194"/>
      <c r="X643" s="195"/>
      <c r="Y643" s="171"/>
      <c r="Z643" s="171"/>
      <c r="AA643" s="194"/>
      <c r="AB643" s="195"/>
      <c r="AC643" s="171"/>
      <c r="AD643" s="171"/>
      <c r="AE643" s="194"/>
      <c r="AF643" s="195"/>
      <c r="AG643" s="171"/>
      <c r="AH643" s="171"/>
      <c r="AI643" s="194"/>
      <c r="AJ643" s="196"/>
    </row>
    <row r="644" spans="2:36">
      <c r="B644" s="166"/>
      <c r="C644" s="167"/>
      <c r="D644" s="171"/>
      <c r="E644" s="171"/>
      <c r="F644" s="171"/>
      <c r="G644" s="172"/>
      <c r="H644" s="173"/>
      <c r="I644" s="193"/>
      <c r="J644" s="171"/>
      <c r="K644" s="194"/>
      <c r="L644" s="173"/>
      <c r="M644" s="171"/>
      <c r="N644" s="171"/>
      <c r="O644" s="194"/>
      <c r="P644" s="195"/>
      <c r="Q644" s="171"/>
      <c r="R644" s="171"/>
      <c r="S644" s="194"/>
      <c r="T644" s="195"/>
      <c r="U644" s="171"/>
      <c r="V644" s="171"/>
      <c r="W644" s="194"/>
      <c r="X644" s="195"/>
      <c r="Y644" s="171"/>
      <c r="Z644" s="171"/>
      <c r="AA644" s="194"/>
      <c r="AB644" s="195"/>
      <c r="AC644" s="171"/>
      <c r="AD644" s="171"/>
      <c r="AE644" s="194"/>
      <c r="AF644" s="195"/>
      <c r="AG644" s="171"/>
      <c r="AH644" s="171"/>
      <c r="AI644" s="194"/>
      <c r="AJ644" s="196"/>
    </row>
    <row r="645" spans="2:36">
      <c r="B645" s="166"/>
      <c r="C645" s="167"/>
      <c r="D645" s="171"/>
      <c r="E645" s="171"/>
      <c r="F645" s="171"/>
      <c r="G645" s="172"/>
      <c r="H645" s="173"/>
      <c r="I645" s="193"/>
      <c r="J645" s="171"/>
      <c r="K645" s="194"/>
      <c r="L645" s="173"/>
      <c r="M645" s="171"/>
      <c r="N645" s="171"/>
      <c r="O645" s="194"/>
      <c r="P645" s="195"/>
      <c r="Q645" s="171"/>
      <c r="R645" s="171"/>
      <c r="S645" s="194"/>
      <c r="T645" s="195"/>
      <c r="U645" s="171"/>
      <c r="V645" s="171"/>
      <c r="W645" s="194"/>
      <c r="X645" s="195"/>
      <c r="Y645" s="171"/>
      <c r="Z645" s="171"/>
      <c r="AA645" s="194"/>
      <c r="AB645" s="195"/>
      <c r="AC645" s="171"/>
      <c r="AD645" s="171"/>
      <c r="AE645" s="194"/>
      <c r="AF645" s="195"/>
      <c r="AG645" s="171"/>
      <c r="AH645" s="171"/>
      <c r="AI645" s="194"/>
      <c r="AJ645" s="196"/>
    </row>
    <row r="646" spans="2:36">
      <c r="B646" s="166"/>
      <c r="C646" s="167"/>
      <c r="D646" s="171"/>
      <c r="E646" s="171"/>
      <c r="F646" s="171"/>
      <c r="G646" s="172"/>
      <c r="H646" s="173"/>
      <c r="I646" s="193"/>
      <c r="J646" s="171"/>
      <c r="K646" s="194"/>
      <c r="L646" s="173"/>
      <c r="M646" s="171"/>
      <c r="N646" s="171"/>
      <c r="O646" s="194"/>
      <c r="P646" s="195"/>
      <c r="Q646" s="171"/>
      <c r="R646" s="171"/>
      <c r="S646" s="194"/>
      <c r="T646" s="195"/>
      <c r="U646" s="171"/>
      <c r="V646" s="171"/>
      <c r="W646" s="194"/>
      <c r="X646" s="195"/>
      <c r="Y646" s="171"/>
      <c r="Z646" s="171"/>
      <c r="AA646" s="194"/>
      <c r="AB646" s="195"/>
      <c r="AC646" s="171"/>
      <c r="AD646" s="171"/>
      <c r="AE646" s="194"/>
      <c r="AF646" s="195"/>
      <c r="AG646" s="171"/>
      <c r="AH646" s="171"/>
      <c r="AI646" s="194"/>
      <c r="AJ646" s="196"/>
    </row>
    <row r="647" spans="2:36">
      <c r="B647" s="166"/>
      <c r="C647" s="167"/>
      <c r="D647" s="171"/>
      <c r="E647" s="171"/>
      <c r="F647" s="171"/>
      <c r="G647" s="172"/>
      <c r="H647" s="173"/>
      <c r="I647" s="193"/>
      <c r="J647" s="171"/>
      <c r="K647" s="194"/>
      <c r="L647" s="173"/>
      <c r="M647" s="171"/>
      <c r="N647" s="171"/>
      <c r="O647" s="194"/>
      <c r="P647" s="195"/>
      <c r="Q647" s="171"/>
      <c r="R647" s="171"/>
      <c r="S647" s="194"/>
      <c r="T647" s="195"/>
      <c r="U647" s="171"/>
      <c r="V647" s="171"/>
      <c r="W647" s="194"/>
      <c r="X647" s="195"/>
      <c r="Y647" s="171"/>
      <c r="Z647" s="171"/>
      <c r="AA647" s="194"/>
      <c r="AB647" s="195"/>
      <c r="AC647" s="171"/>
      <c r="AD647" s="171"/>
      <c r="AE647" s="194"/>
      <c r="AF647" s="195"/>
      <c r="AG647" s="171"/>
      <c r="AH647" s="171"/>
      <c r="AI647" s="194"/>
      <c r="AJ647" s="196"/>
    </row>
    <row r="648" spans="2:36">
      <c r="B648" s="166"/>
      <c r="C648" s="167"/>
      <c r="D648" s="171"/>
      <c r="E648" s="171"/>
      <c r="F648" s="171"/>
      <c r="G648" s="172"/>
      <c r="H648" s="173"/>
      <c r="I648" s="193"/>
      <c r="J648" s="171"/>
      <c r="K648" s="194"/>
      <c r="L648" s="173"/>
      <c r="M648" s="171"/>
      <c r="N648" s="171"/>
      <c r="O648" s="194"/>
      <c r="P648" s="195"/>
      <c r="Q648" s="171"/>
      <c r="R648" s="171"/>
      <c r="S648" s="194"/>
      <c r="T648" s="195"/>
      <c r="U648" s="171"/>
      <c r="V648" s="171"/>
      <c r="W648" s="194"/>
      <c r="X648" s="195"/>
      <c r="Y648" s="171"/>
      <c r="Z648" s="171"/>
      <c r="AA648" s="194"/>
      <c r="AB648" s="195"/>
      <c r="AC648" s="171"/>
      <c r="AD648" s="171"/>
      <c r="AE648" s="194"/>
      <c r="AF648" s="195"/>
      <c r="AG648" s="171"/>
      <c r="AH648" s="171"/>
      <c r="AI648" s="194"/>
      <c r="AJ648" s="196"/>
    </row>
    <row r="649" spans="2:36">
      <c r="B649" s="166"/>
      <c r="C649" s="167"/>
      <c r="D649" s="171"/>
      <c r="E649" s="171"/>
      <c r="F649" s="171"/>
      <c r="G649" s="172"/>
      <c r="H649" s="173"/>
      <c r="I649" s="193"/>
      <c r="J649" s="171"/>
      <c r="K649" s="194"/>
      <c r="L649" s="173"/>
      <c r="M649" s="171"/>
      <c r="N649" s="171"/>
      <c r="O649" s="194"/>
      <c r="P649" s="195"/>
      <c r="Q649" s="171"/>
      <c r="R649" s="171"/>
      <c r="S649" s="194"/>
      <c r="T649" s="195"/>
      <c r="U649" s="171"/>
      <c r="V649" s="171"/>
      <c r="W649" s="194"/>
      <c r="X649" s="195"/>
      <c r="Y649" s="171"/>
      <c r="Z649" s="171"/>
      <c r="AA649" s="194"/>
      <c r="AB649" s="195"/>
      <c r="AC649" s="171"/>
      <c r="AD649" s="171"/>
      <c r="AE649" s="194"/>
      <c r="AF649" s="195"/>
      <c r="AG649" s="171"/>
      <c r="AH649" s="171"/>
      <c r="AI649" s="194"/>
      <c r="AJ649" s="196"/>
    </row>
    <row r="650" spans="2:36">
      <c r="B650" s="166"/>
      <c r="C650" s="167"/>
      <c r="D650" s="171"/>
      <c r="E650" s="171"/>
      <c r="F650" s="171"/>
      <c r="G650" s="172"/>
      <c r="H650" s="173"/>
      <c r="I650" s="193"/>
      <c r="J650" s="171"/>
      <c r="K650" s="194"/>
      <c r="L650" s="173"/>
      <c r="M650" s="171"/>
      <c r="N650" s="171"/>
      <c r="O650" s="194"/>
      <c r="P650" s="195"/>
      <c r="Q650" s="171"/>
      <c r="R650" s="171"/>
      <c r="S650" s="194"/>
      <c r="T650" s="195"/>
      <c r="U650" s="171"/>
      <c r="V650" s="171"/>
      <c r="W650" s="194"/>
      <c r="X650" s="195"/>
      <c r="Y650" s="171"/>
      <c r="Z650" s="171"/>
      <c r="AA650" s="194"/>
      <c r="AB650" s="195"/>
      <c r="AC650" s="171"/>
      <c r="AD650" s="171"/>
      <c r="AE650" s="194"/>
      <c r="AF650" s="195"/>
      <c r="AG650" s="171"/>
      <c r="AH650" s="171"/>
      <c r="AI650" s="194"/>
      <c r="AJ650" s="196"/>
    </row>
    <row r="651" spans="2:36">
      <c r="B651" s="166"/>
      <c r="C651" s="167"/>
      <c r="D651" s="171"/>
      <c r="E651" s="171"/>
      <c r="F651" s="171"/>
      <c r="G651" s="172"/>
      <c r="H651" s="173"/>
      <c r="I651" s="193"/>
      <c r="J651" s="171"/>
      <c r="K651" s="194"/>
      <c r="L651" s="173"/>
      <c r="M651" s="171"/>
      <c r="N651" s="171"/>
      <c r="O651" s="194"/>
      <c r="P651" s="195"/>
      <c r="Q651" s="171"/>
      <c r="R651" s="171"/>
      <c r="S651" s="194"/>
      <c r="T651" s="195"/>
      <c r="U651" s="171"/>
      <c r="V651" s="171"/>
      <c r="W651" s="194"/>
      <c r="X651" s="195"/>
      <c r="Y651" s="171"/>
      <c r="Z651" s="171"/>
      <c r="AA651" s="194"/>
      <c r="AB651" s="195"/>
      <c r="AC651" s="171"/>
      <c r="AD651" s="171"/>
      <c r="AE651" s="194"/>
      <c r="AF651" s="195"/>
      <c r="AG651" s="171"/>
      <c r="AH651" s="171"/>
      <c r="AI651" s="194"/>
      <c r="AJ651" s="196"/>
    </row>
    <row r="652" spans="2:36">
      <c r="B652" s="166"/>
      <c r="C652" s="167"/>
      <c r="D652" s="171"/>
      <c r="E652" s="171"/>
      <c r="F652" s="171"/>
      <c r="G652" s="172"/>
      <c r="H652" s="173"/>
      <c r="I652" s="193"/>
      <c r="J652" s="171"/>
      <c r="K652" s="194"/>
      <c r="L652" s="173"/>
      <c r="M652" s="171"/>
      <c r="N652" s="171"/>
      <c r="O652" s="194"/>
      <c r="P652" s="195"/>
      <c r="Q652" s="171"/>
      <c r="R652" s="171"/>
      <c r="S652" s="194"/>
      <c r="T652" s="195"/>
      <c r="U652" s="171"/>
      <c r="V652" s="171"/>
      <c r="W652" s="194"/>
      <c r="X652" s="195"/>
      <c r="Y652" s="171"/>
      <c r="Z652" s="171"/>
      <c r="AA652" s="194"/>
      <c r="AB652" s="195"/>
      <c r="AC652" s="171"/>
      <c r="AD652" s="171"/>
      <c r="AE652" s="194"/>
      <c r="AF652" s="195"/>
      <c r="AG652" s="171"/>
      <c r="AH652" s="171"/>
      <c r="AI652" s="194"/>
      <c r="AJ652" s="196"/>
    </row>
    <row r="653" spans="2:36">
      <c r="B653" s="166"/>
      <c r="C653" s="167"/>
      <c r="D653" s="171"/>
      <c r="E653" s="171"/>
      <c r="F653" s="171"/>
      <c r="G653" s="172"/>
      <c r="H653" s="173"/>
      <c r="I653" s="193"/>
      <c r="J653" s="171"/>
      <c r="K653" s="194"/>
      <c r="L653" s="173"/>
      <c r="M653" s="171"/>
      <c r="N653" s="171"/>
      <c r="O653" s="194"/>
      <c r="P653" s="195"/>
      <c r="Q653" s="171"/>
      <c r="R653" s="171"/>
      <c r="S653" s="194"/>
      <c r="T653" s="195"/>
      <c r="U653" s="171"/>
      <c r="V653" s="171"/>
      <c r="W653" s="194"/>
      <c r="X653" s="195"/>
      <c r="Y653" s="171"/>
      <c r="Z653" s="171"/>
      <c r="AA653" s="194"/>
      <c r="AB653" s="195"/>
      <c r="AC653" s="171"/>
      <c r="AD653" s="171"/>
      <c r="AE653" s="194"/>
      <c r="AF653" s="195"/>
      <c r="AG653" s="171"/>
      <c r="AH653" s="171"/>
      <c r="AI653" s="194"/>
      <c r="AJ653" s="196"/>
    </row>
    <row r="654" spans="2:36">
      <c r="B654" s="166"/>
      <c r="C654" s="167"/>
      <c r="D654" s="171"/>
      <c r="E654" s="171"/>
      <c r="F654" s="171"/>
      <c r="G654" s="172"/>
      <c r="H654" s="173"/>
      <c r="I654" s="193"/>
      <c r="J654" s="171"/>
      <c r="K654" s="194"/>
      <c r="L654" s="173"/>
      <c r="M654" s="171"/>
      <c r="N654" s="171"/>
      <c r="O654" s="194"/>
      <c r="P654" s="195"/>
      <c r="Q654" s="171"/>
      <c r="R654" s="171"/>
      <c r="S654" s="194"/>
      <c r="T654" s="195"/>
      <c r="U654" s="171"/>
      <c r="V654" s="171"/>
      <c r="W654" s="194"/>
      <c r="X654" s="195"/>
      <c r="Y654" s="171"/>
      <c r="Z654" s="171"/>
      <c r="AA654" s="194"/>
      <c r="AB654" s="195"/>
      <c r="AC654" s="171"/>
      <c r="AD654" s="171"/>
      <c r="AE654" s="194"/>
      <c r="AF654" s="195"/>
      <c r="AG654" s="171"/>
      <c r="AH654" s="171"/>
      <c r="AI654" s="194"/>
      <c r="AJ654" s="196"/>
    </row>
    <row r="655" spans="2:36">
      <c r="B655" s="166"/>
      <c r="C655" s="167"/>
      <c r="D655" s="171"/>
      <c r="E655" s="171"/>
      <c r="F655" s="171"/>
      <c r="G655" s="172"/>
      <c r="H655" s="173"/>
      <c r="I655" s="193"/>
      <c r="J655" s="171"/>
      <c r="K655" s="194"/>
      <c r="L655" s="173"/>
      <c r="M655" s="171"/>
      <c r="N655" s="171"/>
      <c r="O655" s="194"/>
      <c r="P655" s="195"/>
      <c r="Q655" s="171"/>
      <c r="R655" s="171"/>
      <c r="S655" s="194"/>
      <c r="T655" s="195"/>
      <c r="U655" s="171"/>
      <c r="V655" s="171"/>
      <c r="W655" s="194"/>
      <c r="X655" s="195"/>
      <c r="Y655" s="171"/>
      <c r="Z655" s="171"/>
      <c r="AA655" s="194"/>
      <c r="AB655" s="195"/>
      <c r="AC655" s="171"/>
      <c r="AD655" s="171"/>
      <c r="AE655" s="194"/>
      <c r="AF655" s="195"/>
      <c r="AG655" s="171"/>
      <c r="AH655" s="171"/>
      <c r="AI655" s="194"/>
      <c r="AJ655" s="196"/>
    </row>
    <row r="656" spans="2:36">
      <c r="B656" s="166"/>
      <c r="C656" s="167"/>
      <c r="D656" s="171"/>
      <c r="E656" s="171"/>
      <c r="F656" s="171"/>
      <c r="G656" s="172"/>
      <c r="H656" s="173"/>
      <c r="I656" s="193"/>
      <c r="J656" s="171"/>
      <c r="K656" s="194"/>
      <c r="L656" s="173"/>
      <c r="M656" s="171"/>
      <c r="N656" s="171"/>
      <c r="O656" s="194"/>
      <c r="P656" s="195"/>
      <c r="Q656" s="171"/>
      <c r="R656" s="171"/>
      <c r="S656" s="194"/>
      <c r="T656" s="195"/>
      <c r="U656" s="171"/>
      <c r="V656" s="171"/>
      <c r="W656" s="194"/>
      <c r="X656" s="195"/>
      <c r="Y656" s="171"/>
      <c r="Z656" s="171"/>
      <c r="AA656" s="194"/>
      <c r="AB656" s="195"/>
      <c r="AC656" s="171"/>
      <c r="AD656" s="171"/>
      <c r="AE656" s="194"/>
      <c r="AF656" s="195"/>
      <c r="AG656" s="171"/>
      <c r="AH656" s="171"/>
      <c r="AI656" s="194"/>
      <c r="AJ656" s="196"/>
    </row>
    <row r="657" spans="2:36">
      <c r="B657" s="166"/>
      <c r="C657" s="167"/>
      <c r="D657" s="171"/>
      <c r="E657" s="171"/>
      <c r="F657" s="171"/>
      <c r="G657" s="172"/>
      <c r="H657" s="173"/>
      <c r="I657" s="193"/>
      <c r="J657" s="171"/>
      <c r="K657" s="194"/>
      <c r="L657" s="173"/>
      <c r="M657" s="171"/>
      <c r="N657" s="171"/>
      <c r="O657" s="194"/>
      <c r="P657" s="195"/>
      <c r="Q657" s="171"/>
      <c r="R657" s="171"/>
      <c r="S657" s="194"/>
      <c r="T657" s="195"/>
      <c r="U657" s="171"/>
      <c r="V657" s="171"/>
      <c r="W657" s="194"/>
      <c r="X657" s="195"/>
      <c r="Y657" s="171"/>
      <c r="Z657" s="171"/>
      <c r="AA657" s="194"/>
      <c r="AB657" s="195"/>
      <c r="AC657" s="171"/>
      <c r="AD657" s="171"/>
      <c r="AE657" s="194"/>
      <c r="AF657" s="195"/>
      <c r="AG657" s="171"/>
      <c r="AH657" s="171"/>
      <c r="AI657" s="194"/>
      <c r="AJ657" s="196"/>
    </row>
    <row r="658" spans="2:36">
      <c r="B658" s="166"/>
      <c r="C658" s="167"/>
      <c r="D658" s="171"/>
      <c r="E658" s="171"/>
      <c r="F658" s="171"/>
      <c r="G658" s="172"/>
      <c r="H658" s="173"/>
      <c r="I658" s="193"/>
      <c r="J658" s="171"/>
      <c r="K658" s="194"/>
      <c r="L658" s="173"/>
      <c r="M658" s="171"/>
      <c r="N658" s="171"/>
      <c r="O658" s="194"/>
      <c r="P658" s="195"/>
      <c r="Q658" s="171"/>
      <c r="R658" s="171"/>
      <c r="S658" s="194"/>
      <c r="T658" s="195"/>
      <c r="U658" s="171"/>
      <c r="V658" s="171"/>
      <c r="W658" s="194"/>
      <c r="X658" s="195"/>
      <c r="Y658" s="171"/>
      <c r="Z658" s="171"/>
      <c r="AA658" s="194"/>
      <c r="AB658" s="195"/>
      <c r="AC658" s="171"/>
      <c r="AD658" s="171"/>
      <c r="AE658" s="194"/>
      <c r="AF658" s="195"/>
      <c r="AG658" s="171"/>
      <c r="AH658" s="171"/>
      <c r="AI658" s="194"/>
      <c r="AJ658" s="196"/>
    </row>
    <row r="659" spans="2:36">
      <c r="B659" s="166"/>
      <c r="C659" s="167"/>
      <c r="D659" s="171"/>
      <c r="E659" s="171"/>
      <c r="F659" s="171"/>
      <c r="G659" s="172"/>
      <c r="H659" s="173"/>
      <c r="I659" s="193"/>
      <c r="J659" s="171"/>
      <c r="K659" s="194"/>
      <c r="L659" s="173"/>
      <c r="M659" s="171"/>
      <c r="N659" s="171"/>
      <c r="O659" s="194"/>
      <c r="P659" s="195"/>
      <c r="Q659" s="171"/>
      <c r="R659" s="171"/>
      <c r="S659" s="194"/>
      <c r="T659" s="195"/>
      <c r="U659" s="171"/>
      <c r="V659" s="171"/>
      <c r="W659" s="194"/>
      <c r="X659" s="195"/>
      <c r="Y659" s="171"/>
      <c r="Z659" s="171"/>
      <c r="AA659" s="194"/>
      <c r="AB659" s="195"/>
      <c r="AC659" s="171"/>
      <c r="AD659" s="171"/>
      <c r="AE659" s="194"/>
      <c r="AF659" s="195"/>
      <c r="AG659" s="171"/>
      <c r="AH659" s="171"/>
      <c r="AI659" s="194"/>
      <c r="AJ659" s="196"/>
    </row>
    <row r="660" spans="2:36">
      <c r="B660" s="166"/>
      <c r="C660" s="167"/>
      <c r="D660" s="171"/>
      <c r="E660" s="171"/>
      <c r="F660" s="171"/>
      <c r="G660" s="172"/>
      <c r="H660" s="173"/>
      <c r="I660" s="193"/>
      <c r="J660" s="171"/>
      <c r="K660" s="194"/>
      <c r="L660" s="173"/>
      <c r="M660" s="171"/>
      <c r="N660" s="171"/>
      <c r="O660" s="194"/>
      <c r="P660" s="195"/>
      <c r="Q660" s="171"/>
      <c r="R660" s="171"/>
      <c r="S660" s="194"/>
      <c r="T660" s="195"/>
      <c r="U660" s="171"/>
      <c r="V660" s="171"/>
      <c r="W660" s="194"/>
      <c r="X660" s="195"/>
      <c r="Y660" s="171"/>
      <c r="Z660" s="171"/>
      <c r="AA660" s="194"/>
      <c r="AB660" s="195"/>
      <c r="AC660" s="171"/>
      <c r="AD660" s="171"/>
      <c r="AE660" s="194"/>
      <c r="AF660" s="195"/>
      <c r="AG660" s="171"/>
      <c r="AH660" s="171"/>
      <c r="AI660" s="194"/>
      <c r="AJ660" s="196"/>
    </row>
    <row r="661" spans="2:36">
      <c r="B661" s="166"/>
      <c r="C661" s="167"/>
      <c r="D661" s="171"/>
      <c r="E661" s="171"/>
      <c r="F661" s="171"/>
      <c r="G661" s="172"/>
      <c r="H661" s="173"/>
      <c r="I661" s="193"/>
      <c r="J661" s="171"/>
      <c r="K661" s="194"/>
      <c r="L661" s="173"/>
      <c r="M661" s="171"/>
      <c r="N661" s="171"/>
      <c r="O661" s="194"/>
      <c r="P661" s="195"/>
      <c r="Q661" s="171"/>
      <c r="R661" s="171"/>
      <c r="S661" s="194"/>
      <c r="T661" s="195"/>
      <c r="U661" s="171"/>
      <c r="V661" s="171"/>
      <c r="W661" s="194"/>
      <c r="X661" s="195"/>
      <c r="Y661" s="171"/>
      <c r="Z661" s="171"/>
      <c r="AA661" s="194"/>
      <c r="AB661" s="195"/>
      <c r="AC661" s="171"/>
      <c r="AD661" s="171"/>
      <c r="AE661" s="194"/>
      <c r="AF661" s="195"/>
      <c r="AG661" s="171"/>
      <c r="AH661" s="171"/>
      <c r="AI661" s="194"/>
      <c r="AJ661" s="196"/>
    </row>
    <row r="662" spans="2:36">
      <c r="B662" s="166"/>
      <c r="C662" s="167"/>
      <c r="D662" s="171"/>
      <c r="E662" s="171"/>
      <c r="F662" s="171"/>
      <c r="G662" s="172"/>
      <c r="H662" s="173"/>
      <c r="I662" s="193"/>
      <c r="J662" s="171"/>
      <c r="K662" s="194"/>
      <c r="L662" s="173"/>
      <c r="M662" s="171"/>
      <c r="N662" s="171"/>
      <c r="O662" s="194"/>
      <c r="P662" s="195"/>
      <c r="Q662" s="171"/>
      <c r="R662" s="171"/>
      <c r="S662" s="194"/>
      <c r="T662" s="195"/>
      <c r="U662" s="171"/>
      <c r="V662" s="171"/>
      <c r="W662" s="194"/>
      <c r="X662" s="195"/>
      <c r="Y662" s="171"/>
      <c r="Z662" s="171"/>
      <c r="AA662" s="194"/>
      <c r="AB662" s="195"/>
      <c r="AC662" s="171"/>
      <c r="AD662" s="171"/>
      <c r="AE662" s="194"/>
      <c r="AF662" s="195"/>
      <c r="AG662" s="171"/>
      <c r="AH662" s="171"/>
      <c r="AI662" s="194"/>
      <c r="AJ662" s="196"/>
    </row>
    <row r="663" spans="2:36">
      <c r="B663" s="166"/>
      <c r="C663" s="167"/>
      <c r="D663" s="171"/>
      <c r="E663" s="171"/>
      <c r="F663" s="171"/>
      <c r="G663" s="172"/>
      <c r="H663" s="173"/>
      <c r="I663" s="193"/>
      <c r="J663" s="171"/>
      <c r="K663" s="194"/>
      <c r="L663" s="173"/>
      <c r="M663" s="171"/>
      <c r="N663" s="171"/>
      <c r="O663" s="194"/>
      <c r="P663" s="195"/>
      <c r="Q663" s="171"/>
      <c r="R663" s="171"/>
      <c r="S663" s="194"/>
      <c r="T663" s="195"/>
      <c r="U663" s="171"/>
      <c r="V663" s="171"/>
      <c r="W663" s="194"/>
      <c r="X663" s="195"/>
      <c r="Y663" s="171"/>
      <c r="Z663" s="171"/>
      <c r="AA663" s="194"/>
      <c r="AB663" s="195"/>
      <c r="AC663" s="171"/>
      <c r="AD663" s="171"/>
      <c r="AE663" s="194"/>
      <c r="AF663" s="195"/>
      <c r="AG663" s="171"/>
      <c r="AH663" s="171"/>
      <c r="AI663" s="194"/>
      <c r="AJ663" s="196"/>
    </row>
    <row r="664" spans="2:36">
      <c r="B664" s="166"/>
      <c r="C664" s="167"/>
      <c r="D664" s="171"/>
      <c r="E664" s="171"/>
      <c r="F664" s="171"/>
      <c r="G664" s="172"/>
      <c r="H664" s="173"/>
      <c r="I664" s="193"/>
      <c r="J664" s="171"/>
      <c r="K664" s="194"/>
      <c r="L664" s="173"/>
      <c r="M664" s="171"/>
      <c r="N664" s="171"/>
      <c r="O664" s="194"/>
      <c r="P664" s="195"/>
      <c r="Q664" s="171"/>
      <c r="R664" s="171"/>
      <c r="S664" s="194"/>
      <c r="T664" s="195"/>
      <c r="U664" s="171"/>
      <c r="V664" s="171"/>
      <c r="W664" s="194"/>
      <c r="X664" s="195"/>
      <c r="Y664" s="171"/>
      <c r="Z664" s="171"/>
      <c r="AA664" s="194"/>
      <c r="AB664" s="195"/>
      <c r="AC664" s="171"/>
      <c r="AD664" s="171"/>
      <c r="AE664" s="194"/>
      <c r="AF664" s="195"/>
      <c r="AG664" s="171"/>
      <c r="AH664" s="171"/>
      <c r="AI664" s="194"/>
      <c r="AJ664" s="196"/>
    </row>
    <row r="665" spans="2:36">
      <c r="B665" s="166"/>
      <c r="C665" s="167"/>
      <c r="D665" s="171"/>
      <c r="E665" s="171"/>
      <c r="F665" s="171"/>
      <c r="G665" s="172"/>
      <c r="H665" s="173"/>
      <c r="I665" s="193"/>
      <c r="J665" s="171"/>
      <c r="K665" s="194"/>
      <c r="L665" s="173"/>
      <c r="M665" s="171"/>
      <c r="N665" s="171"/>
      <c r="O665" s="194"/>
      <c r="P665" s="195"/>
      <c r="Q665" s="171"/>
      <c r="R665" s="171"/>
      <c r="S665" s="194"/>
      <c r="T665" s="195"/>
      <c r="U665" s="171"/>
      <c r="V665" s="171"/>
      <c r="W665" s="194"/>
      <c r="X665" s="195"/>
      <c r="Y665" s="171"/>
      <c r="Z665" s="171"/>
      <c r="AA665" s="194"/>
      <c r="AB665" s="195"/>
      <c r="AC665" s="171"/>
      <c r="AD665" s="171"/>
      <c r="AE665" s="194"/>
      <c r="AF665" s="195"/>
      <c r="AG665" s="171"/>
      <c r="AH665" s="171"/>
      <c r="AI665" s="194"/>
      <c r="AJ665" s="196"/>
    </row>
    <row r="666" spans="2:36">
      <c r="B666" s="166"/>
      <c r="C666" s="167"/>
      <c r="D666" s="171"/>
      <c r="E666" s="171"/>
      <c r="F666" s="171"/>
      <c r="G666" s="172"/>
      <c r="H666" s="173"/>
      <c r="I666" s="193"/>
      <c r="J666" s="171"/>
      <c r="K666" s="194"/>
      <c r="L666" s="173"/>
      <c r="M666" s="171"/>
      <c r="N666" s="171"/>
      <c r="O666" s="194"/>
      <c r="P666" s="195"/>
      <c r="Q666" s="171"/>
      <c r="R666" s="171"/>
      <c r="S666" s="194"/>
      <c r="T666" s="195"/>
      <c r="U666" s="171"/>
      <c r="V666" s="171"/>
      <c r="W666" s="194"/>
      <c r="X666" s="195"/>
      <c r="Y666" s="171"/>
      <c r="Z666" s="171"/>
      <c r="AA666" s="194"/>
      <c r="AB666" s="195"/>
      <c r="AC666" s="171"/>
      <c r="AD666" s="171"/>
      <c r="AE666" s="194"/>
      <c r="AF666" s="195"/>
      <c r="AG666" s="171"/>
      <c r="AH666" s="171"/>
      <c r="AI666" s="194"/>
      <c r="AJ666" s="196"/>
    </row>
    <row r="667" spans="2:36">
      <c r="B667" s="166"/>
      <c r="C667" s="167"/>
      <c r="D667" s="171"/>
      <c r="E667" s="171"/>
      <c r="F667" s="171"/>
      <c r="G667" s="172"/>
      <c r="H667" s="173"/>
      <c r="I667" s="193"/>
      <c r="J667" s="171"/>
      <c r="K667" s="194"/>
      <c r="L667" s="173"/>
      <c r="M667" s="171"/>
      <c r="N667" s="171"/>
      <c r="O667" s="194"/>
      <c r="P667" s="195"/>
      <c r="Q667" s="171"/>
      <c r="R667" s="171"/>
      <c r="S667" s="194"/>
      <c r="T667" s="195"/>
      <c r="U667" s="171"/>
      <c r="V667" s="171"/>
      <c r="W667" s="194"/>
      <c r="X667" s="195"/>
      <c r="Y667" s="171"/>
      <c r="Z667" s="171"/>
      <c r="AA667" s="194"/>
      <c r="AB667" s="195"/>
      <c r="AC667" s="171"/>
      <c r="AD667" s="171"/>
      <c r="AE667" s="194"/>
      <c r="AF667" s="195"/>
      <c r="AG667" s="171"/>
      <c r="AH667" s="171"/>
      <c r="AI667" s="194"/>
      <c r="AJ667" s="196"/>
    </row>
    <row r="668" spans="2:36">
      <c r="B668" s="166"/>
      <c r="C668" s="167"/>
      <c r="D668" s="171"/>
      <c r="E668" s="171"/>
      <c r="F668" s="171"/>
      <c r="G668" s="172"/>
      <c r="H668" s="173"/>
      <c r="I668" s="193"/>
      <c r="J668" s="171"/>
      <c r="K668" s="194"/>
      <c r="L668" s="173"/>
      <c r="M668" s="171"/>
      <c r="N668" s="171"/>
      <c r="O668" s="194"/>
      <c r="P668" s="195"/>
      <c r="Q668" s="171"/>
      <c r="R668" s="171"/>
      <c r="S668" s="194"/>
      <c r="T668" s="195"/>
      <c r="U668" s="171"/>
      <c r="V668" s="171"/>
      <c r="W668" s="194"/>
      <c r="X668" s="195"/>
      <c r="Y668" s="171"/>
      <c r="Z668" s="171"/>
      <c r="AA668" s="194"/>
      <c r="AB668" s="195"/>
      <c r="AC668" s="171"/>
      <c r="AD668" s="171"/>
      <c r="AE668" s="194"/>
      <c r="AF668" s="195"/>
      <c r="AG668" s="171"/>
      <c r="AH668" s="171"/>
      <c r="AI668" s="194"/>
      <c r="AJ668" s="196"/>
    </row>
    <row r="669" spans="2:36">
      <c r="B669" s="166"/>
      <c r="C669" s="167"/>
      <c r="D669" s="171"/>
      <c r="E669" s="171"/>
      <c r="F669" s="171"/>
      <c r="G669" s="172"/>
      <c r="H669" s="173"/>
      <c r="I669" s="193"/>
      <c r="J669" s="171"/>
      <c r="K669" s="194"/>
      <c r="L669" s="173"/>
      <c r="M669" s="171"/>
      <c r="N669" s="171"/>
      <c r="O669" s="194"/>
      <c r="P669" s="195"/>
      <c r="Q669" s="171"/>
      <c r="R669" s="171"/>
      <c r="S669" s="194"/>
      <c r="T669" s="195"/>
      <c r="U669" s="171"/>
      <c r="V669" s="171"/>
      <c r="W669" s="194"/>
      <c r="X669" s="195"/>
      <c r="Y669" s="171"/>
      <c r="Z669" s="171"/>
      <c r="AA669" s="194"/>
      <c r="AB669" s="195"/>
      <c r="AC669" s="171"/>
      <c r="AD669" s="171"/>
      <c r="AE669" s="194"/>
      <c r="AF669" s="195"/>
      <c r="AG669" s="171"/>
      <c r="AH669" s="171"/>
      <c r="AI669" s="194"/>
      <c r="AJ669" s="196"/>
    </row>
    <row r="670" spans="2:36">
      <c r="B670" s="166"/>
      <c r="C670" s="167"/>
      <c r="D670" s="171"/>
      <c r="E670" s="171"/>
      <c r="F670" s="171"/>
      <c r="G670" s="172"/>
      <c r="H670" s="173"/>
      <c r="I670" s="193"/>
      <c r="J670" s="171"/>
      <c r="K670" s="194"/>
      <c r="L670" s="173"/>
      <c r="M670" s="171"/>
      <c r="N670" s="171"/>
      <c r="O670" s="194"/>
      <c r="P670" s="195"/>
      <c r="Q670" s="171"/>
      <c r="R670" s="171"/>
      <c r="S670" s="194"/>
      <c r="T670" s="195"/>
      <c r="U670" s="171"/>
      <c r="V670" s="171"/>
      <c r="W670" s="194"/>
      <c r="X670" s="195"/>
      <c r="Y670" s="171"/>
      <c r="Z670" s="171"/>
      <c r="AA670" s="194"/>
      <c r="AB670" s="195"/>
      <c r="AC670" s="171"/>
      <c r="AD670" s="171"/>
      <c r="AE670" s="194"/>
      <c r="AF670" s="195"/>
      <c r="AG670" s="171"/>
      <c r="AH670" s="171"/>
      <c r="AI670" s="194"/>
      <c r="AJ670" s="196"/>
    </row>
    <row r="671" spans="2:36">
      <c r="B671" s="166"/>
      <c r="C671" s="167"/>
      <c r="D671" s="171"/>
      <c r="E671" s="171"/>
      <c r="F671" s="171"/>
      <c r="G671" s="172"/>
      <c r="H671" s="173"/>
      <c r="I671" s="193"/>
      <c r="J671" s="171"/>
      <c r="K671" s="194"/>
      <c r="L671" s="173"/>
      <c r="M671" s="171"/>
      <c r="N671" s="171"/>
      <c r="O671" s="194"/>
      <c r="P671" s="195"/>
      <c r="Q671" s="171"/>
      <c r="R671" s="171"/>
      <c r="S671" s="194"/>
      <c r="T671" s="195"/>
      <c r="U671" s="171"/>
      <c r="V671" s="171"/>
      <c r="W671" s="194"/>
      <c r="X671" s="195"/>
      <c r="Y671" s="171"/>
      <c r="Z671" s="171"/>
      <c r="AA671" s="194"/>
      <c r="AB671" s="195"/>
      <c r="AC671" s="171"/>
      <c r="AD671" s="171"/>
      <c r="AE671" s="194"/>
      <c r="AF671" s="195"/>
      <c r="AG671" s="171"/>
      <c r="AH671" s="171"/>
      <c r="AI671" s="194"/>
      <c r="AJ671" s="196"/>
    </row>
    <row r="672" spans="2:36">
      <c r="B672" s="166"/>
      <c r="C672" s="167"/>
      <c r="D672" s="171"/>
      <c r="E672" s="171"/>
      <c r="F672" s="171"/>
      <c r="G672" s="172"/>
      <c r="H672" s="173"/>
      <c r="I672" s="193"/>
      <c r="J672" s="171"/>
      <c r="K672" s="194"/>
      <c r="L672" s="173"/>
      <c r="M672" s="171"/>
      <c r="N672" s="171"/>
      <c r="O672" s="194"/>
      <c r="P672" s="195"/>
      <c r="Q672" s="171"/>
      <c r="R672" s="171"/>
      <c r="S672" s="194"/>
      <c r="T672" s="195"/>
      <c r="U672" s="171"/>
      <c r="V672" s="171"/>
      <c r="W672" s="194"/>
      <c r="X672" s="195"/>
      <c r="Y672" s="171"/>
      <c r="Z672" s="171"/>
      <c r="AA672" s="194"/>
      <c r="AB672" s="195"/>
      <c r="AC672" s="171"/>
      <c r="AD672" s="171"/>
      <c r="AE672" s="194"/>
      <c r="AF672" s="195"/>
      <c r="AG672" s="171"/>
      <c r="AH672" s="171"/>
      <c r="AI672" s="194"/>
      <c r="AJ672" s="196"/>
    </row>
    <row r="673" spans="2:36">
      <c r="B673" s="166"/>
      <c r="C673" s="167"/>
      <c r="D673" s="171"/>
      <c r="E673" s="171"/>
      <c r="F673" s="171"/>
      <c r="G673" s="172"/>
      <c r="H673" s="173"/>
      <c r="I673" s="193"/>
      <c r="J673" s="171"/>
      <c r="K673" s="194"/>
      <c r="L673" s="173"/>
      <c r="M673" s="171"/>
      <c r="N673" s="171"/>
      <c r="O673" s="194"/>
      <c r="P673" s="195"/>
      <c r="Q673" s="171"/>
      <c r="R673" s="171"/>
      <c r="S673" s="194"/>
      <c r="T673" s="195"/>
      <c r="U673" s="171"/>
      <c r="V673" s="171"/>
      <c r="W673" s="194"/>
      <c r="X673" s="195"/>
      <c r="Y673" s="171"/>
      <c r="Z673" s="171"/>
      <c r="AA673" s="194"/>
      <c r="AB673" s="195"/>
      <c r="AC673" s="171"/>
      <c r="AD673" s="171"/>
      <c r="AE673" s="194"/>
      <c r="AF673" s="195"/>
      <c r="AG673" s="171"/>
      <c r="AH673" s="171"/>
      <c r="AI673" s="194"/>
      <c r="AJ673" s="196"/>
    </row>
    <row r="674" spans="2:36">
      <c r="B674" s="166"/>
      <c r="C674" s="167"/>
      <c r="D674" s="171"/>
      <c r="E674" s="171"/>
      <c r="F674" s="171"/>
      <c r="G674" s="172"/>
      <c r="H674" s="173"/>
      <c r="I674" s="193"/>
      <c r="J674" s="171"/>
      <c r="K674" s="194"/>
      <c r="L674" s="173"/>
      <c r="M674" s="171"/>
      <c r="N674" s="171"/>
      <c r="O674" s="194"/>
      <c r="P674" s="195"/>
      <c r="Q674" s="171"/>
      <c r="R674" s="171"/>
      <c r="S674" s="194"/>
      <c r="T674" s="195"/>
      <c r="U674" s="171"/>
      <c r="V674" s="171"/>
      <c r="W674" s="194"/>
      <c r="X674" s="195"/>
      <c r="Y674" s="171"/>
      <c r="Z674" s="171"/>
      <c r="AA674" s="194"/>
      <c r="AB674" s="195"/>
      <c r="AC674" s="171"/>
      <c r="AD674" s="171"/>
      <c r="AE674" s="194"/>
      <c r="AF674" s="195"/>
      <c r="AG674" s="171"/>
      <c r="AH674" s="171"/>
      <c r="AI674" s="194"/>
      <c r="AJ674" s="196"/>
    </row>
    <row r="675" spans="2:36">
      <c r="B675" s="166"/>
      <c r="C675" s="167"/>
      <c r="D675" s="171"/>
      <c r="E675" s="171"/>
      <c r="F675" s="171"/>
      <c r="G675" s="172"/>
      <c r="H675" s="173"/>
      <c r="I675" s="193"/>
      <c r="J675" s="171"/>
      <c r="K675" s="194"/>
      <c r="L675" s="173"/>
      <c r="M675" s="171"/>
      <c r="N675" s="171"/>
      <c r="O675" s="194"/>
      <c r="P675" s="195"/>
      <c r="Q675" s="171"/>
      <c r="R675" s="171"/>
      <c r="S675" s="194"/>
      <c r="T675" s="195"/>
      <c r="U675" s="171"/>
      <c r="V675" s="171"/>
      <c r="W675" s="194"/>
      <c r="X675" s="195"/>
      <c r="Y675" s="171"/>
      <c r="Z675" s="171"/>
      <c r="AA675" s="194"/>
      <c r="AB675" s="195"/>
      <c r="AC675" s="171"/>
      <c r="AD675" s="171"/>
      <c r="AE675" s="194"/>
      <c r="AF675" s="195"/>
      <c r="AG675" s="171"/>
      <c r="AH675" s="171"/>
      <c r="AI675" s="194"/>
      <c r="AJ675" s="196"/>
    </row>
    <row r="676" spans="2:36">
      <c r="B676" s="166"/>
      <c r="C676" s="167"/>
      <c r="D676" s="171"/>
      <c r="E676" s="171"/>
      <c r="F676" s="171"/>
      <c r="G676" s="172"/>
      <c r="H676" s="173"/>
      <c r="I676" s="193"/>
      <c r="J676" s="171"/>
      <c r="K676" s="194"/>
      <c r="L676" s="173"/>
      <c r="M676" s="171"/>
      <c r="N676" s="171"/>
      <c r="O676" s="194"/>
      <c r="P676" s="195"/>
      <c r="Q676" s="171"/>
      <c r="R676" s="171"/>
      <c r="S676" s="194"/>
      <c r="T676" s="195"/>
      <c r="U676" s="171"/>
      <c r="V676" s="171"/>
      <c r="W676" s="194"/>
      <c r="X676" s="195"/>
      <c r="Y676" s="171"/>
      <c r="Z676" s="171"/>
      <c r="AA676" s="194"/>
      <c r="AB676" s="195"/>
      <c r="AC676" s="171"/>
      <c r="AD676" s="171"/>
      <c r="AE676" s="194"/>
      <c r="AF676" s="195"/>
      <c r="AG676" s="171"/>
      <c r="AH676" s="171"/>
      <c r="AI676" s="194"/>
      <c r="AJ676" s="196"/>
    </row>
    <row r="677" spans="2:36">
      <c r="B677" s="166"/>
      <c r="C677" s="167"/>
      <c r="D677" s="171"/>
      <c r="E677" s="171"/>
      <c r="F677" s="171"/>
      <c r="G677" s="172"/>
      <c r="H677" s="173"/>
      <c r="I677" s="193"/>
      <c r="J677" s="171"/>
      <c r="K677" s="194"/>
      <c r="L677" s="173"/>
      <c r="M677" s="171"/>
      <c r="N677" s="171"/>
      <c r="O677" s="194"/>
      <c r="P677" s="195"/>
      <c r="Q677" s="171"/>
      <c r="R677" s="171"/>
      <c r="S677" s="194"/>
      <c r="T677" s="195"/>
      <c r="U677" s="171"/>
      <c r="V677" s="171"/>
      <c r="W677" s="194"/>
      <c r="X677" s="195"/>
      <c r="Y677" s="171"/>
      <c r="Z677" s="171"/>
      <c r="AA677" s="194"/>
      <c r="AB677" s="195"/>
      <c r="AC677" s="171"/>
      <c r="AD677" s="171"/>
      <c r="AE677" s="194"/>
      <c r="AF677" s="195"/>
      <c r="AG677" s="171"/>
      <c r="AH677" s="171"/>
      <c r="AI677" s="194"/>
      <c r="AJ677" s="196"/>
    </row>
    <row r="678" spans="2:36">
      <c r="B678" s="166"/>
      <c r="C678" s="167"/>
      <c r="D678" s="171"/>
      <c r="E678" s="171"/>
      <c r="F678" s="171"/>
      <c r="G678" s="172"/>
      <c r="H678" s="173"/>
      <c r="I678" s="193"/>
      <c r="J678" s="171"/>
      <c r="K678" s="194"/>
      <c r="L678" s="173"/>
      <c r="M678" s="171"/>
      <c r="N678" s="171"/>
      <c r="O678" s="194"/>
      <c r="P678" s="195"/>
      <c r="Q678" s="171"/>
      <c r="R678" s="171"/>
      <c r="S678" s="194"/>
      <c r="T678" s="195"/>
      <c r="U678" s="171"/>
      <c r="V678" s="171"/>
      <c r="W678" s="194"/>
      <c r="X678" s="195"/>
      <c r="Y678" s="171"/>
      <c r="Z678" s="171"/>
      <c r="AA678" s="194"/>
      <c r="AB678" s="195"/>
      <c r="AC678" s="171"/>
      <c r="AD678" s="171"/>
      <c r="AE678" s="194"/>
      <c r="AF678" s="195"/>
      <c r="AG678" s="171"/>
      <c r="AH678" s="171"/>
      <c r="AI678" s="194"/>
      <c r="AJ678" s="196"/>
    </row>
    <row r="679" spans="2:36">
      <c r="B679" s="166"/>
      <c r="C679" s="167"/>
      <c r="D679" s="171"/>
      <c r="E679" s="171"/>
      <c r="F679" s="171"/>
      <c r="G679" s="172"/>
      <c r="H679" s="173"/>
      <c r="I679" s="193"/>
      <c r="J679" s="171"/>
      <c r="K679" s="194"/>
      <c r="L679" s="173"/>
      <c r="M679" s="171"/>
      <c r="N679" s="171"/>
      <c r="O679" s="194"/>
      <c r="P679" s="195"/>
      <c r="Q679" s="171"/>
      <c r="R679" s="171"/>
      <c r="S679" s="194"/>
      <c r="T679" s="195"/>
      <c r="U679" s="171"/>
      <c r="V679" s="171"/>
      <c r="W679" s="194"/>
      <c r="X679" s="195"/>
      <c r="Y679" s="171"/>
      <c r="Z679" s="171"/>
      <c r="AA679" s="194"/>
      <c r="AB679" s="195"/>
      <c r="AC679" s="171"/>
      <c r="AD679" s="171"/>
      <c r="AE679" s="194"/>
      <c r="AF679" s="195"/>
      <c r="AG679" s="171"/>
      <c r="AH679" s="171"/>
      <c r="AI679" s="194"/>
      <c r="AJ679" s="196"/>
    </row>
    <row r="680" spans="2:36">
      <c r="B680" s="166"/>
      <c r="C680" s="167"/>
      <c r="D680" s="171"/>
      <c r="E680" s="171"/>
      <c r="F680" s="171"/>
      <c r="G680" s="172"/>
      <c r="H680" s="173"/>
      <c r="I680" s="193"/>
      <c r="J680" s="171"/>
      <c r="K680" s="194"/>
      <c r="L680" s="173"/>
      <c r="M680" s="171"/>
      <c r="N680" s="171"/>
      <c r="O680" s="194"/>
      <c r="P680" s="195"/>
      <c r="Q680" s="171"/>
      <c r="R680" s="171"/>
      <c r="S680" s="194"/>
      <c r="T680" s="195"/>
      <c r="U680" s="171"/>
      <c r="V680" s="171"/>
      <c r="W680" s="194"/>
      <c r="X680" s="195"/>
      <c r="Y680" s="171"/>
      <c r="Z680" s="171"/>
      <c r="AA680" s="194"/>
      <c r="AB680" s="195"/>
      <c r="AC680" s="171"/>
      <c r="AD680" s="171"/>
      <c r="AE680" s="194"/>
      <c r="AF680" s="195"/>
      <c r="AG680" s="171"/>
      <c r="AH680" s="171"/>
      <c r="AI680" s="194"/>
      <c r="AJ680" s="196"/>
    </row>
    <row r="681" spans="2:36">
      <c r="B681" s="166"/>
      <c r="C681" s="167"/>
      <c r="D681" s="171"/>
      <c r="E681" s="171"/>
      <c r="F681" s="171"/>
      <c r="G681" s="172"/>
      <c r="H681" s="173"/>
      <c r="I681" s="193"/>
      <c r="J681" s="171"/>
      <c r="K681" s="194"/>
      <c r="L681" s="173"/>
      <c r="M681" s="171"/>
      <c r="N681" s="171"/>
      <c r="O681" s="194"/>
      <c r="P681" s="195"/>
      <c r="Q681" s="171"/>
      <c r="R681" s="171"/>
      <c r="S681" s="194"/>
      <c r="T681" s="195"/>
      <c r="U681" s="171"/>
      <c r="V681" s="171"/>
      <c r="W681" s="194"/>
      <c r="X681" s="195"/>
      <c r="Y681" s="171"/>
      <c r="Z681" s="171"/>
      <c r="AA681" s="194"/>
      <c r="AB681" s="195"/>
      <c r="AC681" s="171"/>
      <c r="AD681" s="171"/>
      <c r="AE681" s="194"/>
      <c r="AF681" s="195"/>
      <c r="AG681" s="171"/>
      <c r="AH681" s="171"/>
      <c r="AI681" s="194"/>
      <c r="AJ681" s="196"/>
    </row>
    <row r="682" spans="2:36">
      <c r="B682" s="166"/>
      <c r="C682" s="167"/>
      <c r="D682" s="171"/>
      <c r="E682" s="171"/>
      <c r="F682" s="171"/>
      <c r="G682" s="172"/>
      <c r="H682" s="173"/>
      <c r="I682" s="193"/>
      <c r="J682" s="171"/>
      <c r="K682" s="194"/>
      <c r="L682" s="173"/>
      <c r="M682" s="171"/>
      <c r="N682" s="171"/>
      <c r="O682" s="194"/>
      <c r="P682" s="195"/>
      <c r="Q682" s="171"/>
      <c r="R682" s="171"/>
      <c r="S682" s="194"/>
      <c r="T682" s="195"/>
      <c r="U682" s="171"/>
      <c r="V682" s="171"/>
      <c r="W682" s="194"/>
      <c r="X682" s="195"/>
      <c r="Y682" s="171"/>
      <c r="Z682" s="171"/>
      <c r="AA682" s="194"/>
      <c r="AB682" s="195"/>
      <c r="AC682" s="171"/>
      <c r="AD682" s="171"/>
      <c r="AE682" s="194"/>
      <c r="AF682" s="195"/>
      <c r="AG682" s="171"/>
      <c r="AH682" s="171"/>
      <c r="AI682" s="194"/>
      <c r="AJ682" s="196"/>
    </row>
    <row r="683" spans="2:36">
      <c r="B683" s="166"/>
      <c r="C683" s="167"/>
      <c r="D683" s="171"/>
      <c r="E683" s="171"/>
      <c r="F683" s="171"/>
      <c r="G683" s="172"/>
      <c r="H683" s="173"/>
      <c r="I683" s="193"/>
      <c r="J683" s="171"/>
      <c r="K683" s="194"/>
      <c r="L683" s="173"/>
      <c r="M683" s="171"/>
      <c r="N683" s="171"/>
      <c r="O683" s="194"/>
      <c r="P683" s="195"/>
      <c r="Q683" s="171"/>
      <c r="R683" s="171"/>
      <c r="S683" s="194"/>
      <c r="T683" s="195"/>
      <c r="U683" s="171"/>
      <c r="V683" s="171"/>
      <c r="W683" s="194"/>
      <c r="X683" s="195"/>
      <c r="Y683" s="171"/>
      <c r="Z683" s="171"/>
      <c r="AA683" s="194"/>
      <c r="AB683" s="195"/>
      <c r="AC683" s="171"/>
      <c r="AD683" s="171"/>
      <c r="AE683" s="194"/>
      <c r="AF683" s="195"/>
      <c r="AG683" s="171"/>
      <c r="AH683" s="171"/>
      <c r="AI683" s="194"/>
      <c r="AJ683" s="196"/>
    </row>
    <row r="684" spans="2:36">
      <c r="B684" s="166"/>
      <c r="C684" s="167"/>
      <c r="D684" s="171"/>
      <c r="E684" s="171"/>
      <c r="F684" s="171"/>
      <c r="G684" s="172"/>
      <c r="H684" s="173"/>
      <c r="I684" s="193"/>
      <c r="J684" s="171"/>
      <c r="K684" s="194"/>
      <c r="L684" s="173"/>
      <c r="M684" s="171"/>
      <c r="N684" s="171"/>
      <c r="O684" s="194"/>
      <c r="P684" s="195"/>
      <c r="Q684" s="171"/>
      <c r="R684" s="171"/>
      <c r="S684" s="194"/>
      <c r="T684" s="195"/>
      <c r="U684" s="171"/>
      <c r="V684" s="171"/>
      <c r="W684" s="194"/>
      <c r="X684" s="195"/>
      <c r="Y684" s="171"/>
      <c r="Z684" s="171"/>
      <c r="AA684" s="194"/>
      <c r="AB684" s="195"/>
      <c r="AC684" s="171"/>
      <c r="AD684" s="171"/>
      <c r="AE684" s="194"/>
      <c r="AF684" s="195"/>
      <c r="AG684" s="171"/>
      <c r="AH684" s="171"/>
      <c r="AI684" s="194"/>
      <c r="AJ684" s="196"/>
    </row>
    <row r="685" spans="2:36">
      <c r="B685" s="166"/>
      <c r="C685" s="167"/>
      <c r="D685" s="171"/>
      <c r="E685" s="171"/>
      <c r="F685" s="171"/>
      <c r="G685" s="172"/>
      <c r="H685" s="173"/>
      <c r="I685" s="193"/>
      <c r="J685" s="171"/>
      <c r="K685" s="194"/>
      <c r="L685" s="173"/>
      <c r="M685" s="171"/>
      <c r="N685" s="171"/>
      <c r="O685" s="194"/>
      <c r="P685" s="195"/>
      <c r="Q685" s="171"/>
      <c r="R685" s="171"/>
      <c r="S685" s="194"/>
      <c r="T685" s="195"/>
      <c r="U685" s="171"/>
      <c r="V685" s="171"/>
      <c r="W685" s="194"/>
      <c r="X685" s="195"/>
      <c r="Y685" s="171"/>
      <c r="Z685" s="171"/>
      <c r="AA685" s="194"/>
      <c r="AB685" s="195"/>
      <c r="AC685" s="171"/>
      <c r="AD685" s="171"/>
      <c r="AE685" s="194"/>
      <c r="AF685" s="195"/>
      <c r="AG685" s="171"/>
      <c r="AH685" s="171"/>
      <c r="AI685" s="194"/>
      <c r="AJ685" s="196"/>
    </row>
    <row r="686" spans="2:36">
      <c r="B686" s="166"/>
      <c r="C686" s="167"/>
      <c r="D686" s="171"/>
      <c r="E686" s="171"/>
      <c r="F686" s="171"/>
      <c r="G686" s="172"/>
      <c r="H686" s="173"/>
      <c r="I686" s="193"/>
      <c r="J686" s="171"/>
      <c r="K686" s="194"/>
      <c r="L686" s="173"/>
      <c r="M686" s="171"/>
      <c r="N686" s="171"/>
      <c r="O686" s="194"/>
      <c r="P686" s="195"/>
      <c r="Q686" s="171"/>
      <c r="R686" s="171"/>
      <c r="S686" s="194"/>
      <c r="T686" s="195"/>
      <c r="U686" s="171"/>
      <c r="V686" s="171"/>
      <c r="W686" s="194"/>
      <c r="X686" s="195"/>
      <c r="Y686" s="171"/>
      <c r="Z686" s="171"/>
      <c r="AA686" s="194"/>
      <c r="AB686" s="195"/>
      <c r="AC686" s="171"/>
      <c r="AD686" s="171"/>
      <c r="AE686" s="194"/>
      <c r="AF686" s="195"/>
      <c r="AG686" s="171"/>
      <c r="AH686" s="171"/>
      <c r="AI686" s="194"/>
      <c r="AJ686" s="196"/>
    </row>
    <row r="687" spans="2:36">
      <c r="B687" s="166"/>
      <c r="C687" s="167"/>
      <c r="D687" s="171"/>
      <c r="E687" s="171"/>
      <c r="F687" s="171"/>
      <c r="G687" s="172"/>
      <c r="H687" s="173"/>
      <c r="I687" s="193"/>
      <c r="J687" s="171"/>
      <c r="K687" s="194"/>
      <c r="L687" s="173"/>
      <c r="M687" s="171"/>
      <c r="N687" s="171"/>
      <c r="O687" s="194"/>
      <c r="P687" s="195"/>
      <c r="Q687" s="171"/>
      <c r="R687" s="171"/>
      <c r="S687" s="194"/>
      <c r="T687" s="195"/>
      <c r="U687" s="171"/>
      <c r="V687" s="171"/>
      <c r="W687" s="194"/>
      <c r="X687" s="195"/>
      <c r="Y687" s="171"/>
      <c r="Z687" s="171"/>
      <c r="AA687" s="194"/>
      <c r="AB687" s="195"/>
      <c r="AC687" s="171"/>
      <c r="AD687" s="171"/>
      <c r="AE687" s="194"/>
      <c r="AF687" s="195"/>
      <c r="AG687" s="171"/>
      <c r="AH687" s="171"/>
      <c r="AI687" s="194"/>
      <c r="AJ687" s="196"/>
    </row>
    <row r="688" spans="2:36">
      <c r="B688" s="166"/>
      <c r="C688" s="167"/>
      <c r="D688" s="171"/>
      <c r="E688" s="171"/>
      <c r="F688" s="171"/>
      <c r="G688" s="172"/>
      <c r="H688" s="173"/>
      <c r="I688" s="193"/>
      <c r="J688" s="171"/>
      <c r="K688" s="194"/>
      <c r="L688" s="173"/>
      <c r="M688" s="171"/>
      <c r="N688" s="171"/>
      <c r="O688" s="194"/>
      <c r="P688" s="195"/>
      <c r="Q688" s="171"/>
      <c r="R688" s="171"/>
      <c r="S688" s="194"/>
      <c r="T688" s="195"/>
      <c r="U688" s="171"/>
      <c r="V688" s="171"/>
      <c r="W688" s="194"/>
      <c r="X688" s="195"/>
      <c r="Y688" s="171"/>
      <c r="Z688" s="171"/>
      <c r="AA688" s="194"/>
      <c r="AB688" s="195"/>
      <c r="AC688" s="171"/>
      <c r="AD688" s="171"/>
      <c r="AE688" s="194"/>
      <c r="AF688" s="195"/>
      <c r="AG688" s="171"/>
      <c r="AH688" s="171"/>
      <c r="AI688" s="194"/>
      <c r="AJ688" s="196"/>
    </row>
    <row r="689" spans="2:36">
      <c r="B689" s="166"/>
      <c r="C689" s="167"/>
      <c r="D689" s="171"/>
      <c r="E689" s="171"/>
      <c r="F689" s="171"/>
      <c r="G689" s="172"/>
      <c r="H689" s="173"/>
      <c r="I689" s="193"/>
      <c r="J689" s="171"/>
      <c r="K689" s="194"/>
      <c r="L689" s="173"/>
      <c r="M689" s="171"/>
      <c r="N689" s="171"/>
      <c r="O689" s="194"/>
      <c r="P689" s="195"/>
      <c r="Q689" s="171"/>
      <c r="R689" s="171"/>
      <c r="S689" s="194"/>
      <c r="T689" s="195"/>
      <c r="U689" s="171"/>
      <c r="V689" s="171"/>
      <c r="W689" s="194"/>
      <c r="X689" s="195"/>
      <c r="Y689" s="171"/>
      <c r="Z689" s="171"/>
      <c r="AA689" s="194"/>
      <c r="AB689" s="195"/>
      <c r="AC689" s="171"/>
      <c r="AD689" s="171"/>
      <c r="AE689" s="194"/>
      <c r="AF689" s="195"/>
      <c r="AG689" s="171"/>
      <c r="AH689" s="171"/>
      <c r="AI689" s="194"/>
      <c r="AJ689" s="196"/>
    </row>
    <row r="690" spans="2:36">
      <c r="B690" s="166"/>
      <c r="C690" s="167"/>
      <c r="D690" s="171"/>
      <c r="E690" s="171"/>
      <c r="F690" s="171"/>
      <c r="G690" s="172"/>
      <c r="H690" s="173"/>
      <c r="I690" s="193"/>
      <c r="J690" s="171"/>
      <c r="K690" s="194"/>
      <c r="L690" s="173"/>
      <c r="M690" s="171"/>
      <c r="N690" s="171"/>
      <c r="O690" s="194"/>
      <c r="P690" s="195"/>
      <c r="Q690" s="171"/>
      <c r="R690" s="171"/>
      <c r="S690" s="194"/>
      <c r="T690" s="195"/>
      <c r="U690" s="171"/>
      <c r="V690" s="171"/>
      <c r="W690" s="194"/>
      <c r="X690" s="195"/>
      <c r="Y690" s="171"/>
      <c r="Z690" s="171"/>
      <c r="AA690" s="194"/>
      <c r="AB690" s="195"/>
      <c r="AC690" s="171"/>
      <c r="AD690" s="171"/>
      <c r="AE690" s="194"/>
      <c r="AF690" s="195"/>
      <c r="AG690" s="171"/>
      <c r="AH690" s="171"/>
      <c r="AI690" s="194"/>
      <c r="AJ690" s="196"/>
    </row>
    <row r="691" spans="2:36">
      <c r="B691" s="166"/>
      <c r="C691" s="167"/>
      <c r="D691" s="171"/>
      <c r="E691" s="171"/>
      <c r="F691" s="171"/>
      <c r="G691" s="172"/>
      <c r="H691" s="173"/>
      <c r="I691" s="193"/>
      <c r="J691" s="171"/>
      <c r="K691" s="194"/>
      <c r="L691" s="173"/>
      <c r="M691" s="171"/>
      <c r="N691" s="171"/>
      <c r="O691" s="194"/>
      <c r="P691" s="195"/>
      <c r="Q691" s="171"/>
      <c r="R691" s="171"/>
      <c r="S691" s="194"/>
      <c r="T691" s="195"/>
      <c r="U691" s="171"/>
      <c r="V691" s="171"/>
      <c r="W691" s="194"/>
      <c r="X691" s="195"/>
      <c r="Y691" s="171"/>
      <c r="Z691" s="171"/>
      <c r="AA691" s="194"/>
      <c r="AB691" s="195"/>
      <c r="AC691" s="171"/>
      <c r="AD691" s="171"/>
      <c r="AE691" s="194"/>
      <c r="AF691" s="195"/>
      <c r="AG691" s="171"/>
      <c r="AH691" s="171"/>
      <c r="AI691" s="194"/>
      <c r="AJ691" s="196"/>
    </row>
    <row r="692" spans="2:36">
      <c r="B692" s="166"/>
      <c r="C692" s="167"/>
      <c r="D692" s="171"/>
      <c r="E692" s="171"/>
      <c r="F692" s="171"/>
      <c r="G692" s="172"/>
      <c r="H692" s="173"/>
      <c r="I692" s="193"/>
      <c r="J692" s="171"/>
      <c r="K692" s="194"/>
      <c r="L692" s="173"/>
      <c r="M692" s="171"/>
      <c r="N692" s="171"/>
      <c r="O692" s="194"/>
      <c r="P692" s="195"/>
      <c r="Q692" s="171"/>
      <c r="R692" s="171"/>
      <c r="S692" s="194"/>
      <c r="T692" s="195"/>
      <c r="U692" s="171"/>
      <c r="V692" s="171"/>
      <c r="W692" s="194"/>
      <c r="X692" s="195"/>
      <c r="Y692" s="171"/>
      <c r="Z692" s="171"/>
      <c r="AA692" s="194"/>
      <c r="AB692" s="195"/>
      <c r="AC692" s="171"/>
      <c r="AD692" s="171"/>
      <c r="AE692" s="194"/>
      <c r="AF692" s="195"/>
      <c r="AG692" s="171"/>
      <c r="AH692" s="171"/>
      <c r="AI692" s="194"/>
      <c r="AJ692" s="196"/>
    </row>
    <row r="693" spans="2:36">
      <c r="B693" s="166"/>
      <c r="C693" s="167"/>
      <c r="D693" s="171"/>
      <c r="E693" s="171"/>
      <c r="F693" s="171"/>
      <c r="G693" s="172"/>
      <c r="H693" s="173"/>
      <c r="I693" s="193"/>
      <c r="J693" s="171"/>
      <c r="K693" s="194"/>
      <c r="L693" s="173"/>
      <c r="M693" s="171"/>
      <c r="N693" s="171"/>
      <c r="O693" s="194"/>
      <c r="P693" s="195"/>
      <c r="Q693" s="171"/>
      <c r="R693" s="171"/>
      <c r="S693" s="194"/>
      <c r="T693" s="195"/>
      <c r="U693" s="171"/>
      <c r="V693" s="171"/>
      <c r="W693" s="194"/>
      <c r="X693" s="195"/>
      <c r="Y693" s="171"/>
      <c r="Z693" s="171"/>
      <c r="AA693" s="194"/>
      <c r="AB693" s="195"/>
      <c r="AC693" s="171"/>
      <c r="AD693" s="171"/>
      <c r="AE693" s="194"/>
      <c r="AF693" s="195"/>
      <c r="AG693" s="171"/>
      <c r="AH693" s="171"/>
      <c r="AI693" s="194"/>
      <c r="AJ693" s="196"/>
    </row>
    <row r="694" spans="2:36">
      <c r="B694" s="166"/>
      <c r="C694" s="167"/>
      <c r="D694" s="171"/>
      <c r="E694" s="171"/>
      <c r="F694" s="171"/>
      <c r="G694" s="172"/>
      <c r="H694" s="173"/>
      <c r="I694" s="193"/>
      <c r="J694" s="171"/>
      <c r="K694" s="194"/>
      <c r="L694" s="173"/>
      <c r="M694" s="171"/>
      <c r="N694" s="171"/>
      <c r="O694" s="194"/>
      <c r="P694" s="195"/>
      <c r="Q694" s="171"/>
      <c r="R694" s="171"/>
      <c r="S694" s="194"/>
      <c r="T694" s="195"/>
      <c r="U694" s="171"/>
      <c r="V694" s="171"/>
      <c r="W694" s="194"/>
      <c r="X694" s="195"/>
      <c r="Y694" s="171"/>
      <c r="Z694" s="171"/>
      <c r="AA694" s="194"/>
      <c r="AB694" s="195"/>
      <c r="AC694" s="171"/>
      <c r="AD694" s="171"/>
      <c r="AE694" s="194"/>
      <c r="AF694" s="195"/>
      <c r="AG694" s="171"/>
      <c r="AH694" s="171"/>
      <c r="AI694" s="194"/>
      <c r="AJ694" s="196"/>
    </row>
    <row r="695" spans="2:36">
      <c r="B695" s="166"/>
      <c r="C695" s="167"/>
      <c r="D695" s="171"/>
      <c r="E695" s="171"/>
      <c r="F695" s="171"/>
      <c r="G695" s="172"/>
      <c r="H695" s="173"/>
      <c r="I695" s="193"/>
      <c r="J695" s="171"/>
      <c r="K695" s="194"/>
      <c r="L695" s="173"/>
      <c r="M695" s="171"/>
      <c r="N695" s="171"/>
      <c r="O695" s="194"/>
      <c r="P695" s="195"/>
      <c r="Q695" s="171"/>
      <c r="R695" s="171"/>
      <c r="S695" s="194"/>
      <c r="T695" s="195"/>
      <c r="U695" s="171"/>
      <c r="V695" s="171"/>
      <c r="W695" s="194"/>
      <c r="X695" s="195"/>
      <c r="Y695" s="171"/>
      <c r="Z695" s="171"/>
      <c r="AA695" s="194"/>
      <c r="AB695" s="195"/>
      <c r="AC695" s="171"/>
      <c r="AD695" s="171"/>
      <c r="AE695" s="194"/>
      <c r="AF695" s="195"/>
      <c r="AG695" s="171"/>
      <c r="AH695" s="171"/>
      <c r="AI695" s="194"/>
      <c r="AJ695" s="196"/>
    </row>
    <row r="696" spans="2:36">
      <c r="B696" s="166"/>
      <c r="C696" s="167"/>
      <c r="D696" s="171"/>
      <c r="E696" s="171"/>
      <c r="F696" s="171"/>
      <c r="G696" s="172"/>
      <c r="H696" s="173"/>
      <c r="I696" s="193"/>
      <c r="J696" s="171"/>
      <c r="K696" s="194"/>
      <c r="L696" s="173"/>
      <c r="M696" s="171"/>
      <c r="N696" s="171"/>
      <c r="O696" s="194"/>
      <c r="P696" s="195"/>
      <c r="Q696" s="171"/>
      <c r="R696" s="171"/>
      <c r="S696" s="194"/>
      <c r="T696" s="195"/>
      <c r="U696" s="171"/>
      <c r="V696" s="171"/>
      <c r="W696" s="194"/>
      <c r="X696" s="195"/>
      <c r="Y696" s="171"/>
      <c r="Z696" s="171"/>
      <c r="AA696" s="194"/>
      <c r="AB696" s="195"/>
      <c r="AC696" s="171"/>
      <c r="AD696" s="171"/>
      <c r="AE696" s="194"/>
      <c r="AF696" s="195"/>
      <c r="AG696" s="171"/>
      <c r="AH696" s="171"/>
      <c r="AI696" s="194"/>
      <c r="AJ696" s="196"/>
    </row>
    <row r="697" spans="2:36">
      <c r="B697" s="166"/>
      <c r="C697" s="167"/>
      <c r="D697" s="171"/>
      <c r="E697" s="171"/>
      <c r="F697" s="171"/>
      <c r="G697" s="172"/>
      <c r="H697" s="173"/>
      <c r="I697" s="193"/>
      <c r="J697" s="171"/>
      <c r="K697" s="194"/>
      <c r="L697" s="173"/>
      <c r="M697" s="171"/>
      <c r="N697" s="171"/>
      <c r="O697" s="194"/>
      <c r="P697" s="195"/>
      <c r="Q697" s="171"/>
      <c r="R697" s="171"/>
      <c r="S697" s="194"/>
      <c r="T697" s="195"/>
      <c r="U697" s="171"/>
      <c r="V697" s="171"/>
      <c r="W697" s="194"/>
      <c r="X697" s="195"/>
      <c r="Y697" s="171"/>
      <c r="Z697" s="171"/>
      <c r="AA697" s="194"/>
      <c r="AB697" s="195"/>
      <c r="AC697" s="171"/>
      <c r="AD697" s="171"/>
      <c r="AE697" s="194"/>
      <c r="AF697" s="195"/>
      <c r="AG697" s="171"/>
      <c r="AH697" s="171"/>
      <c r="AI697" s="194"/>
      <c r="AJ697" s="196"/>
    </row>
    <row r="698" spans="2:36">
      <c r="B698" s="166"/>
      <c r="C698" s="167"/>
      <c r="D698" s="171"/>
      <c r="E698" s="171"/>
      <c r="F698" s="171"/>
      <c r="G698" s="172"/>
      <c r="H698" s="173"/>
      <c r="I698" s="193"/>
      <c r="J698" s="171"/>
      <c r="K698" s="194"/>
      <c r="L698" s="173"/>
      <c r="M698" s="171"/>
      <c r="N698" s="171"/>
      <c r="O698" s="194"/>
      <c r="P698" s="195"/>
      <c r="Q698" s="171"/>
      <c r="R698" s="171"/>
      <c r="S698" s="194"/>
      <c r="T698" s="195"/>
      <c r="U698" s="171"/>
      <c r="V698" s="171"/>
      <c r="W698" s="194"/>
      <c r="X698" s="195"/>
      <c r="Y698" s="171"/>
      <c r="Z698" s="171"/>
      <c r="AA698" s="194"/>
      <c r="AB698" s="195"/>
      <c r="AC698" s="171"/>
      <c r="AD698" s="171"/>
      <c r="AE698" s="194"/>
      <c r="AF698" s="195"/>
      <c r="AG698" s="171"/>
      <c r="AH698" s="171"/>
      <c r="AI698" s="194"/>
      <c r="AJ698" s="196"/>
    </row>
    <row r="699" spans="2:36">
      <c r="B699" s="166"/>
      <c r="C699" s="167"/>
      <c r="D699" s="171"/>
      <c r="E699" s="171"/>
      <c r="F699" s="171"/>
      <c r="G699" s="172"/>
      <c r="H699" s="173"/>
      <c r="I699" s="193"/>
      <c r="J699" s="171"/>
      <c r="K699" s="194"/>
      <c r="L699" s="173"/>
      <c r="M699" s="171"/>
      <c r="N699" s="171"/>
      <c r="O699" s="194"/>
      <c r="P699" s="195"/>
      <c r="Q699" s="171"/>
      <c r="R699" s="171"/>
      <c r="S699" s="194"/>
      <c r="T699" s="195"/>
      <c r="U699" s="171"/>
      <c r="V699" s="171"/>
      <c r="W699" s="194"/>
      <c r="X699" s="195"/>
      <c r="Y699" s="171"/>
      <c r="Z699" s="171"/>
      <c r="AA699" s="194"/>
      <c r="AB699" s="195"/>
      <c r="AC699" s="171"/>
      <c r="AD699" s="171"/>
      <c r="AE699" s="194"/>
      <c r="AF699" s="195"/>
      <c r="AG699" s="171"/>
      <c r="AH699" s="171"/>
      <c r="AI699" s="194"/>
      <c r="AJ699" s="196"/>
    </row>
    <row r="700" spans="2:36">
      <c r="B700" s="166"/>
      <c r="C700" s="167"/>
      <c r="D700" s="171"/>
      <c r="E700" s="171"/>
      <c r="F700" s="171"/>
      <c r="G700" s="172"/>
      <c r="H700" s="173"/>
      <c r="I700" s="193"/>
      <c r="J700" s="171"/>
      <c r="K700" s="194"/>
      <c r="L700" s="173"/>
      <c r="M700" s="171"/>
      <c r="N700" s="171"/>
      <c r="O700" s="194"/>
      <c r="P700" s="195"/>
      <c r="Q700" s="171"/>
      <c r="R700" s="171"/>
      <c r="S700" s="194"/>
      <c r="T700" s="195"/>
      <c r="U700" s="171"/>
      <c r="V700" s="171"/>
      <c r="W700" s="194"/>
      <c r="X700" s="195"/>
      <c r="Y700" s="171"/>
      <c r="Z700" s="171"/>
      <c r="AA700" s="194"/>
      <c r="AB700" s="195"/>
      <c r="AC700" s="171"/>
      <c r="AD700" s="171"/>
      <c r="AE700" s="194"/>
      <c r="AF700" s="195"/>
      <c r="AG700" s="171"/>
      <c r="AH700" s="171"/>
      <c r="AI700" s="194"/>
      <c r="AJ700" s="196"/>
    </row>
    <row r="701" spans="2:36">
      <c r="B701" s="166"/>
      <c r="C701" s="167"/>
      <c r="D701" s="171"/>
      <c r="E701" s="171"/>
      <c r="F701" s="171"/>
      <c r="G701" s="172"/>
      <c r="H701" s="173"/>
      <c r="I701" s="193"/>
      <c r="J701" s="171"/>
      <c r="K701" s="194"/>
      <c r="L701" s="173"/>
      <c r="M701" s="171"/>
      <c r="N701" s="171"/>
      <c r="O701" s="194"/>
      <c r="P701" s="195"/>
      <c r="Q701" s="171"/>
      <c r="R701" s="171"/>
      <c r="S701" s="194"/>
      <c r="T701" s="195"/>
      <c r="U701" s="171"/>
      <c r="V701" s="171"/>
      <c r="W701" s="194"/>
      <c r="X701" s="195"/>
      <c r="Y701" s="171"/>
      <c r="Z701" s="171"/>
      <c r="AA701" s="194"/>
      <c r="AB701" s="195"/>
      <c r="AC701" s="171"/>
      <c r="AD701" s="171"/>
      <c r="AE701" s="194"/>
      <c r="AF701" s="195"/>
      <c r="AG701" s="171"/>
      <c r="AH701" s="171"/>
      <c r="AI701" s="194"/>
      <c r="AJ701" s="196"/>
    </row>
    <row r="702" spans="2:36">
      <c r="B702" s="166"/>
      <c r="C702" s="167"/>
      <c r="D702" s="171"/>
      <c r="E702" s="171"/>
      <c r="F702" s="171"/>
      <c r="G702" s="172"/>
      <c r="H702" s="173"/>
      <c r="I702" s="193"/>
      <c r="J702" s="171"/>
      <c r="K702" s="194"/>
      <c r="L702" s="173"/>
      <c r="M702" s="171"/>
      <c r="N702" s="171"/>
      <c r="O702" s="194"/>
      <c r="P702" s="195"/>
      <c r="Q702" s="171"/>
      <c r="R702" s="171"/>
      <c r="S702" s="194"/>
      <c r="T702" s="195"/>
      <c r="U702" s="171"/>
      <c r="V702" s="171"/>
      <c r="W702" s="194"/>
      <c r="X702" s="195"/>
      <c r="Y702" s="171"/>
      <c r="Z702" s="171"/>
      <c r="AA702" s="194"/>
      <c r="AB702" s="195"/>
      <c r="AC702" s="171"/>
      <c r="AD702" s="171"/>
      <c r="AE702" s="194"/>
      <c r="AF702" s="195"/>
      <c r="AG702" s="171"/>
      <c r="AH702" s="171"/>
      <c r="AI702" s="194"/>
      <c r="AJ702" s="196"/>
    </row>
    <row r="703" spans="2:36">
      <c r="B703" s="166"/>
      <c r="C703" s="167"/>
      <c r="D703" s="171"/>
      <c r="E703" s="171"/>
      <c r="F703" s="171"/>
      <c r="G703" s="172"/>
      <c r="H703" s="173"/>
      <c r="I703" s="193"/>
      <c r="J703" s="171"/>
      <c r="K703" s="194"/>
      <c r="L703" s="173"/>
      <c r="M703" s="171"/>
      <c r="N703" s="171"/>
      <c r="O703" s="194"/>
      <c r="P703" s="195"/>
      <c r="Q703" s="171"/>
      <c r="R703" s="171"/>
      <c r="S703" s="194"/>
      <c r="T703" s="195"/>
      <c r="U703" s="171"/>
      <c r="V703" s="171"/>
      <c r="W703" s="194"/>
      <c r="X703" s="195"/>
      <c r="Y703" s="171"/>
      <c r="Z703" s="171"/>
      <c r="AA703" s="194"/>
      <c r="AB703" s="195"/>
      <c r="AC703" s="171"/>
      <c r="AD703" s="171"/>
      <c r="AE703" s="194"/>
      <c r="AF703" s="195"/>
      <c r="AG703" s="171"/>
      <c r="AH703" s="171"/>
      <c r="AI703" s="194"/>
      <c r="AJ703" s="196"/>
    </row>
    <row r="704" spans="2:36">
      <c r="B704" s="166"/>
      <c r="C704" s="167"/>
      <c r="D704" s="171"/>
      <c r="E704" s="171"/>
      <c r="F704" s="171"/>
      <c r="G704" s="172"/>
      <c r="H704" s="173"/>
      <c r="I704" s="193"/>
      <c r="J704" s="171"/>
      <c r="K704" s="194"/>
      <c r="L704" s="173"/>
      <c r="M704" s="171"/>
      <c r="N704" s="171"/>
      <c r="O704" s="194"/>
      <c r="P704" s="195"/>
      <c r="Q704" s="171"/>
      <c r="R704" s="171"/>
      <c r="S704" s="194"/>
      <c r="T704" s="195"/>
      <c r="U704" s="171"/>
      <c r="V704" s="171"/>
      <c r="W704" s="194"/>
      <c r="X704" s="195"/>
      <c r="Y704" s="171"/>
      <c r="Z704" s="171"/>
      <c r="AA704" s="194"/>
      <c r="AB704" s="195"/>
      <c r="AC704" s="171"/>
      <c r="AD704" s="171"/>
      <c r="AE704" s="194"/>
      <c r="AF704" s="195"/>
      <c r="AG704" s="171"/>
      <c r="AH704" s="171"/>
      <c r="AI704" s="194"/>
      <c r="AJ704" s="196"/>
    </row>
    <row r="705" spans="2:36">
      <c r="B705" s="166"/>
      <c r="C705" s="167"/>
      <c r="D705" s="171"/>
      <c r="E705" s="171"/>
      <c r="F705" s="171"/>
      <c r="G705" s="172"/>
      <c r="H705" s="173"/>
      <c r="I705" s="193"/>
      <c r="J705" s="171"/>
      <c r="K705" s="194"/>
      <c r="L705" s="173"/>
      <c r="M705" s="171"/>
      <c r="N705" s="171"/>
      <c r="O705" s="194"/>
      <c r="P705" s="195"/>
      <c r="Q705" s="171"/>
      <c r="R705" s="171"/>
      <c r="S705" s="194"/>
      <c r="T705" s="195"/>
      <c r="U705" s="171"/>
      <c r="V705" s="171"/>
      <c r="W705" s="194"/>
      <c r="X705" s="195"/>
      <c r="Y705" s="171"/>
      <c r="Z705" s="171"/>
      <c r="AA705" s="194"/>
      <c r="AB705" s="195"/>
      <c r="AC705" s="171"/>
      <c r="AD705" s="171"/>
      <c r="AE705" s="194"/>
      <c r="AF705" s="195"/>
      <c r="AG705" s="171"/>
      <c r="AH705" s="171"/>
      <c r="AI705" s="194"/>
      <c r="AJ705" s="196"/>
    </row>
    <row r="706" spans="2:36">
      <c r="B706" s="166"/>
      <c r="C706" s="167"/>
      <c r="D706" s="171"/>
      <c r="E706" s="171"/>
      <c r="F706" s="171"/>
      <c r="G706" s="172"/>
      <c r="H706" s="173"/>
      <c r="I706" s="193"/>
      <c r="J706" s="171"/>
      <c r="K706" s="194"/>
      <c r="L706" s="173"/>
      <c r="M706" s="171"/>
      <c r="N706" s="171"/>
      <c r="O706" s="194"/>
      <c r="P706" s="195"/>
      <c r="Q706" s="171"/>
      <c r="R706" s="171"/>
      <c r="S706" s="194"/>
      <c r="T706" s="195"/>
      <c r="U706" s="171"/>
      <c r="V706" s="171"/>
      <c r="W706" s="194"/>
      <c r="X706" s="195"/>
      <c r="Y706" s="171"/>
      <c r="Z706" s="171"/>
      <c r="AA706" s="194"/>
      <c r="AB706" s="195"/>
      <c r="AC706" s="171"/>
      <c r="AD706" s="171"/>
      <c r="AE706" s="194"/>
      <c r="AF706" s="195"/>
      <c r="AG706" s="171"/>
      <c r="AH706" s="171"/>
      <c r="AI706" s="194"/>
      <c r="AJ706" s="196"/>
    </row>
    <row r="707" spans="2:36">
      <c r="B707" s="166"/>
      <c r="C707" s="167"/>
      <c r="D707" s="171"/>
      <c r="E707" s="171"/>
      <c r="F707" s="171"/>
      <c r="G707" s="172"/>
      <c r="H707" s="173"/>
      <c r="I707" s="193"/>
      <c r="J707" s="171"/>
      <c r="K707" s="194"/>
      <c r="L707" s="173"/>
      <c r="M707" s="171"/>
      <c r="N707" s="171"/>
      <c r="O707" s="194"/>
      <c r="P707" s="195"/>
      <c r="Q707" s="171"/>
      <c r="R707" s="171"/>
      <c r="S707" s="194"/>
      <c r="T707" s="195"/>
      <c r="U707" s="171"/>
      <c r="V707" s="171"/>
      <c r="W707" s="194"/>
      <c r="X707" s="195"/>
      <c r="Y707" s="171"/>
      <c r="Z707" s="171"/>
      <c r="AA707" s="194"/>
      <c r="AB707" s="195"/>
      <c r="AC707" s="171"/>
      <c r="AD707" s="171"/>
      <c r="AE707" s="194"/>
      <c r="AF707" s="195"/>
      <c r="AG707" s="171"/>
      <c r="AH707" s="171"/>
      <c r="AI707" s="194"/>
      <c r="AJ707" s="196"/>
    </row>
    <row r="708" spans="2:36">
      <c r="B708" s="166"/>
      <c r="C708" s="167"/>
      <c r="D708" s="171"/>
      <c r="E708" s="171"/>
      <c r="F708" s="171"/>
      <c r="G708" s="172"/>
      <c r="H708" s="173"/>
      <c r="I708" s="193"/>
      <c r="J708" s="171"/>
      <c r="K708" s="194"/>
      <c r="L708" s="173"/>
      <c r="M708" s="171"/>
      <c r="N708" s="171"/>
      <c r="O708" s="194"/>
      <c r="P708" s="195"/>
      <c r="Q708" s="171"/>
      <c r="R708" s="171"/>
      <c r="S708" s="194"/>
      <c r="T708" s="195"/>
      <c r="U708" s="171"/>
      <c r="V708" s="171"/>
      <c r="W708" s="194"/>
      <c r="X708" s="195"/>
      <c r="Y708" s="171"/>
      <c r="Z708" s="171"/>
      <c r="AA708" s="194"/>
      <c r="AB708" s="195"/>
      <c r="AC708" s="171"/>
      <c r="AD708" s="171"/>
      <c r="AE708" s="194"/>
      <c r="AF708" s="195"/>
      <c r="AG708" s="171"/>
      <c r="AH708" s="171"/>
      <c r="AI708" s="194"/>
      <c r="AJ708" s="196"/>
    </row>
    <row r="709" spans="2:36">
      <c r="B709" s="166"/>
      <c r="C709" s="167"/>
      <c r="D709" s="171"/>
      <c r="E709" s="171"/>
      <c r="F709" s="171"/>
      <c r="G709" s="172"/>
      <c r="H709" s="173"/>
      <c r="I709" s="193"/>
      <c r="J709" s="171"/>
      <c r="K709" s="194"/>
      <c r="L709" s="173"/>
      <c r="M709" s="171"/>
      <c r="N709" s="171"/>
      <c r="O709" s="194"/>
      <c r="P709" s="195"/>
      <c r="Q709" s="171"/>
      <c r="R709" s="171"/>
      <c r="S709" s="194"/>
      <c r="T709" s="195"/>
      <c r="U709" s="171"/>
      <c r="V709" s="171"/>
      <c r="W709" s="194"/>
      <c r="X709" s="195"/>
      <c r="Y709" s="171"/>
      <c r="Z709" s="171"/>
      <c r="AA709" s="194"/>
      <c r="AB709" s="195"/>
      <c r="AC709" s="171"/>
      <c r="AD709" s="171"/>
      <c r="AE709" s="194"/>
      <c r="AF709" s="195"/>
      <c r="AG709" s="171"/>
      <c r="AH709" s="171"/>
      <c r="AI709" s="194"/>
      <c r="AJ709" s="196"/>
    </row>
    <row r="710" spans="2:36">
      <c r="B710" s="166"/>
      <c r="C710" s="167"/>
      <c r="D710" s="171"/>
      <c r="E710" s="171"/>
      <c r="F710" s="171"/>
      <c r="G710" s="172"/>
      <c r="H710" s="173"/>
      <c r="I710" s="193"/>
      <c r="J710" s="171"/>
      <c r="K710" s="194"/>
      <c r="L710" s="173"/>
      <c r="M710" s="171"/>
      <c r="N710" s="171"/>
      <c r="O710" s="194"/>
      <c r="P710" s="195"/>
      <c r="Q710" s="171"/>
      <c r="R710" s="171"/>
      <c r="S710" s="194"/>
      <c r="T710" s="195"/>
      <c r="U710" s="171"/>
      <c r="V710" s="171"/>
      <c r="W710" s="194"/>
      <c r="X710" s="195"/>
      <c r="Y710" s="171"/>
      <c r="Z710" s="171"/>
      <c r="AA710" s="194"/>
      <c r="AB710" s="195"/>
      <c r="AC710" s="171"/>
      <c r="AD710" s="171"/>
      <c r="AE710" s="194"/>
      <c r="AF710" s="195"/>
      <c r="AG710" s="171"/>
      <c r="AH710" s="171"/>
      <c r="AI710" s="194"/>
      <c r="AJ710" s="196"/>
    </row>
    <row r="711" spans="2:36">
      <c r="B711" s="166"/>
      <c r="C711" s="167"/>
      <c r="D711" s="171"/>
      <c r="E711" s="171"/>
      <c r="F711" s="171"/>
      <c r="G711" s="172"/>
      <c r="H711" s="173"/>
      <c r="I711" s="193"/>
      <c r="J711" s="171"/>
      <c r="K711" s="194"/>
      <c r="L711" s="173"/>
      <c r="M711" s="171"/>
      <c r="N711" s="171"/>
      <c r="O711" s="194"/>
      <c r="P711" s="195"/>
      <c r="Q711" s="171"/>
      <c r="R711" s="171"/>
      <c r="S711" s="194"/>
      <c r="T711" s="195"/>
      <c r="U711" s="171"/>
      <c r="V711" s="171"/>
      <c r="W711" s="194"/>
      <c r="X711" s="195"/>
      <c r="Y711" s="171"/>
      <c r="Z711" s="171"/>
      <c r="AA711" s="194"/>
      <c r="AB711" s="195"/>
      <c r="AC711" s="171"/>
      <c r="AD711" s="171"/>
      <c r="AE711" s="194"/>
      <c r="AF711" s="195"/>
      <c r="AG711" s="171"/>
      <c r="AH711" s="171"/>
      <c r="AI711" s="194"/>
      <c r="AJ711" s="196"/>
    </row>
    <row r="712" spans="2:36">
      <c r="B712" s="166"/>
      <c r="C712" s="167"/>
      <c r="D712" s="171"/>
      <c r="E712" s="171"/>
      <c r="F712" s="171"/>
      <c r="G712" s="172"/>
      <c r="H712" s="173"/>
      <c r="I712" s="193"/>
      <c r="J712" s="171"/>
      <c r="K712" s="194"/>
      <c r="L712" s="173"/>
      <c r="M712" s="171"/>
      <c r="N712" s="171"/>
      <c r="O712" s="194"/>
      <c r="P712" s="195"/>
      <c r="Q712" s="171"/>
      <c r="R712" s="171"/>
      <c r="S712" s="194"/>
      <c r="T712" s="195"/>
      <c r="U712" s="171"/>
      <c r="V712" s="171"/>
      <c r="W712" s="194"/>
      <c r="X712" s="195"/>
      <c r="Y712" s="171"/>
      <c r="Z712" s="171"/>
      <c r="AA712" s="194"/>
      <c r="AB712" s="195"/>
      <c r="AC712" s="171"/>
      <c r="AD712" s="171"/>
      <c r="AE712" s="194"/>
      <c r="AF712" s="195"/>
      <c r="AG712" s="171"/>
      <c r="AH712" s="171"/>
      <c r="AI712" s="194"/>
      <c r="AJ712" s="196"/>
    </row>
    <row r="713" spans="2:36">
      <c r="B713" s="166"/>
      <c r="C713" s="167"/>
      <c r="D713" s="171"/>
      <c r="E713" s="171"/>
      <c r="F713" s="171"/>
      <c r="G713" s="172"/>
      <c r="H713" s="173"/>
      <c r="I713" s="193"/>
      <c r="J713" s="171"/>
      <c r="K713" s="194"/>
      <c r="L713" s="173"/>
      <c r="M713" s="171"/>
      <c r="N713" s="171"/>
      <c r="O713" s="194"/>
      <c r="P713" s="195"/>
      <c r="Q713" s="171"/>
      <c r="R713" s="171"/>
      <c r="S713" s="194"/>
      <c r="T713" s="195"/>
      <c r="U713" s="171"/>
      <c r="V713" s="171"/>
      <c r="W713" s="194"/>
      <c r="X713" s="195"/>
      <c r="Y713" s="171"/>
      <c r="Z713" s="171"/>
      <c r="AA713" s="194"/>
      <c r="AB713" s="195"/>
      <c r="AC713" s="171"/>
      <c r="AD713" s="171"/>
      <c r="AE713" s="194"/>
      <c r="AF713" s="195"/>
      <c r="AG713" s="171"/>
      <c r="AH713" s="171"/>
      <c r="AI713" s="194"/>
      <c r="AJ713" s="196"/>
    </row>
    <row r="714" spans="2:36">
      <c r="B714" s="166"/>
      <c r="C714" s="167"/>
      <c r="D714" s="171"/>
      <c r="E714" s="171"/>
      <c r="F714" s="171"/>
      <c r="G714" s="172"/>
      <c r="H714" s="173"/>
      <c r="I714" s="193"/>
      <c r="J714" s="171"/>
      <c r="K714" s="194"/>
      <c r="L714" s="173"/>
      <c r="M714" s="171"/>
      <c r="N714" s="171"/>
      <c r="O714" s="194"/>
      <c r="P714" s="195"/>
      <c r="Q714" s="171"/>
      <c r="R714" s="171"/>
      <c r="S714" s="194"/>
      <c r="T714" s="195"/>
      <c r="U714" s="171"/>
      <c r="V714" s="171"/>
      <c r="W714" s="194"/>
      <c r="X714" s="195"/>
      <c r="Y714" s="171"/>
      <c r="Z714" s="171"/>
      <c r="AA714" s="194"/>
      <c r="AB714" s="195"/>
      <c r="AC714" s="171"/>
      <c r="AD714" s="171"/>
      <c r="AE714" s="194"/>
      <c r="AF714" s="195"/>
      <c r="AG714" s="171"/>
      <c r="AH714" s="171"/>
      <c r="AI714" s="194"/>
      <c r="AJ714" s="196"/>
    </row>
    <row r="715" spans="2:36">
      <c r="B715" s="166"/>
      <c r="C715" s="167"/>
      <c r="D715" s="171"/>
      <c r="E715" s="171"/>
      <c r="F715" s="171"/>
      <c r="G715" s="172"/>
      <c r="H715" s="173"/>
      <c r="I715" s="193"/>
      <c r="J715" s="171"/>
      <c r="K715" s="194"/>
      <c r="L715" s="173"/>
      <c r="M715" s="171"/>
      <c r="N715" s="171"/>
      <c r="O715" s="194"/>
      <c r="P715" s="195"/>
      <c r="Q715" s="171"/>
      <c r="R715" s="171"/>
      <c r="S715" s="194"/>
      <c r="T715" s="195"/>
      <c r="U715" s="171"/>
      <c r="V715" s="171"/>
      <c r="W715" s="194"/>
      <c r="X715" s="195"/>
      <c r="Y715" s="171"/>
      <c r="Z715" s="171"/>
      <c r="AA715" s="194"/>
      <c r="AB715" s="195"/>
      <c r="AC715" s="171"/>
      <c r="AD715" s="171"/>
      <c r="AE715" s="194"/>
      <c r="AF715" s="195"/>
      <c r="AG715" s="171"/>
      <c r="AH715" s="171"/>
      <c r="AI715" s="194"/>
      <c r="AJ715" s="196"/>
    </row>
    <row r="716" spans="2:36">
      <c r="B716" s="166"/>
      <c r="C716" s="167"/>
      <c r="D716" s="171"/>
      <c r="E716" s="171"/>
      <c r="F716" s="171"/>
      <c r="G716" s="172"/>
      <c r="H716" s="173"/>
      <c r="I716" s="193"/>
      <c r="J716" s="171"/>
      <c r="K716" s="194"/>
      <c r="L716" s="173"/>
      <c r="M716" s="171"/>
      <c r="N716" s="171"/>
      <c r="O716" s="194"/>
      <c r="P716" s="195"/>
      <c r="Q716" s="171"/>
      <c r="R716" s="171"/>
      <c r="S716" s="194"/>
      <c r="T716" s="195"/>
      <c r="U716" s="171"/>
      <c r="V716" s="171"/>
      <c r="W716" s="194"/>
      <c r="X716" s="195"/>
      <c r="Y716" s="171"/>
      <c r="Z716" s="171"/>
      <c r="AA716" s="194"/>
      <c r="AB716" s="195"/>
      <c r="AC716" s="171"/>
      <c r="AD716" s="171"/>
      <c r="AE716" s="194"/>
      <c r="AF716" s="195"/>
      <c r="AG716" s="171"/>
      <c r="AH716" s="171"/>
      <c r="AI716" s="194"/>
      <c r="AJ716" s="196"/>
    </row>
    <row r="717" spans="2:36">
      <c r="B717" s="166"/>
      <c r="C717" s="167"/>
      <c r="D717" s="171"/>
      <c r="E717" s="171"/>
      <c r="F717" s="171"/>
      <c r="G717" s="172"/>
      <c r="H717" s="173"/>
      <c r="I717" s="193"/>
      <c r="J717" s="171"/>
      <c r="K717" s="194"/>
      <c r="L717" s="173"/>
      <c r="M717" s="171"/>
      <c r="N717" s="171"/>
      <c r="O717" s="194"/>
      <c r="P717" s="195"/>
      <c r="Q717" s="171"/>
      <c r="R717" s="171"/>
      <c r="S717" s="194"/>
      <c r="T717" s="195"/>
      <c r="U717" s="171"/>
      <c r="V717" s="171"/>
      <c r="W717" s="194"/>
      <c r="X717" s="195"/>
      <c r="Y717" s="171"/>
      <c r="Z717" s="171"/>
      <c r="AA717" s="194"/>
      <c r="AB717" s="195"/>
      <c r="AC717" s="171"/>
      <c r="AD717" s="171"/>
      <c r="AE717" s="194"/>
      <c r="AF717" s="195"/>
      <c r="AG717" s="171"/>
      <c r="AH717" s="171"/>
      <c r="AI717" s="194"/>
      <c r="AJ717" s="196"/>
    </row>
    <row r="718" spans="2:36">
      <c r="B718" s="166"/>
      <c r="C718" s="167"/>
      <c r="D718" s="171"/>
      <c r="E718" s="171"/>
      <c r="F718" s="171"/>
      <c r="G718" s="172"/>
      <c r="H718" s="173"/>
      <c r="I718" s="193"/>
      <c r="J718" s="171"/>
      <c r="K718" s="194"/>
      <c r="L718" s="173"/>
      <c r="M718" s="171"/>
      <c r="N718" s="171"/>
      <c r="O718" s="194"/>
      <c r="P718" s="195"/>
      <c r="Q718" s="171"/>
      <c r="R718" s="171"/>
      <c r="S718" s="194"/>
      <c r="T718" s="195"/>
      <c r="U718" s="171"/>
      <c r="V718" s="171"/>
      <c r="W718" s="194"/>
      <c r="X718" s="195"/>
      <c r="Y718" s="171"/>
      <c r="Z718" s="171"/>
      <c r="AA718" s="194"/>
      <c r="AB718" s="195"/>
      <c r="AC718" s="171"/>
      <c r="AD718" s="171"/>
      <c r="AE718" s="194"/>
      <c r="AF718" s="195"/>
      <c r="AG718" s="171"/>
      <c r="AH718" s="171"/>
      <c r="AI718" s="194"/>
      <c r="AJ718" s="196"/>
    </row>
    <row r="719" spans="2:36">
      <c r="B719" s="166"/>
      <c r="C719" s="167"/>
      <c r="D719" s="171"/>
      <c r="E719" s="171"/>
      <c r="F719" s="171"/>
      <c r="G719" s="172"/>
      <c r="H719" s="173"/>
      <c r="I719" s="193"/>
      <c r="J719" s="171"/>
      <c r="K719" s="194"/>
      <c r="L719" s="173"/>
      <c r="M719" s="171"/>
      <c r="N719" s="171"/>
      <c r="O719" s="194"/>
      <c r="P719" s="195"/>
      <c r="Q719" s="171"/>
      <c r="R719" s="171"/>
      <c r="S719" s="194"/>
      <c r="T719" s="195"/>
      <c r="U719" s="171"/>
      <c r="V719" s="171"/>
      <c r="W719" s="194"/>
      <c r="X719" s="195"/>
      <c r="Y719" s="171"/>
      <c r="Z719" s="171"/>
      <c r="AA719" s="194"/>
      <c r="AB719" s="195"/>
      <c r="AC719" s="171"/>
      <c r="AD719" s="171"/>
      <c r="AE719" s="194"/>
      <c r="AF719" s="195"/>
      <c r="AG719" s="171"/>
      <c r="AH719" s="171"/>
      <c r="AI719" s="194"/>
      <c r="AJ719" s="196"/>
    </row>
    <row r="720" spans="2:36">
      <c r="B720" s="166"/>
      <c r="C720" s="167"/>
      <c r="D720" s="171"/>
      <c r="E720" s="171"/>
      <c r="F720" s="171"/>
      <c r="G720" s="172"/>
      <c r="H720" s="173"/>
      <c r="I720" s="193"/>
      <c r="J720" s="171"/>
      <c r="K720" s="194"/>
      <c r="L720" s="173"/>
      <c r="M720" s="171"/>
      <c r="N720" s="171"/>
      <c r="O720" s="194"/>
      <c r="P720" s="195"/>
      <c r="Q720" s="171"/>
      <c r="R720" s="171"/>
      <c r="S720" s="194"/>
      <c r="T720" s="195"/>
      <c r="U720" s="171"/>
      <c r="V720" s="171"/>
      <c r="W720" s="194"/>
      <c r="X720" s="195"/>
      <c r="Y720" s="171"/>
      <c r="Z720" s="171"/>
      <c r="AA720" s="194"/>
      <c r="AB720" s="195"/>
      <c r="AC720" s="171"/>
      <c r="AD720" s="171"/>
      <c r="AE720" s="194"/>
      <c r="AF720" s="195"/>
      <c r="AG720" s="171"/>
      <c r="AH720" s="171"/>
      <c r="AI720" s="194"/>
      <c r="AJ720" s="196"/>
    </row>
    <row r="721" spans="2:36">
      <c r="B721" s="166"/>
      <c r="C721" s="167"/>
      <c r="D721" s="171"/>
      <c r="E721" s="171"/>
      <c r="F721" s="171"/>
      <c r="G721" s="172"/>
      <c r="H721" s="173"/>
      <c r="I721" s="193"/>
      <c r="J721" s="171"/>
      <c r="K721" s="194"/>
      <c r="L721" s="173"/>
      <c r="M721" s="171"/>
      <c r="N721" s="171"/>
      <c r="O721" s="194"/>
      <c r="P721" s="195"/>
      <c r="Q721" s="171"/>
      <c r="R721" s="171"/>
      <c r="S721" s="194"/>
      <c r="T721" s="195"/>
      <c r="U721" s="171"/>
      <c r="V721" s="171"/>
      <c r="W721" s="194"/>
      <c r="X721" s="195"/>
      <c r="Y721" s="171"/>
      <c r="Z721" s="171"/>
      <c r="AA721" s="194"/>
      <c r="AB721" s="195"/>
      <c r="AC721" s="171"/>
      <c r="AD721" s="171"/>
      <c r="AE721" s="194"/>
      <c r="AF721" s="195"/>
      <c r="AG721" s="171"/>
      <c r="AH721" s="171"/>
      <c r="AI721" s="194"/>
      <c r="AJ721" s="196"/>
    </row>
    <row r="722" spans="2:36">
      <c r="B722" s="166"/>
      <c r="C722" s="167"/>
      <c r="D722" s="171"/>
      <c r="E722" s="171"/>
      <c r="F722" s="171"/>
      <c r="G722" s="172"/>
      <c r="H722" s="173"/>
      <c r="I722" s="193"/>
      <c r="J722" s="171"/>
      <c r="K722" s="194"/>
      <c r="L722" s="173"/>
      <c r="M722" s="171"/>
      <c r="N722" s="171"/>
      <c r="O722" s="194"/>
      <c r="P722" s="195"/>
      <c r="Q722" s="171"/>
      <c r="R722" s="171"/>
      <c r="S722" s="194"/>
      <c r="T722" s="195"/>
      <c r="U722" s="171"/>
      <c r="V722" s="171"/>
      <c r="W722" s="194"/>
      <c r="X722" s="195"/>
      <c r="Y722" s="171"/>
      <c r="Z722" s="171"/>
      <c r="AA722" s="194"/>
      <c r="AB722" s="195"/>
      <c r="AC722" s="171"/>
      <c r="AD722" s="171"/>
      <c r="AE722" s="194"/>
      <c r="AF722" s="195"/>
      <c r="AG722" s="171"/>
      <c r="AH722" s="171"/>
      <c r="AI722" s="194"/>
      <c r="AJ722" s="196"/>
    </row>
    <row r="723" spans="2:36">
      <c r="B723" s="166"/>
      <c r="C723" s="167"/>
      <c r="D723" s="171"/>
      <c r="E723" s="171"/>
      <c r="F723" s="171"/>
      <c r="G723" s="172"/>
      <c r="H723" s="173"/>
      <c r="I723" s="193"/>
      <c r="J723" s="171"/>
      <c r="K723" s="194"/>
      <c r="L723" s="173"/>
      <c r="M723" s="171"/>
      <c r="N723" s="171"/>
      <c r="O723" s="194"/>
      <c r="P723" s="195"/>
      <c r="Q723" s="171"/>
      <c r="R723" s="171"/>
      <c r="S723" s="194"/>
      <c r="T723" s="195"/>
      <c r="U723" s="171"/>
      <c r="V723" s="171"/>
      <c r="W723" s="194"/>
      <c r="X723" s="195"/>
      <c r="Y723" s="171"/>
      <c r="Z723" s="171"/>
      <c r="AA723" s="194"/>
      <c r="AB723" s="195"/>
      <c r="AC723" s="171"/>
      <c r="AD723" s="171"/>
      <c r="AE723" s="194"/>
      <c r="AF723" s="195"/>
      <c r="AG723" s="171"/>
      <c r="AH723" s="171"/>
      <c r="AI723" s="194"/>
      <c r="AJ723" s="196"/>
    </row>
    <row r="724" spans="2:36">
      <c r="B724" s="166"/>
      <c r="C724" s="167"/>
      <c r="D724" s="171"/>
      <c r="E724" s="171"/>
      <c r="F724" s="171"/>
      <c r="G724" s="172"/>
      <c r="H724" s="173"/>
      <c r="I724" s="193"/>
      <c r="J724" s="171"/>
      <c r="K724" s="194"/>
      <c r="L724" s="173"/>
      <c r="M724" s="171"/>
      <c r="N724" s="171"/>
      <c r="O724" s="194"/>
      <c r="P724" s="195"/>
      <c r="Q724" s="171"/>
      <c r="R724" s="171"/>
      <c r="S724" s="194"/>
      <c r="T724" s="195"/>
      <c r="U724" s="171"/>
      <c r="V724" s="171"/>
      <c r="W724" s="194"/>
      <c r="X724" s="195"/>
      <c r="Y724" s="171"/>
      <c r="Z724" s="171"/>
      <c r="AA724" s="194"/>
      <c r="AB724" s="195"/>
      <c r="AC724" s="171"/>
      <c r="AD724" s="171"/>
      <c r="AE724" s="194"/>
      <c r="AF724" s="195"/>
      <c r="AG724" s="171"/>
      <c r="AH724" s="171"/>
      <c r="AI724" s="194"/>
      <c r="AJ724" s="196"/>
    </row>
    <row r="725" spans="2:36">
      <c r="B725" s="166"/>
      <c r="C725" s="167"/>
      <c r="D725" s="171"/>
      <c r="E725" s="171"/>
      <c r="F725" s="171"/>
      <c r="G725" s="172"/>
      <c r="H725" s="173"/>
      <c r="I725" s="193"/>
      <c r="J725" s="171"/>
      <c r="K725" s="194"/>
      <c r="L725" s="173"/>
      <c r="M725" s="171"/>
      <c r="N725" s="171"/>
      <c r="O725" s="194"/>
      <c r="P725" s="195"/>
      <c r="Q725" s="171"/>
      <c r="R725" s="171"/>
      <c r="S725" s="194"/>
      <c r="T725" s="195"/>
      <c r="U725" s="171"/>
      <c r="V725" s="171"/>
      <c r="W725" s="194"/>
      <c r="X725" s="195"/>
      <c r="Y725" s="171"/>
      <c r="Z725" s="171"/>
      <c r="AA725" s="194"/>
      <c r="AB725" s="195"/>
      <c r="AC725" s="171"/>
      <c r="AD725" s="171"/>
      <c r="AE725" s="194"/>
      <c r="AF725" s="195"/>
      <c r="AG725" s="171"/>
      <c r="AH725" s="171"/>
      <c r="AI725" s="194"/>
      <c r="AJ725" s="196"/>
    </row>
    <row r="726" spans="2:36">
      <c r="B726" s="166"/>
      <c r="C726" s="167"/>
      <c r="D726" s="171"/>
      <c r="E726" s="171"/>
      <c r="F726" s="171"/>
      <c r="G726" s="172"/>
      <c r="H726" s="173"/>
      <c r="I726" s="193"/>
      <c r="J726" s="171"/>
      <c r="K726" s="194"/>
      <c r="L726" s="173"/>
      <c r="M726" s="171"/>
      <c r="N726" s="171"/>
      <c r="O726" s="194"/>
      <c r="P726" s="195"/>
      <c r="Q726" s="171"/>
      <c r="R726" s="171"/>
      <c r="S726" s="194"/>
      <c r="T726" s="195"/>
      <c r="U726" s="171"/>
      <c r="V726" s="171"/>
      <c r="W726" s="194"/>
      <c r="X726" s="195"/>
      <c r="Y726" s="171"/>
      <c r="Z726" s="171"/>
      <c r="AA726" s="194"/>
      <c r="AB726" s="195"/>
      <c r="AC726" s="171"/>
      <c r="AD726" s="171"/>
      <c r="AE726" s="194"/>
      <c r="AF726" s="195"/>
      <c r="AG726" s="171"/>
      <c r="AH726" s="171"/>
      <c r="AI726" s="194"/>
      <c r="AJ726" s="196"/>
    </row>
    <row r="727" spans="2:36">
      <c r="B727" s="166"/>
      <c r="C727" s="167"/>
      <c r="D727" s="171"/>
      <c r="E727" s="171"/>
      <c r="F727" s="171"/>
      <c r="G727" s="172"/>
      <c r="H727" s="173"/>
      <c r="I727" s="193"/>
      <c r="J727" s="171"/>
      <c r="K727" s="194"/>
      <c r="L727" s="173"/>
      <c r="M727" s="171"/>
      <c r="N727" s="171"/>
      <c r="O727" s="194"/>
      <c r="P727" s="195"/>
      <c r="Q727" s="171"/>
      <c r="R727" s="171"/>
      <c r="S727" s="194"/>
      <c r="T727" s="195"/>
      <c r="U727" s="171"/>
      <c r="V727" s="171"/>
      <c r="W727" s="194"/>
      <c r="X727" s="195"/>
      <c r="Y727" s="171"/>
      <c r="Z727" s="171"/>
      <c r="AA727" s="194"/>
      <c r="AB727" s="195"/>
      <c r="AC727" s="171"/>
      <c r="AD727" s="171"/>
      <c r="AE727" s="194"/>
      <c r="AF727" s="195"/>
      <c r="AG727" s="171"/>
      <c r="AH727" s="171"/>
      <c r="AI727" s="194"/>
      <c r="AJ727" s="196"/>
    </row>
    <row r="728" spans="2:36">
      <c r="B728" s="166"/>
      <c r="C728" s="167"/>
      <c r="D728" s="171"/>
      <c r="E728" s="171"/>
      <c r="F728" s="171"/>
      <c r="G728" s="172"/>
      <c r="H728" s="173"/>
      <c r="I728" s="193"/>
      <c r="J728" s="171"/>
      <c r="K728" s="194"/>
      <c r="L728" s="173"/>
      <c r="M728" s="171"/>
      <c r="N728" s="171"/>
      <c r="O728" s="194"/>
      <c r="P728" s="195"/>
      <c r="Q728" s="171"/>
      <c r="R728" s="171"/>
      <c r="S728" s="194"/>
      <c r="T728" s="195"/>
      <c r="U728" s="171"/>
      <c r="V728" s="171"/>
      <c r="W728" s="194"/>
      <c r="X728" s="195"/>
      <c r="Y728" s="171"/>
      <c r="Z728" s="171"/>
      <c r="AA728" s="194"/>
      <c r="AB728" s="195"/>
      <c r="AC728" s="171"/>
      <c r="AD728" s="171"/>
      <c r="AE728" s="194"/>
      <c r="AF728" s="195"/>
      <c r="AG728" s="171"/>
      <c r="AH728" s="171"/>
      <c r="AI728" s="194"/>
      <c r="AJ728" s="196"/>
    </row>
    <row r="729" spans="2:36">
      <c r="B729" s="166"/>
      <c r="C729" s="167"/>
      <c r="D729" s="171"/>
      <c r="E729" s="171"/>
      <c r="F729" s="171"/>
      <c r="G729" s="172"/>
      <c r="H729" s="173"/>
      <c r="I729" s="193"/>
      <c r="J729" s="171"/>
      <c r="K729" s="194"/>
      <c r="L729" s="173"/>
      <c r="M729" s="171"/>
      <c r="N729" s="171"/>
      <c r="O729" s="194"/>
      <c r="P729" s="195"/>
      <c r="Q729" s="171"/>
      <c r="R729" s="171"/>
      <c r="S729" s="194"/>
      <c r="T729" s="195"/>
      <c r="U729" s="171"/>
      <c r="V729" s="171"/>
      <c r="W729" s="194"/>
      <c r="X729" s="195"/>
      <c r="Y729" s="171"/>
      <c r="Z729" s="171"/>
      <c r="AA729" s="194"/>
      <c r="AB729" s="195"/>
      <c r="AC729" s="171"/>
      <c r="AD729" s="171"/>
      <c r="AE729" s="194"/>
      <c r="AF729" s="195"/>
      <c r="AG729" s="171"/>
      <c r="AH729" s="171"/>
      <c r="AI729" s="194"/>
      <c r="AJ729" s="196"/>
    </row>
    <row r="730" spans="2:36">
      <c r="B730" s="166"/>
      <c r="C730" s="167"/>
      <c r="D730" s="171"/>
      <c r="E730" s="171"/>
      <c r="F730" s="171"/>
      <c r="G730" s="172"/>
      <c r="H730" s="173"/>
      <c r="I730" s="193"/>
      <c r="J730" s="171"/>
      <c r="K730" s="194"/>
      <c r="L730" s="173"/>
      <c r="M730" s="171"/>
      <c r="N730" s="171"/>
      <c r="O730" s="194"/>
      <c r="P730" s="195"/>
      <c r="Q730" s="171"/>
      <c r="R730" s="171"/>
      <c r="S730" s="194"/>
      <c r="T730" s="195"/>
      <c r="U730" s="171"/>
      <c r="V730" s="171"/>
      <c r="W730" s="194"/>
      <c r="X730" s="195"/>
      <c r="Y730" s="171"/>
      <c r="Z730" s="171"/>
      <c r="AA730" s="194"/>
      <c r="AB730" s="195"/>
      <c r="AC730" s="171"/>
      <c r="AD730" s="171"/>
      <c r="AE730" s="194"/>
      <c r="AF730" s="195"/>
      <c r="AG730" s="171"/>
      <c r="AH730" s="171"/>
      <c r="AI730" s="194"/>
      <c r="AJ730" s="196"/>
    </row>
    <row r="731" spans="2:36">
      <c r="B731" s="166"/>
      <c r="C731" s="167"/>
      <c r="D731" s="171"/>
      <c r="E731" s="171"/>
      <c r="F731" s="171"/>
      <c r="G731" s="172"/>
      <c r="H731" s="173"/>
      <c r="I731" s="193"/>
      <c r="J731" s="171"/>
      <c r="K731" s="194"/>
      <c r="L731" s="173"/>
      <c r="M731" s="171"/>
      <c r="N731" s="171"/>
      <c r="O731" s="194"/>
      <c r="P731" s="195"/>
      <c r="Q731" s="171"/>
      <c r="R731" s="171"/>
      <c r="S731" s="194"/>
      <c r="T731" s="195"/>
      <c r="U731" s="171"/>
      <c r="V731" s="171"/>
      <c r="W731" s="194"/>
      <c r="X731" s="195"/>
      <c r="Y731" s="171"/>
      <c r="Z731" s="171"/>
      <c r="AA731" s="194"/>
      <c r="AB731" s="195"/>
      <c r="AC731" s="171"/>
      <c r="AD731" s="171"/>
      <c r="AE731" s="194"/>
      <c r="AF731" s="195"/>
      <c r="AG731" s="171"/>
      <c r="AH731" s="171"/>
      <c r="AI731" s="194"/>
      <c r="AJ731" s="196"/>
    </row>
    <row r="732" spans="2:36">
      <c r="B732" s="166"/>
      <c r="C732" s="167"/>
      <c r="D732" s="171"/>
      <c r="E732" s="171"/>
      <c r="F732" s="171"/>
      <c r="G732" s="172"/>
      <c r="H732" s="173"/>
      <c r="I732" s="193"/>
      <c r="J732" s="171"/>
      <c r="K732" s="194"/>
      <c r="L732" s="173"/>
      <c r="M732" s="171"/>
      <c r="N732" s="171"/>
      <c r="O732" s="194"/>
      <c r="P732" s="195"/>
      <c r="Q732" s="171"/>
      <c r="R732" s="171"/>
      <c r="S732" s="194"/>
      <c r="T732" s="195"/>
      <c r="U732" s="171"/>
      <c r="V732" s="171"/>
      <c r="W732" s="194"/>
      <c r="X732" s="195"/>
      <c r="Y732" s="171"/>
      <c r="Z732" s="171"/>
      <c r="AA732" s="194"/>
      <c r="AB732" s="195"/>
      <c r="AC732" s="171"/>
      <c r="AD732" s="171"/>
      <c r="AE732" s="194"/>
      <c r="AF732" s="195"/>
      <c r="AG732" s="171"/>
      <c r="AH732" s="171"/>
      <c r="AI732" s="194"/>
      <c r="AJ732" s="196"/>
    </row>
    <row r="733" spans="2:36">
      <c r="B733" s="166"/>
      <c r="C733" s="167"/>
      <c r="D733" s="171"/>
      <c r="E733" s="171"/>
      <c r="F733" s="171"/>
      <c r="G733" s="172"/>
      <c r="H733" s="173"/>
      <c r="I733" s="193"/>
      <c r="J733" s="171"/>
      <c r="K733" s="194"/>
      <c r="L733" s="173"/>
      <c r="M733" s="171"/>
      <c r="N733" s="171"/>
      <c r="O733" s="194"/>
      <c r="P733" s="195"/>
      <c r="Q733" s="171"/>
      <c r="R733" s="171"/>
      <c r="S733" s="194"/>
      <c r="T733" s="195"/>
      <c r="U733" s="171"/>
      <c r="V733" s="171"/>
      <c r="W733" s="194"/>
      <c r="X733" s="195"/>
      <c r="Y733" s="171"/>
      <c r="Z733" s="171"/>
      <c r="AA733" s="194"/>
      <c r="AB733" s="195"/>
      <c r="AC733" s="171"/>
      <c r="AD733" s="171"/>
      <c r="AE733" s="194"/>
      <c r="AF733" s="195"/>
      <c r="AG733" s="171"/>
      <c r="AH733" s="171"/>
      <c r="AI733" s="194"/>
      <c r="AJ733" s="196"/>
    </row>
    <row r="734" spans="2:36">
      <c r="B734" s="166"/>
      <c r="C734" s="167"/>
      <c r="D734" s="171"/>
      <c r="E734" s="171"/>
      <c r="F734" s="171"/>
      <c r="G734" s="172"/>
      <c r="H734" s="173"/>
      <c r="I734" s="193"/>
      <c r="J734" s="171"/>
      <c r="K734" s="194"/>
      <c r="L734" s="173"/>
      <c r="M734" s="171"/>
      <c r="N734" s="171"/>
      <c r="O734" s="194"/>
      <c r="P734" s="195"/>
      <c r="Q734" s="171"/>
      <c r="R734" s="171"/>
      <c r="S734" s="194"/>
      <c r="T734" s="195"/>
      <c r="U734" s="171"/>
      <c r="V734" s="171"/>
      <c r="W734" s="194"/>
      <c r="X734" s="195"/>
      <c r="Y734" s="171"/>
      <c r="Z734" s="171"/>
      <c r="AA734" s="194"/>
      <c r="AB734" s="195"/>
      <c r="AC734" s="171"/>
      <c r="AD734" s="171"/>
      <c r="AE734" s="194"/>
      <c r="AF734" s="195"/>
      <c r="AG734" s="171"/>
      <c r="AH734" s="171"/>
      <c r="AI734" s="194"/>
      <c r="AJ734" s="196"/>
    </row>
    <row r="735" spans="2:36">
      <c r="B735" s="166"/>
      <c r="C735" s="167"/>
      <c r="D735" s="171"/>
      <c r="E735" s="171"/>
      <c r="F735" s="171"/>
      <c r="G735" s="172"/>
      <c r="H735" s="173"/>
      <c r="I735" s="193"/>
      <c r="J735" s="171"/>
      <c r="K735" s="194"/>
      <c r="L735" s="173"/>
      <c r="M735" s="171"/>
      <c r="N735" s="171"/>
      <c r="O735" s="194"/>
      <c r="P735" s="195"/>
      <c r="Q735" s="171"/>
      <c r="R735" s="171"/>
      <c r="S735" s="194"/>
      <c r="T735" s="195"/>
      <c r="U735" s="171"/>
      <c r="V735" s="171"/>
      <c r="W735" s="194"/>
      <c r="X735" s="195"/>
      <c r="Y735" s="171"/>
      <c r="Z735" s="171"/>
      <c r="AA735" s="194"/>
      <c r="AB735" s="195"/>
      <c r="AC735" s="171"/>
      <c r="AD735" s="171"/>
      <c r="AE735" s="194"/>
      <c r="AF735" s="195"/>
      <c r="AG735" s="171"/>
      <c r="AH735" s="171"/>
      <c r="AI735" s="194"/>
      <c r="AJ735" s="196"/>
    </row>
    <row r="736" spans="2:36">
      <c r="B736" s="166"/>
      <c r="C736" s="167"/>
      <c r="D736" s="171"/>
      <c r="E736" s="171"/>
      <c r="F736" s="171"/>
      <c r="G736" s="172"/>
      <c r="H736" s="173"/>
      <c r="I736" s="193"/>
      <c r="J736" s="171"/>
      <c r="K736" s="194"/>
      <c r="L736" s="173"/>
      <c r="M736" s="171"/>
      <c r="N736" s="171"/>
      <c r="O736" s="194"/>
      <c r="P736" s="195"/>
      <c r="Q736" s="171"/>
      <c r="R736" s="171"/>
      <c r="S736" s="194"/>
      <c r="T736" s="195"/>
      <c r="U736" s="171"/>
      <c r="V736" s="171"/>
      <c r="W736" s="194"/>
      <c r="X736" s="195"/>
      <c r="Y736" s="171"/>
      <c r="Z736" s="171"/>
      <c r="AA736" s="194"/>
      <c r="AB736" s="195"/>
      <c r="AC736" s="171"/>
      <c r="AD736" s="171"/>
      <c r="AE736" s="194"/>
      <c r="AF736" s="195"/>
      <c r="AG736" s="171"/>
      <c r="AH736" s="171"/>
      <c r="AI736" s="194"/>
      <c r="AJ736" s="196"/>
    </row>
    <row r="737" spans="2:36">
      <c r="B737" s="166"/>
      <c r="C737" s="167"/>
      <c r="D737" s="171"/>
      <c r="E737" s="171"/>
      <c r="F737" s="171"/>
      <c r="G737" s="172"/>
      <c r="H737" s="173"/>
      <c r="I737" s="193"/>
      <c r="J737" s="171"/>
      <c r="K737" s="194"/>
      <c r="L737" s="173"/>
      <c r="M737" s="171"/>
      <c r="N737" s="171"/>
      <c r="O737" s="194"/>
      <c r="P737" s="195"/>
      <c r="Q737" s="171"/>
      <c r="R737" s="171"/>
      <c r="S737" s="194"/>
      <c r="T737" s="195"/>
      <c r="U737" s="171"/>
      <c r="V737" s="171"/>
      <c r="W737" s="194"/>
      <c r="X737" s="195"/>
      <c r="Y737" s="171"/>
      <c r="Z737" s="171"/>
      <c r="AA737" s="194"/>
      <c r="AB737" s="195"/>
      <c r="AC737" s="171"/>
      <c r="AD737" s="171"/>
      <c r="AE737" s="194"/>
      <c r="AF737" s="195"/>
      <c r="AG737" s="171"/>
      <c r="AH737" s="171"/>
      <c r="AI737" s="194"/>
      <c r="AJ737" s="196"/>
    </row>
    <row r="738" spans="2:36">
      <c r="B738" s="166"/>
      <c r="C738" s="167"/>
      <c r="D738" s="171"/>
      <c r="E738" s="171"/>
      <c r="F738" s="171"/>
      <c r="G738" s="172"/>
      <c r="H738" s="173"/>
      <c r="I738" s="193"/>
      <c r="J738" s="171"/>
      <c r="K738" s="194"/>
      <c r="L738" s="173"/>
      <c r="M738" s="171"/>
      <c r="N738" s="171"/>
      <c r="O738" s="194"/>
      <c r="P738" s="195"/>
      <c r="Q738" s="171"/>
      <c r="R738" s="171"/>
      <c r="S738" s="194"/>
      <c r="T738" s="195"/>
      <c r="U738" s="171"/>
      <c r="V738" s="171"/>
      <c r="W738" s="194"/>
      <c r="X738" s="195"/>
      <c r="Y738" s="171"/>
      <c r="Z738" s="171"/>
      <c r="AA738" s="194"/>
      <c r="AB738" s="195"/>
      <c r="AC738" s="171"/>
      <c r="AD738" s="171"/>
      <c r="AE738" s="194"/>
      <c r="AF738" s="195"/>
      <c r="AG738" s="171"/>
      <c r="AH738" s="171"/>
      <c r="AI738" s="194"/>
      <c r="AJ738" s="196"/>
    </row>
    <row r="739" spans="2:36">
      <c r="B739" s="166"/>
      <c r="C739" s="167"/>
      <c r="D739" s="171"/>
      <c r="E739" s="171"/>
      <c r="F739" s="171"/>
      <c r="G739" s="172"/>
      <c r="H739" s="173"/>
      <c r="I739" s="193"/>
      <c r="J739" s="171"/>
      <c r="K739" s="194"/>
      <c r="L739" s="173"/>
      <c r="M739" s="171"/>
      <c r="N739" s="171"/>
      <c r="O739" s="194"/>
      <c r="P739" s="195"/>
      <c r="Q739" s="171"/>
      <c r="R739" s="171"/>
      <c r="S739" s="194"/>
      <c r="T739" s="195"/>
      <c r="U739" s="171"/>
      <c r="V739" s="171"/>
      <c r="W739" s="194"/>
      <c r="X739" s="195"/>
      <c r="Y739" s="171"/>
      <c r="Z739" s="171"/>
      <c r="AA739" s="194"/>
      <c r="AB739" s="195"/>
      <c r="AC739" s="171"/>
      <c r="AD739" s="171"/>
      <c r="AE739" s="194"/>
      <c r="AF739" s="195"/>
      <c r="AG739" s="171"/>
      <c r="AH739" s="171"/>
      <c r="AI739" s="194"/>
      <c r="AJ739" s="196"/>
    </row>
    <row r="740" spans="2:36">
      <c r="B740" s="166"/>
      <c r="C740" s="167"/>
      <c r="D740" s="171"/>
      <c r="E740" s="171"/>
      <c r="F740" s="171"/>
      <c r="G740" s="172"/>
      <c r="H740" s="173"/>
      <c r="I740" s="193"/>
      <c r="J740" s="171"/>
      <c r="K740" s="194"/>
      <c r="L740" s="173"/>
      <c r="M740" s="171"/>
      <c r="N740" s="171"/>
      <c r="O740" s="194"/>
      <c r="P740" s="195"/>
      <c r="Q740" s="171"/>
      <c r="R740" s="171"/>
      <c r="S740" s="194"/>
      <c r="T740" s="195"/>
      <c r="U740" s="171"/>
      <c r="V740" s="171"/>
      <c r="W740" s="194"/>
      <c r="X740" s="195"/>
      <c r="Y740" s="171"/>
      <c r="Z740" s="171"/>
      <c r="AA740" s="194"/>
      <c r="AB740" s="195"/>
      <c r="AC740" s="171"/>
      <c r="AD740" s="171"/>
      <c r="AE740" s="194"/>
      <c r="AF740" s="195"/>
      <c r="AG740" s="171"/>
      <c r="AH740" s="171"/>
      <c r="AI740" s="194"/>
      <c r="AJ740" s="196"/>
    </row>
    <row r="741" spans="2:36">
      <c r="B741" s="166"/>
      <c r="C741" s="167"/>
      <c r="D741" s="171"/>
      <c r="E741" s="171"/>
      <c r="F741" s="171"/>
      <c r="G741" s="172"/>
      <c r="H741" s="173"/>
      <c r="I741" s="193"/>
      <c r="J741" s="171"/>
      <c r="K741" s="194"/>
      <c r="L741" s="173"/>
      <c r="M741" s="171"/>
      <c r="N741" s="171"/>
      <c r="O741" s="194"/>
      <c r="P741" s="195"/>
      <c r="Q741" s="171"/>
      <c r="R741" s="171"/>
      <c r="S741" s="194"/>
      <c r="T741" s="195"/>
      <c r="U741" s="171"/>
      <c r="V741" s="171"/>
      <c r="W741" s="194"/>
      <c r="X741" s="195"/>
      <c r="Y741" s="171"/>
      <c r="Z741" s="171"/>
      <c r="AA741" s="194"/>
      <c r="AB741" s="195"/>
      <c r="AC741" s="171"/>
      <c r="AD741" s="171"/>
      <c r="AE741" s="194"/>
      <c r="AF741" s="195"/>
      <c r="AG741" s="171"/>
      <c r="AH741" s="171"/>
      <c r="AI741" s="194"/>
      <c r="AJ741" s="196"/>
    </row>
    <row r="742" spans="2:36">
      <c r="B742" s="166"/>
      <c r="C742" s="167"/>
      <c r="D742" s="171"/>
      <c r="E742" s="171"/>
      <c r="F742" s="171"/>
      <c r="G742" s="172"/>
      <c r="H742" s="173"/>
      <c r="I742" s="193"/>
      <c r="J742" s="171"/>
      <c r="K742" s="194"/>
      <c r="L742" s="173"/>
      <c r="M742" s="171"/>
      <c r="N742" s="171"/>
      <c r="O742" s="194"/>
      <c r="P742" s="195"/>
      <c r="Q742" s="171"/>
      <c r="R742" s="171"/>
      <c r="S742" s="194"/>
      <c r="T742" s="195"/>
      <c r="U742" s="171"/>
      <c r="V742" s="171"/>
      <c r="W742" s="194"/>
      <c r="X742" s="195"/>
      <c r="Y742" s="171"/>
      <c r="Z742" s="171"/>
      <c r="AA742" s="194"/>
      <c r="AB742" s="195"/>
      <c r="AC742" s="171"/>
      <c r="AD742" s="171"/>
      <c r="AE742" s="194"/>
      <c r="AF742" s="195"/>
      <c r="AG742" s="171"/>
      <c r="AH742" s="171"/>
      <c r="AI742" s="194"/>
      <c r="AJ742" s="196"/>
    </row>
    <row r="743" spans="2:36">
      <c r="B743" s="166"/>
      <c r="C743" s="167"/>
      <c r="D743" s="171"/>
      <c r="E743" s="171"/>
      <c r="F743" s="171"/>
      <c r="G743" s="172"/>
      <c r="H743" s="173"/>
      <c r="I743" s="193"/>
      <c r="J743" s="171"/>
      <c r="K743" s="194"/>
      <c r="L743" s="173"/>
      <c r="M743" s="171"/>
      <c r="N743" s="171"/>
      <c r="O743" s="194"/>
      <c r="P743" s="195"/>
      <c r="Q743" s="171"/>
      <c r="R743" s="171"/>
      <c r="S743" s="194"/>
      <c r="T743" s="195"/>
      <c r="U743" s="171"/>
      <c r="V743" s="171"/>
      <c r="W743" s="194"/>
      <c r="X743" s="195"/>
      <c r="Y743" s="171"/>
      <c r="Z743" s="171"/>
      <c r="AA743" s="194"/>
      <c r="AB743" s="195"/>
      <c r="AC743" s="171"/>
      <c r="AD743" s="171"/>
      <c r="AE743" s="194"/>
      <c r="AF743" s="195"/>
      <c r="AG743" s="171"/>
      <c r="AH743" s="171"/>
      <c r="AI743" s="194"/>
      <c r="AJ743" s="196"/>
    </row>
    <row r="744" spans="2:36">
      <c r="B744" s="166"/>
      <c r="C744" s="167"/>
      <c r="D744" s="171"/>
      <c r="E744" s="171"/>
      <c r="F744" s="171"/>
      <c r="G744" s="172"/>
      <c r="H744" s="173"/>
      <c r="I744" s="193"/>
      <c r="J744" s="171"/>
      <c r="K744" s="194"/>
      <c r="L744" s="173"/>
      <c r="M744" s="171"/>
      <c r="N744" s="171"/>
      <c r="O744" s="194"/>
      <c r="P744" s="195"/>
      <c r="Q744" s="171"/>
      <c r="R744" s="171"/>
      <c r="S744" s="194"/>
      <c r="T744" s="195"/>
      <c r="U744" s="171"/>
      <c r="V744" s="171"/>
      <c r="W744" s="194"/>
      <c r="X744" s="195"/>
      <c r="Y744" s="171"/>
      <c r="Z744" s="171"/>
      <c r="AA744" s="194"/>
      <c r="AB744" s="195"/>
      <c r="AC744" s="171"/>
      <c r="AD744" s="171"/>
      <c r="AE744" s="194"/>
      <c r="AF744" s="195"/>
      <c r="AG744" s="171"/>
      <c r="AH744" s="171"/>
      <c r="AI744" s="194"/>
      <c r="AJ744" s="196"/>
    </row>
    <row r="745" spans="2:36">
      <c r="B745" s="166"/>
      <c r="C745" s="167"/>
      <c r="D745" s="171"/>
      <c r="E745" s="171"/>
      <c r="F745" s="171"/>
      <c r="G745" s="172"/>
      <c r="H745" s="173"/>
      <c r="I745" s="193"/>
      <c r="J745" s="171"/>
      <c r="K745" s="194"/>
      <c r="L745" s="173"/>
      <c r="M745" s="171"/>
      <c r="N745" s="171"/>
      <c r="O745" s="194"/>
      <c r="P745" s="195"/>
      <c r="Q745" s="171"/>
      <c r="R745" s="171"/>
      <c r="S745" s="194"/>
      <c r="T745" s="195"/>
      <c r="U745" s="171"/>
      <c r="V745" s="171"/>
      <c r="W745" s="194"/>
      <c r="X745" s="195"/>
      <c r="Y745" s="171"/>
      <c r="Z745" s="171"/>
      <c r="AA745" s="194"/>
      <c r="AB745" s="195"/>
      <c r="AC745" s="171"/>
      <c r="AD745" s="171"/>
      <c r="AE745" s="194"/>
      <c r="AF745" s="195"/>
      <c r="AG745" s="171"/>
      <c r="AH745" s="171"/>
      <c r="AI745" s="194"/>
      <c r="AJ745" s="196"/>
    </row>
    <row r="746" spans="2:36">
      <c r="B746" s="166"/>
      <c r="C746" s="167"/>
      <c r="D746" s="171"/>
      <c r="E746" s="171"/>
      <c r="F746" s="171"/>
      <c r="G746" s="172"/>
      <c r="H746" s="173"/>
      <c r="I746" s="193"/>
      <c r="J746" s="171"/>
      <c r="K746" s="194"/>
      <c r="L746" s="173"/>
      <c r="M746" s="171"/>
      <c r="N746" s="171"/>
      <c r="O746" s="194"/>
      <c r="P746" s="195"/>
      <c r="Q746" s="171"/>
      <c r="R746" s="171"/>
      <c r="S746" s="194"/>
      <c r="T746" s="195"/>
      <c r="U746" s="171"/>
      <c r="V746" s="171"/>
      <c r="W746" s="194"/>
      <c r="X746" s="195"/>
      <c r="Y746" s="171"/>
      <c r="Z746" s="171"/>
      <c r="AA746" s="194"/>
      <c r="AB746" s="195"/>
      <c r="AC746" s="171"/>
      <c r="AD746" s="171"/>
      <c r="AE746" s="194"/>
      <c r="AF746" s="195"/>
      <c r="AG746" s="171"/>
      <c r="AH746" s="171"/>
      <c r="AI746" s="194"/>
      <c r="AJ746" s="196"/>
    </row>
    <row r="747" spans="2:36">
      <c r="B747" s="166"/>
      <c r="C747" s="167"/>
      <c r="D747" s="171"/>
      <c r="E747" s="171"/>
      <c r="F747" s="171"/>
      <c r="G747" s="172"/>
      <c r="H747" s="173"/>
      <c r="I747" s="193"/>
      <c r="J747" s="171"/>
      <c r="K747" s="194"/>
      <c r="L747" s="173"/>
      <c r="M747" s="171"/>
      <c r="N747" s="171"/>
      <c r="O747" s="194"/>
      <c r="P747" s="195"/>
      <c r="Q747" s="171"/>
      <c r="R747" s="171"/>
      <c r="S747" s="194"/>
      <c r="T747" s="195"/>
      <c r="U747" s="171"/>
      <c r="V747" s="171"/>
      <c r="W747" s="194"/>
      <c r="X747" s="195"/>
      <c r="Y747" s="171"/>
      <c r="Z747" s="171"/>
      <c r="AA747" s="194"/>
      <c r="AB747" s="195"/>
      <c r="AC747" s="171"/>
      <c r="AD747" s="171"/>
      <c r="AE747" s="194"/>
      <c r="AF747" s="195"/>
      <c r="AG747" s="171"/>
      <c r="AH747" s="171"/>
      <c r="AI747" s="194"/>
      <c r="AJ747" s="196"/>
    </row>
    <row r="748" spans="2:36">
      <c r="B748" s="166"/>
      <c r="C748" s="167"/>
      <c r="D748" s="171"/>
      <c r="E748" s="171"/>
      <c r="F748" s="171"/>
      <c r="G748" s="172"/>
      <c r="H748" s="173"/>
      <c r="I748" s="193"/>
      <c r="J748" s="171"/>
      <c r="K748" s="194"/>
      <c r="L748" s="173"/>
      <c r="M748" s="171"/>
      <c r="N748" s="171"/>
      <c r="O748" s="194"/>
      <c r="P748" s="195"/>
      <c r="Q748" s="171"/>
      <c r="R748" s="171"/>
      <c r="S748" s="194"/>
      <c r="T748" s="195"/>
      <c r="U748" s="171"/>
      <c r="V748" s="171"/>
      <c r="W748" s="194"/>
      <c r="X748" s="195"/>
      <c r="Y748" s="171"/>
      <c r="Z748" s="171"/>
      <c r="AA748" s="194"/>
      <c r="AB748" s="195"/>
      <c r="AC748" s="171"/>
      <c r="AD748" s="171"/>
      <c r="AE748" s="194"/>
      <c r="AF748" s="195"/>
      <c r="AG748" s="171"/>
      <c r="AH748" s="171"/>
      <c r="AI748" s="194"/>
      <c r="AJ748" s="196"/>
    </row>
    <row r="749" spans="2:36">
      <c r="B749" s="166"/>
      <c r="C749" s="167"/>
      <c r="D749" s="171"/>
      <c r="E749" s="171"/>
      <c r="F749" s="171"/>
      <c r="G749" s="172"/>
      <c r="H749" s="173"/>
      <c r="I749" s="193"/>
      <c r="J749" s="171"/>
      <c r="K749" s="194"/>
      <c r="L749" s="173"/>
      <c r="M749" s="171"/>
      <c r="N749" s="171"/>
      <c r="O749" s="194"/>
      <c r="P749" s="195"/>
      <c r="Q749" s="171"/>
      <c r="R749" s="171"/>
      <c r="S749" s="194"/>
      <c r="T749" s="195"/>
      <c r="U749" s="171"/>
      <c r="V749" s="171"/>
      <c r="W749" s="194"/>
      <c r="X749" s="195"/>
      <c r="Y749" s="171"/>
      <c r="Z749" s="171"/>
      <c r="AA749" s="194"/>
      <c r="AB749" s="195"/>
      <c r="AC749" s="171"/>
      <c r="AD749" s="171"/>
      <c r="AE749" s="194"/>
      <c r="AF749" s="195"/>
      <c r="AG749" s="171"/>
      <c r="AH749" s="171"/>
      <c r="AI749" s="194"/>
      <c r="AJ749" s="196"/>
    </row>
    <row r="750" spans="2:36">
      <c r="B750" s="166"/>
      <c r="C750" s="167"/>
      <c r="D750" s="171"/>
      <c r="E750" s="171"/>
      <c r="F750" s="171"/>
      <c r="G750" s="172"/>
      <c r="H750" s="173"/>
      <c r="I750" s="193"/>
      <c r="J750" s="171"/>
      <c r="K750" s="194"/>
      <c r="L750" s="173"/>
      <c r="M750" s="171"/>
      <c r="N750" s="171"/>
      <c r="O750" s="194"/>
      <c r="P750" s="195"/>
      <c r="Q750" s="171"/>
      <c r="R750" s="171"/>
      <c r="S750" s="194"/>
      <c r="T750" s="195"/>
      <c r="U750" s="171"/>
      <c r="V750" s="171"/>
      <c r="W750" s="194"/>
      <c r="X750" s="195"/>
      <c r="Y750" s="171"/>
      <c r="Z750" s="171"/>
      <c r="AA750" s="194"/>
      <c r="AB750" s="195"/>
      <c r="AC750" s="171"/>
      <c r="AD750" s="171"/>
      <c r="AE750" s="194"/>
      <c r="AF750" s="195"/>
      <c r="AG750" s="171"/>
      <c r="AH750" s="171"/>
      <c r="AI750" s="194"/>
      <c r="AJ750" s="196"/>
    </row>
    <row r="751" spans="2:36">
      <c r="B751" s="166"/>
      <c r="C751" s="167"/>
      <c r="D751" s="171"/>
      <c r="E751" s="171"/>
      <c r="F751" s="171"/>
      <c r="G751" s="172"/>
      <c r="H751" s="173"/>
      <c r="I751" s="193"/>
      <c r="J751" s="171"/>
      <c r="K751" s="194"/>
      <c r="L751" s="173"/>
      <c r="M751" s="171"/>
      <c r="N751" s="171"/>
      <c r="O751" s="194"/>
      <c r="P751" s="195"/>
      <c r="Q751" s="171"/>
      <c r="R751" s="171"/>
      <c r="S751" s="194"/>
      <c r="T751" s="195"/>
      <c r="U751" s="171"/>
      <c r="V751" s="171"/>
      <c r="W751" s="194"/>
      <c r="X751" s="195"/>
      <c r="Y751" s="171"/>
      <c r="Z751" s="171"/>
      <c r="AA751" s="194"/>
      <c r="AB751" s="195"/>
      <c r="AC751" s="171"/>
      <c r="AD751" s="171"/>
      <c r="AE751" s="194"/>
      <c r="AF751" s="195"/>
      <c r="AG751" s="171"/>
      <c r="AH751" s="171"/>
      <c r="AI751" s="194"/>
      <c r="AJ751" s="196"/>
    </row>
    <row r="752" spans="2:36">
      <c r="B752" s="166"/>
      <c r="C752" s="167"/>
      <c r="D752" s="171"/>
      <c r="E752" s="171"/>
      <c r="F752" s="171"/>
      <c r="G752" s="172"/>
      <c r="H752" s="173"/>
      <c r="I752" s="193"/>
      <c r="J752" s="171"/>
      <c r="K752" s="194"/>
      <c r="L752" s="173"/>
      <c r="M752" s="171"/>
      <c r="N752" s="171"/>
      <c r="O752" s="194"/>
      <c r="P752" s="195"/>
      <c r="Q752" s="171"/>
      <c r="R752" s="171"/>
      <c r="S752" s="194"/>
      <c r="T752" s="195"/>
      <c r="U752" s="171"/>
      <c r="V752" s="171"/>
      <c r="W752" s="194"/>
      <c r="X752" s="195"/>
      <c r="Y752" s="171"/>
      <c r="Z752" s="171"/>
      <c r="AA752" s="194"/>
      <c r="AB752" s="195"/>
      <c r="AC752" s="171"/>
      <c r="AD752" s="171"/>
      <c r="AE752" s="194"/>
      <c r="AF752" s="195"/>
      <c r="AG752" s="171"/>
      <c r="AH752" s="171"/>
      <c r="AI752" s="194"/>
      <c r="AJ752" s="196"/>
    </row>
    <row r="753" spans="2:36">
      <c r="B753" s="166"/>
      <c r="C753" s="167"/>
      <c r="D753" s="171"/>
      <c r="E753" s="171"/>
      <c r="F753" s="171"/>
      <c r="G753" s="172"/>
      <c r="H753" s="173"/>
      <c r="I753" s="193"/>
      <c r="J753" s="171"/>
      <c r="K753" s="194"/>
      <c r="L753" s="173"/>
      <c r="M753" s="171"/>
      <c r="N753" s="171"/>
      <c r="O753" s="194"/>
      <c r="P753" s="195"/>
      <c r="Q753" s="171"/>
      <c r="R753" s="171"/>
      <c r="S753" s="194"/>
      <c r="T753" s="195"/>
      <c r="U753" s="171"/>
      <c r="V753" s="171"/>
      <c r="W753" s="194"/>
      <c r="X753" s="195"/>
      <c r="Y753" s="171"/>
      <c r="Z753" s="171"/>
      <c r="AA753" s="194"/>
      <c r="AB753" s="195"/>
      <c r="AC753" s="171"/>
      <c r="AD753" s="171"/>
      <c r="AE753" s="194"/>
      <c r="AF753" s="195"/>
      <c r="AG753" s="171"/>
      <c r="AH753" s="171"/>
      <c r="AI753" s="194"/>
      <c r="AJ753" s="196"/>
    </row>
    <row r="754" spans="2:36">
      <c r="B754" s="166"/>
      <c r="C754" s="167"/>
      <c r="D754" s="171"/>
      <c r="E754" s="171"/>
      <c r="F754" s="171"/>
      <c r="G754" s="172"/>
      <c r="H754" s="173"/>
      <c r="I754" s="193"/>
      <c r="J754" s="171"/>
      <c r="K754" s="194"/>
      <c r="L754" s="173"/>
      <c r="M754" s="171"/>
      <c r="N754" s="171"/>
      <c r="O754" s="194"/>
      <c r="P754" s="195"/>
      <c r="Q754" s="171"/>
      <c r="R754" s="171"/>
      <c r="S754" s="194"/>
      <c r="T754" s="195"/>
      <c r="U754" s="171"/>
      <c r="V754" s="171"/>
      <c r="W754" s="194"/>
      <c r="X754" s="195"/>
      <c r="Y754" s="171"/>
      <c r="Z754" s="171"/>
      <c r="AA754" s="194"/>
      <c r="AB754" s="195"/>
      <c r="AC754" s="171"/>
      <c r="AD754" s="171"/>
      <c r="AE754" s="194"/>
      <c r="AF754" s="195"/>
      <c r="AG754" s="171"/>
      <c r="AH754" s="171"/>
      <c r="AI754" s="194"/>
      <c r="AJ754" s="196"/>
    </row>
    <row r="755" spans="2:36">
      <c r="B755" s="166"/>
      <c r="C755" s="167"/>
      <c r="D755" s="171"/>
      <c r="E755" s="171"/>
      <c r="F755" s="171"/>
      <c r="G755" s="172"/>
      <c r="H755" s="173"/>
      <c r="I755" s="193"/>
      <c r="J755" s="171"/>
      <c r="K755" s="194"/>
      <c r="L755" s="173"/>
      <c r="M755" s="171"/>
      <c r="N755" s="171"/>
      <c r="O755" s="194"/>
      <c r="P755" s="195"/>
      <c r="Q755" s="171"/>
      <c r="R755" s="171"/>
      <c r="S755" s="194"/>
      <c r="T755" s="195"/>
      <c r="U755" s="171"/>
      <c r="V755" s="171"/>
      <c r="W755" s="194"/>
      <c r="X755" s="195"/>
      <c r="Y755" s="171"/>
      <c r="Z755" s="171"/>
      <c r="AA755" s="194"/>
      <c r="AB755" s="195"/>
      <c r="AC755" s="171"/>
      <c r="AD755" s="171"/>
      <c r="AE755" s="194"/>
      <c r="AF755" s="195"/>
      <c r="AG755" s="171"/>
      <c r="AH755" s="171"/>
      <c r="AI755" s="194"/>
      <c r="AJ755" s="196"/>
    </row>
    <row r="756" spans="2:36">
      <c r="B756" s="166"/>
      <c r="C756" s="167"/>
      <c r="D756" s="171"/>
      <c r="E756" s="171"/>
      <c r="F756" s="171"/>
      <c r="G756" s="172"/>
      <c r="H756" s="173"/>
      <c r="I756" s="193"/>
      <c r="J756" s="171"/>
      <c r="K756" s="194"/>
      <c r="L756" s="173"/>
      <c r="M756" s="171"/>
      <c r="N756" s="171"/>
      <c r="O756" s="194"/>
      <c r="P756" s="195"/>
      <c r="Q756" s="171"/>
      <c r="R756" s="171"/>
      <c r="S756" s="194"/>
      <c r="T756" s="195"/>
      <c r="U756" s="171"/>
      <c r="V756" s="171"/>
      <c r="W756" s="194"/>
      <c r="X756" s="195"/>
      <c r="Y756" s="171"/>
      <c r="Z756" s="171"/>
      <c r="AA756" s="194"/>
      <c r="AB756" s="195"/>
      <c r="AC756" s="171"/>
      <c r="AD756" s="171"/>
      <c r="AE756" s="194"/>
      <c r="AF756" s="195"/>
      <c r="AG756" s="171"/>
      <c r="AH756" s="171"/>
      <c r="AI756" s="194"/>
      <c r="AJ756" s="196"/>
    </row>
    <row r="757" spans="2:36">
      <c r="B757" s="166"/>
      <c r="C757" s="167"/>
      <c r="D757" s="171"/>
      <c r="E757" s="171"/>
      <c r="F757" s="171"/>
      <c r="G757" s="172"/>
      <c r="H757" s="173"/>
      <c r="I757" s="193"/>
      <c r="J757" s="171"/>
      <c r="K757" s="194"/>
      <c r="L757" s="173"/>
      <c r="M757" s="171"/>
      <c r="N757" s="171"/>
      <c r="O757" s="194"/>
      <c r="P757" s="195"/>
      <c r="Q757" s="171"/>
      <c r="R757" s="171"/>
      <c r="S757" s="194"/>
      <c r="T757" s="195"/>
      <c r="U757" s="171"/>
      <c r="V757" s="171"/>
      <c r="W757" s="194"/>
      <c r="X757" s="195"/>
      <c r="Y757" s="171"/>
      <c r="Z757" s="171"/>
      <c r="AA757" s="194"/>
      <c r="AB757" s="195"/>
      <c r="AC757" s="171"/>
      <c r="AD757" s="171"/>
      <c r="AE757" s="194"/>
      <c r="AF757" s="195"/>
      <c r="AG757" s="171"/>
      <c r="AH757" s="171"/>
      <c r="AI757" s="194"/>
      <c r="AJ757" s="196"/>
    </row>
    <row r="758" spans="2:36">
      <c r="B758" s="166"/>
      <c r="C758" s="167"/>
      <c r="D758" s="171"/>
      <c r="E758" s="171"/>
      <c r="F758" s="171"/>
      <c r="G758" s="172"/>
      <c r="H758" s="173"/>
      <c r="I758" s="193"/>
      <c r="J758" s="171"/>
      <c r="K758" s="194"/>
      <c r="L758" s="173"/>
      <c r="M758" s="171"/>
      <c r="N758" s="171"/>
      <c r="O758" s="194"/>
      <c r="P758" s="195"/>
      <c r="Q758" s="171"/>
      <c r="R758" s="171"/>
      <c r="S758" s="194"/>
      <c r="T758" s="195"/>
      <c r="U758" s="171"/>
      <c r="V758" s="171"/>
      <c r="W758" s="194"/>
      <c r="X758" s="195"/>
      <c r="Y758" s="171"/>
      <c r="Z758" s="171"/>
      <c r="AA758" s="194"/>
      <c r="AB758" s="195"/>
      <c r="AC758" s="171"/>
      <c r="AD758" s="171"/>
      <c r="AE758" s="194"/>
      <c r="AF758" s="195"/>
      <c r="AG758" s="171"/>
      <c r="AH758" s="171"/>
      <c r="AI758" s="194"/>
      <c r="AJ758" s="196"/>
    </row>
    <row r="759" spans="2:36">
      <c r="B759" s="166"/>
      <c r="C759" s="167"/>
      <c r="D759" s="171"/>
      <c r="E759" s="171"/>
      <c r="F759" s="171"/>
      <c r="G759" s="172"/>
      <c r="H759" s="173"/>
      <c r="I759" s="193"/>
      <c r="J759" s="171"/>
      <c r="K759" s="194"/>
      <c r="L759" s="173"/>
      <c r="M759" s="171"/>
      <c r="N759" s="171"/>
      <c r="O759" s="194"/>
      <c r="P759" s="195"/>
      <c r="Q759" s="171"/>
      <c r="R759" s="171"/>
      <c r="S759" s="194"/>
      <c r="T759" s="195"/>
      <c r="U759" s="171"/>
      <c r="V759" s="171"/>
      <c r="W759" s="194"/>
      <c r="X759" s="195"/>
      <c r="Y759" s="171"/>
      <c r="Z759" s="171"/>
      <c r="AA759" s="194"/>
      <c r="AB759" s="195"/>
      <c r="AC759" s="171"/>
      <c r="AD759" s="171"/>
      <c r="AE759" s="194"/>
      <c r="AF759" s="195"/>
      <c r="AG759" s="171"/>
      <c r="AH759" s="171"/>
      <c r="AI759" s="194"/>
      <c r="AJ759" s="196"/>
    </row>
    <row r="760" spans="2:36">
      <c r="B760" s="166"/>
      <c r="C760" s="167"/>
      <c r="D760" s="171"/>
      <c r="E760" s="171"/>
      <c r="F760" s="171"/>
      <c r="G760" s="172"/>
      <c r="H760" s="173"/>
      <c r="I760" s="193"/>
      <c r="J760" s="171"/>
      <c r="K760" s="194"/>
      <c r="L760" s="173"/>
      <c r="M760" s="171"/>
      <c r="N760" s="171"/>
      <c r="O760" s="194"/>
      <c r="P760" s="195"/>
      <c r="Q760" s="171"/>
      <c r="R760" s="171"/>
      <c r="S760" s="194"/>
      <c r="T760" s="195"/>
      <c r="U760" s="171"/>
      <c r="V760" s="171"/>
      <c r="W760" s="194"/>
      <c r="X760" s="195"/>
      <c r="Y760" s="171"/>
      <c r="Z760" s="171"/>
      <c r="AA760" s="194"/>
      <c r="AB760" s="195"/>
      <c r="AC760" s="171"/>
      <c r="AD760" s="171"/>
      <c r="AE760" s="194"/>
      <c r="AF760" s="195"/>
      <c r="AG760" s="171"/>
      <c r="AH760" s="171"/>
      <c r="AI760" s="194"/>
      <c r="AJ760" s="196"/>
    </row>
    <row r="761" spans="2:36">
      <c r="B761" s="166"/>
      <c r="C761" s="167"/>
      <c r="D761" s="171"/>
      <c r="E761" s="171"/>
      <c r="F761" s="171"/>
      <c r="G761" s="172"/>
      <c r="H761" s="173"/>
      <c r="I761" s="193"/>
      <c r="J761" s="171"/>
      <c r="K761" s="194"/>
      <c r="L761" s="173"/>
      <c r="M761" s="171"/>
      <c r="N761" s="171"/>
      <c r="O761" s="194"/>
      <c r="P761" s="195"/>
      <c r="Q761" s="171"/>
      <c r="R761" s="171"/>
      <c r="S761" s="194"/>
      <c r="T761" s="195"/>
      <c r="U761" s="171"/>
      <c r="V761" s="171"/>
      <c r="W761" s="194"/>
      <c r="X761" s="195"/>
      <c r="Y761" s="171"/>
      <c r="Z761" s="171"/>
      <c r="AA761" s="194"/>
      <c r="AB761" s="195"/>
      <c r="AC761" s="171"/>
      <c r="AD761" s="171"/>
      <c r="AE761" s="194"/>
      <c r="AF761" s="195"/>
      <c r="AG761" s="171"/>
      <c r="AH761" s="171"/>
      <c r="AI761" s="194"/>
      <c r="AJ761" s="196"/>
    </row>
    <row r="762" spans="2:36">
      <c r="B762" s="166"/>
      <c r="C762" s="167"/>
      <c r="D762" s="171"/>
      <c r="E762" s="171"/>
      <c r="F762" s="171"/>
      <c r="G762" s="172"/>
      <c r="H762" s="173"/>
      <c r="I762" s="193"/>
      <c r="J762" s="171"/>
      <c r="K762" s="194"/>
      <c r="L762" s="173"/>
      <c r="M762" s="171"/>
      <c r="N762" s="171"/>
      <c r="O762" s="194"/>
      <c r="P762" s="195"/>
      <c r="Q762" s="171"/>
      <c r="R762" s="171"/>
      <c r="S762" s="194"/>
      <c r="T762" s="195"/>
      <c r="U762" s="171"/>
      <c r="V762" s="171"/>
      <c r="W762" s="194"/>
      <c r="X762" s="195"/>
      <c r="Y762" s="171"/>
      <c r="Z762" s="171"/>
      <c r="AA762" s="194"/>
      <c r="AB762" s="195"/>
      <c r="AC762" s="171"/>
      <c r="AD762" s="171"/>
      <c r="AE762" s="194"/>
      <c r="AF762" s="195"/>
      <c r="AG762" s="171"/>
      <c r="AH762" s="171"/>
      <c r="AI762" s="194"/>
      <c r="AJ762" s="196"/>
    </row>
    <row r="763" spans="2:36">
      <c r="B763" s="166"/>
      <c r="C763" s="167"/>
      <c r="D763" s="171"/>
      <c r="E763" s="171"/>
      <c r="F763" s="171"/>
      <c r="G763" s="172"/>
      <c r="H763" s="173"/>
      <c r="I763" s="193"/>
      <c r="J763" s="171"/>
      <c r="K763" s="194"/>
      <c r="L763" s="173"/>
      <c r="M763" s="171"/>
      <c r="N763" s="171"/>
      <c r="O763" s="194"/>
      <c r="P763" s="195"/>
      <c r="Q763" s="171"/>
      <c r="R763" s="171"/>
      <c r="S763" s="194"/>
      <c r="T763" s="195"/>
      <c r="U763" s="171"/>
      <c r="V763" s="171"/>
      <c r="W763" s="194"/>
      <c r="X763" s="195"/>
      <c r="Y763" s="171"/>
      <c r="Z763" s="171"/>
      <c r="AA763" s="194"/>
      <c r="AB763" s="195"/>
      <c r="AC763" s="171"/>
      <c r="AD763" s="171"/>
      <c r="AE763" s="194"/>
      <c r="AF763" s="195"/>
      <c r="AG763" s="171"/>
      <c r="AH763" s="171"/>
      <c r="AI763" s="194"/>
      <c r="AJ763" s="196"/>
    </row>
    <row r="764" spans="2:36">
      <c r="B764" s="166"/>
      <c r="C764" s="167"/>
      <c r="D764" s="171"/>
      <c r="E764" s="171"/>
      <c r="F764" s="171"/>
      <c r="G764" s="172"/>
      <c r="H764" s="173"/>
      <c r="I764" s="193"/>
      <c r="J764" s="171"/>
      <c r="K764" s="194"/>
      <c r="L764" s="173"/>
      <c r="M764" s="171"/>
      <c r="N764" s="171"/>
      <c r="O764" s="194"/>
      <c r="P764" s="195"/>
      <c r="Q764" s="171"/>
      <c r="R764" s="171"/>
      <c r="S764" s="194"/>
      <c r="T764" s="195"/>
      <c r="U764" s="171"/>
      <c r="V764" s="171"/>
      <c r="W764" s="194"/>
      <c r="X764" s="195"/>
      <c r="Y764" s="171"/>
      <c r="Z764" s="171"/>
      <c r="AA764" s="194"/>
      <c r="AB764" s="195"/>
      <c r="AC764" s="171"/>
      <c r="AD764" s="171"/>
      <c r="AE764" s="194"/>
      <c r="AF764" s="195"/>
      <c r="AG764" s="171"/>
      <c r="AH764" s="171"/>
      <c r="AI764" s="194"/>
      <c r="AJ764" s="196"/>
    </row>
    <row r="765" spans="2:36">
      <c r="B765" s="166"/>
      <c r="C765" s="167"/>
      <c r="D765" s="171"/>
      <c r="E765" s="171"/>
      <c r="F765" s="171"/>
      <c r="G765" s="172"/>
      <c r="H765" s="173"/>
      <c r="I765" s="193"/>
      <c r="J765" s="171"/>
      <c r="K765" s="194"/>
      <c r="L765" s="173"/>
      <c r="M765" s="171"/>
      <c r="N765" s="171"/>
      <c r="O765" s="194"/>
      <c r="P765" s="195"/>
      <c r="Q765" s="171"/>
      <c r="R765" s="171"/>
      <c r="S765" s="194"/>
      <c r="T765" s="195"/>
      <c r="U765" s="171"/>
      <c r="V765" s="171"/>
      <c r="W765" s="194"/>
      <c r="X765" s="195"/>
      <c r="Y765" s="171"/>
      <c r="Z765" s="171"/>
      <c r="AA765" s="194"/>
      <c r="AB765" s="195"/>
      <c r="AC765" s="171"/>
      <c r="AD765" s="171"/>
      <c r="AE765" s="194"/>
      <c r="AF765" s="195"/>
      <c r="AG765" s="171"/>
      <c r="AH765" s="171"/>
      <c r="AI765" s="194"/>
      <c r="AJ765" s="196"/>
    </row>
    <row r="766" spans="2:36">
      <c r="B766" s="166"/>
      <c r="C766" s="167"/>
      <c r="D766" s="171"/>
      <c r="E766" s="171"/>
      <c r="F766" s="171"/>
      <c r="G766" s="172"/>
      <c r="H766" s="173"/>
      <c r="I766" s="193"/>
      <c r="J766" s="171"/>
      <c r="K766" s="194"/>
      <c r="L766" s="173"/>
      <c r="M766" s="171"/>
      <c r="N766" s="171"/>
      <c r="O766" s="194"/>
      <c r="P766" s="195"/>
      <c r="Q766" s="171"/>
      <c r="R766" s="171"/>
      <c r="S766" s="194"/>
      <c r="T766" s="195"/>
      <c r="U766" s="171"/>
      <c r="V766" s="171"/>
      <c r="W766" s="194"/>
      <c r="X766" s="195"/>
      <c r="Y766" s="171"/>
      <c r="Z766" s="171"/>
      <c r="AA766" s="194"/>
      <c r="AB766" s="195"/>
      <c r="AC766" s="171"/>
      <c r="AD766" s="171"/>
      <c r="AE766" s="194"/>
      <c r="AF766" s="195"/>
      <c r="AG766" s="171"/>
      <c r="AH766" s="171"/>
      <c r="AI766" s="194"/>
      <c r="AJ766" s="196"/>
    </row>
    <row r="767" spans="2:36">
      <c r="B767" s="166"/>
      <c r="C767" s="167"/>
      <c r="D767" s="171"/>
      <c r="E767" s="171"/>
      <c r="F767" s="171"/>
      <c r="G767" s="172"/>
      <c r="H767" s="173"/>
      <c r="I767" s="193"/>
      <c r="J767" s="171"/>
      <c r="K767" s="194"/>
      <c r="L767" s="173"/>
      <c r="M767" s="171"/>
      <c r="N767" s="171"/>
      <c r="O767" s="194"/>
      <c r="P767" s="195"/>
      <c r="Q767" s="171"/>
      <c r="R767" s="171"/>
      <c r="S767" s="194"/>
      <c r="T767" s="195"/>
      <c r="U767" s="171"/>
      <c r="V767" s="171"/>
      <c r="W767" s="194"/>
      <c r="X767" s="195"/>
      <c r="Y767" s="171"/>
      <c r="Z767" s="171"/>
      <c r="AA767" s="194"/>
      <c r="AB767" s="195"/>
      <c r="AC767" s="171"/>
      <c r="AD767" s="171"/>
      <c r="AE767" s="194"/>
      <c r="AF767" s="195"/>
      <c r="AG767" s="171"/>
      <c r="AH767" s="171"/>
      <c r="AI767" s="194"/>
      <c r="AJ767" s="196"/>
    </row>
    <row r="768" spans="2:36">
      <c r="B768" s="166"/>
      <c r="C768" s="167"/>
      <c r="D768" s="171"/>
      <c r="E768" s="171"/>
      <c r="F768" s="171"/>
      <c r="G768" s="172"/>
      <c r="H768" s="173"/>
      <c r="I768" s="193"/>
      <c r="J768" s="171"/>
      <c r="K768" s="194"/>
      <c r="L768" s="173"/>
      <c r="M768" s="171"/>
      <c r="N768" s="171"/>
      <c r="O768" s="194"/>
      <c r="P768" s="195"/>
      <c r="Q768" s="171"/>
      <c r="R768" s="171"/>
      <c r="S768" s="194"/>
      <c r="T768" s="195"/>
      <c r="U768" s="171"/>
      <c r="V768" s="171"/>
      <c r="W768" s="194"/>
      <c r="X768" s="195"/>
      <c r="Y768" s="171"/>
      <c r="Z768" s="171"/>
      <c r="AA768" s="194"/>
      <c r="AB768" s="195"/>
      <c r="AC768" s="171"/>
      <c r="AD768" s="171"/>
      <c r="AE768" s="194"/>
      <c r="AF768" s="195"/>
      <c r="AG768" s="171"/>
      <c r="AH768" s="171"/>
      <c r="AI768" s="194"/>
      <c r="AJ768" s="196"/>
    </row>
    <row r="769" spans="2:36">
      <c r="B769" s="166"/>
      <c r="C769" s="167"/>
      <c r="D769" s="171"/>
      <c r="E769" s="171"/>
      <c r="F769" s="171"/>
      <c r="G769" s="172"/>
      <c r="H769" s="173"/>
      <c r="I769" s="193"/>
      <c r="J769" s="171"/>
      <c r="K769" s="194"/>
      <c r="L769" s="173"/>
      <c r="M769" s="171"/>
      <c r="N769" s="171"/>
      <c r="O769" s="194"/>
      <c r="P769" s="195"/>
      <c r="Q769" s="171"/>
      <c r="R769" s="171"/>
      <c r="S769" s="194"/>
      <c r="T769" s="195"/>
      <c r="U769" s="171"/>
      <c r="V769" s="171"/>
      <c r="W769" s="194"/>
      <c r="X769" s="195"/>
      <c r="Y769" s="171"/>
      <c r="Z769" s="171"/>
      <c r="AA769" s="194"/>
      <c r="AB769" s="195"/>
      <c r="AC769" s="171"/>
      <c r="AD769" s="171"/>
      <c r="AE769" s="194"/>
      <c r="AF769" s="195"/>
      <c r="AG769" s="171"/>
      <c r="AH769" s="171"/>
      <c r="AI769" s="194"/>
      <c r="AJ769" s="196"/>
    </row>
    <row r="770" spans="2:36">
      <c r="B770" s="166"/>
      <c r="C770" s="167"/>
      <c r="D770" s="171"/>
      <c r="E770" s="171"/>
      <c r="F770" s="171"/>
      <c r="G770" s="172"/>
      <c r="H770" s="173"/>
      <c r="I770" s="193"/>
      <c r="J770" s="171"/>
      <c r="K770" s="194"/>
      <c r="L770" s="173"/>
      <c r="M770" s="171"/>
      <c r="N770" s="171"/>
      <c r="O770" s="194"/>
      <c r="P770" s="195"/>
      <c r="Q770" s="171"/>
      <c r="R770" s="171"/>
      <c r="S770" s="194"/>
      <c r="T770" s="195"/>
      <c r="U770" s="171"/>
      <c r="V770" s="171"/>
      <c r="W770" s="194"/>
      <c r="X770" s="195"/>
      <c r="Y770" s="171"/>
      <c r="Z770" s="171"/>
      <c r="AA770" s="194"/>
      <c r="AB770" s="195"/>
      <c r="AC770" s="171"/>
      <c r="AD770" s="171"/>
      <c r="AE770" s="194"/>
      <c r="AF770" s="195"/>
      <c r="AG770" s="171"/>
      <c r="AH770" s="171"/>
      <c r="AI770" s="194"/>
      <c r="AJ770" s="196"/>
    </row>
    <row r="771" spans="2:36">
      <c r="B771" s="166"/>
      <c r="C771" s="167"/>
      <c r="D771" s="171"/>
      <c r="E771" s="171"/>
      <c r="F771" s="171"/>
      <c r="G771" s="172"/>
      <c r="H771" s="173"/>
      <c r="I771" s="193"/>
      <c r="J771" s="171"/>
      <c r="K771" s="194"/>
      <c r="L771" s="173"/>
      <c r="M771" s="171"/>
      <c r="N771" s="171"/>
      <c r="O771" s="194"/>
      <c r="P771" s="195"/>
      <c r="Q771" s="171"/>
      <c r="R771" s="171"/>
      <c r="S771" s="194"/>
      <c r="T771" s="195"/>
      <c r="U771" s="171"/>
      <c r="V771" s="171"/>
      <c r="W771" s="194"/>
      <c r="X771" s="195"/>
      <c r="Y771" s="171"/>
      <c r="Z771" s="171"/>
      <c r="AA771" s="194"/>
      <c r="AB771" s="195"/>
      <c r="AC771" s="171"/>
      <c r="AD771" s="171"/>
      <c r="AE771" s="194"/>
      <c r="AF771" s="195"/>
      <c r="AG771" s="171"/>
      <c r="AH771" s="171"/>
      <c r="AI771" s="194"/>
      <c r="AJ771" s="196"/>
    </row>
    <row r="772" spans="2:36">
      <c r="B772" s="166"/>
      <c r="C772" s="167"/>
      <c r="D772" s="171"/>
      <c r="E772" s="171"/>
      <c r="F772" s="171"/>
      <c r="G772" s="172"/>
      <c r="H772" s="173"/>
      <c r="I772" s="193"/>
      <c r="J772" s="171"/>
      <c r="K772" s="194"/>
      <c r="L772" s="173"/>
      <c r="M772" s="171"/>
      <c r="N772" s="171"/>
      <c r="O772" s="194"/>
      <c r="P772" s="195"/>
      <c r="Q772" s="171"/>
      <c r="R772" s="171"/>
      <c r="S772" s="194"/>
      <c r="T772" s="195"/>
      <c r="U772" s="171"/>
      <c r="V772" s="171"/>
      <c r="W772" s="194"/>
      <c r="X772" s="195"/>
      <c r="Y772" s="171"/>
      <c r="Z772" s="171"/>
      <c r="AA772" s="194"/>
      <c r="AB772" s="195"/>
      <c r="AC772" s="171"/>
      <c r="AD772" s="171"/>
      <c r="AE772" s="194"/>
      <c r="AF772" s="195"/>
      <c r="AG772" s="171"/>
      <c r="AH772" s="171"/>
      <c r="AI772" s="194"/>
      <c r="AJ772" s="196"/>
    </row>
    <row r="773" spans="2:36">
      <c r="B773" s="166"/>
      <c r="C773" s="167"/>
      <c r="D773" s="171"/>
      <c r="E773" s="171"/>
      <c r="F773" s="171"/>
      <c r="G773" s="172"/>
      <c r="H773" s="173"/>
      <c r="I773" s="193"/>
      <c r="J773" s="171"/>
      <c r="K773" s="194"/>
      <c r="L773" s="173"/>
      <c r="M773" s="171"/>
      <c r="N773" s="171"/>
      <c r="O773" s="194"/>
      <c r="P773" s="195"/>
      <c r="Q773" s="171"/>
      <c r="R773" s="171"/>
      <c r="S773" s="194"/>
      <c r="T773" s="195"/>
      <c r="U773" s="171"/>
      <c r="V773" s="171"/>
      <c r="W773" s="194"/>
      <c r="X773" s="195"/>
      <c r="Y773" s="171"/>
      <c r="Z773" s="171"/>
      <c r="AA773" s="194"/>
      <c r="AB773" s="195"/>
      <c r="AC773" s="171"/>
      <c r="AD773" s="171"/>
      <c r="AE773" s="194"/>
      <c r="AF773" s="195"/>
      <c r="AG773" s="171"/>
      <c r="AH773" s="171"/>
      <c r="AI773" s="194"/>
      <c r="AJ773" s="196"/>
    </row>
    <row r="774" spans="2:36">
      <c r="B774" s="166"/>
      <c r="C774" s="167"/>
      <c r="D774" s="171"/>
      <c r="E774" s="171"/>
      <c r="F774" s="171"/>
      <c r="G774" s="172"/>
      <c r="H774" s="173"/>
      <c r="I774" s="193"/>
      <c r="J774" s="171"/>
      <c r="K774" s="194"/>
      <c r="L774" s="173"/>
      <c r="M774" s="171"/>
      <c r="N774" s="171"/>
      <c r="O774" s="194"/>
      <c r="P774" s="195"/>
      <c r="Q774" s="171"/>
      <c r="R774" s="171"/>
      <c r="S774" s="194"/>
      <c r="T774" s="195"/>
      <c r="U774" s="171"/>
      <c r="V774" s="171"/>
      <c r="W774" s="194"/>
      <c r="X774" s="195"/>
      <c r="Y774" s="171"/>
      <c r="Z774" s="171"/>
      <c r="AA774" s="194"/>
      <c r="AB774" s="195"/>
      <c r="AC774" s="171"/>
      <c r="AD774" s="171"/>
      <c r="AE774" s="194"/>
      <c r="AF774" s="195"/>
      <c r="AG774" s="171"/>
      <c r="AH774" s="171"/>
      <c r="AI774" s="194"/>
      <c r="AJ774" s="196"/>
    </row>
    <row r="775" spans="2:36">
      <c r="B775" s="166"/>
      <c r="C775" s="167"/>
      <c r="D775" s="171"/>
      <c r="E775" s="171"/>
      <c r="F775" s="171"/>
      <c r="G775" s="172"/>
      <c r="H775" s="173"/>
      <c r="I775" s="193"/>
      <c r="J775" s="171"/>
      <c r="K775" s="194"/>
      <c r="L775" s="173"/>
      <c r="M775" s="171"/>
      <c r="N775" s="171"/>
      <c r="O775" s="194"/>
      <c r="P775" s="195"/>
      <c r="Q775" s="171"/>
      <c r="R775" s="171"/>
      <c r="S775" s="194"/>
      <c r="T775" s="195"/>
      <c r="U775" s="171"/>
      <c r="V775" s="171"/>
      <c r="W775" s="194"/>
      <c r="X775" s="195"/>
      <c r="Y775" s="171"/>
      <c r="Z775" s="171"/>
      <c r="AA775" s="194"/>
      <c r="AB775" s="195"/>
      <c r="AC775" s="171"/>
      <c r="AD775" s="171"/>
      <c r="AE775" s="194"/>
      <c r="AF775" s="195"/>
      <c r="AG775" s="171"/>
      <c r="AH775" s="171"/>
      <c r="AI775" s="194"/>
      <c r="AJ775" s="196"/>
    </row>
    <row r="776" spans="2:36">
      <c r="B776" s="166"/>
      <c r="C776" s="167"/>
      <c r="D776" s="171"/>
      <c r="E776" s="171"/>
      <c r="F776" s="171"/>
      <c r="G776" s="172"/>
      <c r="H776" s="173"/>
      <c r="I776" s="193"/>
      <c r="J776" s="171"/>
      <c r="K776" s="194"/>
      <c r="L776" s="173"/>
      <c r="M776" s="171"/>
      <c r="N776" s="171"/>
      <c r="O776" s="194"/>
      <c r="P776" s="195"/>
      <c r="Q776" s="171"/>
      <c r="R776" s="171"/>
      <c r="S776" s="194"/>
      <c r="T776" s="195"/>
      <c r="U776" s="171"/>
      <c r="V776" s="171"/>
      <c r="W776" s="194"/>
      <c r="X776" s="195"/>
      <c r="Y776" s="171"/>
      <c r="Z776" s="171"/>
      <c r="AA776" s="194"/>
      <c r="AB776" s="195"/>
      <c r="AC776" s="171"/>
      <c r="AD776" s="171"/>
      <c r="AE776" s="194"/>
      <c r="AF776" s="195"/>
      <c r="AG776" s="171"/>
      <c r="AH776" s="171"/>
      <c r="AI776" s="194"/>
      <c r="AJ776" s="196"/>
    </row>
    <row r="777" spans="2:36">
      <c r="B777" s="166"/>
      <c r="C777" s="167"/>
      <c r="D777" s="171"/>
      <c r="E777" s="171"/>
      <c r="F777" s="171"/>
      <c r="G777" s="172"/>
      <c r="H777" s="173"/>
      <c r="I777" s="193"/>
      <c r="J777" s="171"/>
      <c r="K777" s="194"/>
      <c r="L777" s="173"/>
      <c r="M777" s="171"/>
      <c r="N777" s="171"/>
      <c r="O777" s="194"/>
      <c r="P777" s="195"/>
      <c r="Q777" s="171"/>
      <c r="R777" s="171"/>
      <c r="S777" s="194"/>
      <c r="T777" s="195"/>
      <c r="U777" s="171"/>
      <c r="V777" s="171"/>
      <c r="W777" s="194"/>
      <c r="X777" s="195"/>
      <c r="Y777" s="171"/>
      <c r="Z777" s="171"/>
      <c r="AA777" s="194"/>
      <c r="AB777" s="195"/>
      <c r="AC777" s="171"/>
      <c r="AD777" s="171"/>
      <c r="AE777" s="194"/>
      <c r="AF777" s="195"/>
      <c r="AG777" s="171"/>
      <c r="AH777" s="171"/>
      <c r="AI777" s="194"/>
      <c r="AJ777" s="196"/>
    </row>
    <row r="778" spans="2:36">
      <c r="B778" s="166"/>
      <c r="C778" s="167"/>
      <c r="D778" s="171"/>
      <c r="E778" s="171"/>
      <c r="F778" s="171"/>
      <c r="G778" s="172"/>
      <c r="H778" s="173"/>
      <c r="I778" s="193"/>
      <c r="J778" s="171"/>
      <c r="K778" s="194"/>
      <c r="L778" s="173"/>
      <c r="M778" s="171"/>
      <c r="N778" s="171"/>
      <c r="O778" s="194"/>
      <c r="P778" s="195"/>
      <c r="Q778" s="171"/>
      <c r="R778" s="171"/>
      <c r="S778" s="194"/>
      <c r="T778" s="195"/>
      <c r="U778" s="171"/>
      <c r="V778" s="171"/>
      <c r="W778" s="194"/>
      <c r="X778" s="195"/>
      <c r="Y778" s="171"/>
      <c r="Z778" s="171"/>
      <c r="AA778" s="194"/>
      <c r="AB778" s="195"/>
      <c r="AC778" s="171"/>
      <c r="AD778" s="171"/>
      <c r="AE778" s="194"/>
      <c r="AF778" s="195"/>
      <c r="AG778" s="171"/>
      <c r="AH778" s="171"/>
      <c r="AI778" s="194"/>
      <c r="AJ778" s="196"/>
    </row>
    <row r="779" spans="2:36">
      <c r="B779" s="166"/>
      <c r="C779" s="167"/>
      <c r="D779" s="171"/>
      <c r="E779" s="171"/>
      <c r="F779" s="171"/>
      <c r="G779" s="172"/>
      <c r="H779" s="173"/>
      <c r="I779" s="193"/>
      <c r="J779" s="171"/>
      <c r="K779" s="194"/>
      <c r="L779" s="173"/>
      <c r="M779" s="171"/>
      <c r="N779" s="171"/>
      <c r="O779" s="194"/>
      <c r="P779" s="195"/>
      <c r="Q779" s="171"/>
      <c r="R779" s="171"/>
      <c r="S779" s="194"/>
      <c r="T779" s="195"/>
      <c r="U779" s="171"/>
      <c r="V779" s="171"/>
      <c r="W779" s="194"/>
      <c r="X779" s="195"/>
      <c r="Y779" s="171"/>
      <c r="Z779" s="171"/>
      <c r="AA779" s="194"/>
      <c r="AB779" s="195"/>
      <c r="AC779" s="171"/>
      <c r="AD779" s="171"/>
      <c r="AE779" s="194"/>
      <c r="AF779" s="195"/>
      <c r="AG779" s="171"/>
      <c r="AH779" s="171"/>
      <c r="AI779" s="194"/>
      <c r="AJ779" s="196"/>
    </row>
    <row r="780" spans="2:36">
      <c r="B780" s="166"/>
      <c r="C780" s="167"/>
      <c r="D780" s="171"/>
      <c r="E780" s="171"/>
      <c r="F780" s="171"/>
      <c r="G780" s="172"/>
      <c r="H780" s="173"/>
      <c r="I780" s="193"/>
      <c r="J780" s="171"/>
      <c r="K780" s="194"/>
      <c r="L780" s="173"/>
      <c r="M780" s="171"/>
      <c r="N780" s="171"/>
      <c r="O780" s="194"/>
      <c r="P780" s="195"/>
      <c r="Q780" s="171"/>
      <c r="R780" s="171"/>
      <c r="S780" s="194"/>
      <c r="T780" s="195"/>
      <c r="U780" s="171"/>
      <c r="V780" s="171"/>
      <c r="W780" s="194"/>
      <c r="X780" s="195"/>
      <c r="Y780" s="171"/>
      <c r="Z780" s="171"/>
      <c r="AA780" s="194"/>
      <c r="AB780" s="195"/>
      <c r="AC780" s="171"/>
      <c r="AD780" s="171"/>
      <c r="AE780" s="194"/>
      <c r="AF780" s="195"/>
      <c r="AG780" s="171"/>
      <c r="AH780" s="171"/>
      <c r="AI780" s="194"/>
      <c r="AJ780" s="196"/>
    </row>
    <row r="781" spans="2:36">
      <c r="B781" s="166"/>
      <c r="C781" s="167"/>
      <c r="D781" s="171"/>
      <c r="E781" s="171"/>
      <c r="F781" s="171"/>
      <c r="G781" s="172"/>
      <c r="H781" s="173"/>
      <c r="I781" s="193"/>
      <c r="J781" s="171"/>
      <c r="K781" s="194"/>
      <c r="L781" s="173"/>
      <c r="M781" s="171"/>
      <c r="N781" s="171"/>
      <c r="O781" s="194"/>
      <c r="P781" s="195"/>
      <c r="Q781" s="171"/>
      <c r="R781" s="171"/>
      <c r="S781" s="194"/>
      <c r="T781" s="195"/>
      <c r="U781" s="171"/>
      <c r="V781" s="171"/>
      <c r="W781" s="194"/>
      <c r="X781" s="195"/>
      <c r="Y781" s="171"/>
      <c r="Z781" s="171"/>
      <c r="AA781" s="194"/>
      <c r="AB781" s="195"/>
      <c r="AC781" s="171"/>
      <c r="AD781" s="171"/>
      <c r="AE781" s="194"/>
      <c r="AF781" s="195"/>
      <c r="AG781" s="171"/>
      <c r="AH781" s="171"/>
      <c r="AI781" s="194"/>
      <c r="AJ781" s="196"/>
    </row>
    <row r="782" spans="2:36">
      <c r="B782" s="166"/>
      <c r="C782" s="167"/>
      <c r="D782" s="171"/>
      <c r="E782" s="171"/>
      <c r="F782" s="171"/>
      <c r="G782" s="172"/>
      <c r="H782" s="173"/>
      <c r="I782" s="193"/>
      <c r="J782" s="171"/>
      <c r="K782" s="194"/>
      <c r="L782" s="173"/>
      <c r="M782" s="171"/>
      <c r="N782" s="171"/>
      <c r="O782" s="194"/>
      <c r="P782" s="195"/>
      <c r="Q782" s="171"/>
      <c r="R782" s="171"/>
      <c r="S782" s="194"/>
      <c r="T782" s="195"/>
      <c r="U782" s="171"/>
      <c r="V782" s="171"/>
      <c r="W782" s="194"/>
      <c r="X782" s="195"/>
      <c r="Y782" s="171"/>
      <c r="Z782" s="171"/>
      <c r="AA782" s="194"/>
      <c r="AB782" s="195"/>
      <c r="AC782" s="171"/>
      <c r="AD782" s="171"/>
      <c r="AE782" s="194"/>
      <c r="AF782" s="195"/>
      <c r="AG782" s="171"/>
      <c r="AH782" s="171"/>
      <c r="AI782" s="194"/>
      <c r="AJ782" s="196"/>
    </row>
    <row r="783" spans="2:36">
      <c r="B783" s="166"/>
      <c r="C783" s="167"/>
      <c r="D783" s="171"/>
      <c r="E783" s="171"/>
      <c r="F783" s="171"/>
      <c r="G783" s="172"/>
      <c r="H783" s="173"/>
      <c r="I783" s="193"/>
      <c r="J783" s="171"/>
      <c r="K783" s="194"/>
      <c r="L783" s="173"/>
      <c r="M783" s="171"/>
      <c r="N783" s="171"/>
      <c r="O783" s="194"/>
      <c r="P783" s="195"/>
      <c r="Q783" s="171"/>
      <c r="R783" s="171"/>
      <c r="S783" s="194"/>
      <c r="T783" s="195"/>
      <c r="U783" s="171"/>
      <c r="V783" s="171"/>
      <c r="W783" s="194"/>
      <c r="X783" s="195"/>
      <c r="Y783" s="171"/>
      <c r="Z783" s="171"/>
      <c r="AA783" s="194"/>
      <c r="AB783" s="195"/>
      <c r="AC783" s="171"/>
      <c r="AD783" s="171"/>
      <c r="AE783" s="194"/>
      <c r="AF783" s="195"/>
      <c r="AG783" s="171"/>
      <c r="AH783" s="171"/>
      <c r="AI783" s="194"/>
      <c r="AJ783" s="196"/>
    </row>
    <row r="784" spans="2:36">
      <c r="B784" s="166"/>
      <c r="C784" s="167"/>
      <c r="D784" s="171"/>
      <c r="E784" s="171"/>
      <c r="F784" s="171"/>
      <c r="G784" s="172"/>
      <c r="H784" s="173"/>
      <c r="I784" s="193"/>
      <c r="J784" s="171"/>
      <c r="K784" s="194"/>
      <c r="L784" s="173"/>
      <c r="M784" s="171"/>
      <c r="N784" s="171"/>
      <c r="O784" s="194"/>
      <c r="P784" s="195"/>
      <c r="Q784" s="171"/>
      <c r="R784" s="171"/>
      <c r="S784" s="194"/>
      <c r="T784" s="195"/>
      <c r="U784" s="171"/>
      <c r="V784" s="171"/>
      <c r="W784" s="194"/>
      <c r="X784" s="195"/>
      <c r="Y784" s="171"/>
      <c r="Z784" s="171"/>
      <c r="AA784" s="194"/>
      <c r="AB784" s="195"/>
      <c r="AC784" s="171"/>
      <c r="AD784" s="171"/>
      <c r="AE784" s="194"/>
      <c r="AF784" s="195"/>
      <c r="AG784" s="171"/>
      <c r="AH784" s="171"/>
      <c r="AI784" s="194"/>
      <c r="AJ784" s="196"/>
    </row>
    <row r="785" spans="2:36">
      <c r="B785" s="166"/>
      <c r="C785" s="167"/>
      <c r="D785" s="171"/>
      <c r="E785" s="171"/>
      <c r="F785" s="171"/>
      <c r="G785" s="172"/>
      <c r="H785" s="173"/>
      <c r="I785" s="193"/>
      <c r="J785" s="171"/>
      <c r="K785" s="194"/>
      <c r="L785" s="173"/>
      <c r="M785" s="171"/>
      <c r="N785" s="171"/>
      <c r="O785" s="194"/>
      <c r="P785" s="195"/>
      <c r="Q785" s="171"/>
      <c r="R785" s="171"/>
      <c r="S785" s="194"/>
      <c r="T785" s="195"/>
      <c r="U785" s="171"/>
      <c r="V785" s="171"/>
      <c r="W785" s="194"/>
      <c r="X785" s="195"/>
      <c r="Y785" s="171"/>
      <c r="Z785" s="171"/>
      <c r="AA785" s="194"/>
      <c r="AB785" s="195"/>
      <c r="AC785" s="171"/>
      <c r="AD785" s="171"/>
      <c r="AE785" s="194"/>
      <c r="AF785" s="195"/>
      <c r="AG785" s="171"/>
      <c r="AH785" s="171"/>
      <c r="AI785" s="194"/>
      <c r="AJ785" s="196"/>
    </row>
    <row r="786" spans="2:36">
      <c r="B786" s="166"/>
      <c r="C786" s="167"/>
      <c r="D786" s="171"/>
      <c r="E786" s="171"/>
      <c r="F786" s="171"/>
      <c r="G786" s="172"/>
      <c r="H786" s="173"/>
      <c r="I786" s="193"/>
      <c r="J786" s="171"/>
      <c r="K786" s="194"/>
      <c r="L786" s="173"/>
      <c r="M786" s="171"/>
      <c r="N786" s="171"/>
      <c r="O786" s="194"/>
      <c r="P786" s="195"/>
      <c r="Q786" s="171"/>
      <c r="R786" s="171"/>
      <c r="S786" s="194"/>
      <c r="T786" s="195"/>
      <c r="U786" s="171"/>
      <c r="V786" s="171"/>
      <c r="W786" s="194"/>
      <c r="X786" s="195"/>
      <c r="Y786" s="171"/>
      <c r="Z786" s="171"/>
      <c r="AA786" s="194"/>
      <c r="AB786" s="195"/>
      <c r="AC786" s="171"/>
      <c r="AD786" s="171"/>
      <c r="AE786" s="194"/>
      <c r="AF786" s="195"/>
      <c r="AG786" s="171"/>
      <c r="AH786" s="171"/>
      <c r="AI786" s="194"/>
      <c r="AJ786" s="196"/>
    </row>
    <row r="787" spans="2:36">
      <c r="B787" s="166"/>
      <c r="C787" s="167"/>
      <c r="D787" s="171"/>
      <c r="E787" s="171"/>
      <c r="F787" s="171"/>
      <c r="G787" s="172"/>
      <c r="H787" s="173"/>
      <c r="I787" s="193"/>
      <c r="J787" s="171"/>
      <c r="K787" s="194"/>
      <c r="L787" s="173"/>
      <c r="M787" s="171"/>
      <c r="N787" s="171"/>
      <c r="O787" s="194"/>
      <c r="P787" s="195"/>
      <c r="Q787" s="171"/>
      <c r="R787" s="171"/>
      <c r="S787" s="194"/>
      <c r="T787" s="195"/>
      <c r="U787" s="171"/>
      <c r="V787" s="171"/>
      <c r="W787" s="194"/>
      <c r="X787" s="195"/>
      <c r="Y787" s="171"/>
      <c r="Z787" s="171"/>
      <c r="AA787" s="194"/>
      <c r="AB787" s="195"/>
      <c r="AC787" s="171"/>
      <c r="AD787" s="171"/>
      <c r="AE787" s="194"/>
      <c r="AF787" s="195"/>
      <c r="AG787" s="171"/>
      <c r="AH787" s="171"/>
      <c r="AI787" s="194"/>
      <c r="AJ787" s="196"/>
    </row>
    <row r="788" spans="2:36">
      <c r="B788" s="166"/>
      <c r="C788" s="167"/>
      <c r="D788" s="171"/>
      <c r="E788" s="171"/>
      <c r="F788" s="171"/>
      <c r="G788" s="172"/>
      <c r="H788" s="173"/>
      <c r="I788" s="193"/>
      <c r="J788" s="171"/>
      <c r="K788" s="194"/>
      <c r="L788" s="173"/>
      <c r="M788" s="171"/>
      <c r="N788" s="171"/>
      <c r="O788" s="194"/>
      <c r="P788" s="195"/>
      <c r="Q788" s="171"/>
      <c r="R788" s="171"/>
      <c r="S788" s="194"/>
      <c r="T788" s="195"/>
      <c r="U788" s="171"/>
      <c r="V788" s="171"/>
      <c r="W788" s="194"/>
      <c r="X788" s="195"/>
      <c r="Y788" s="171"/>
      <c r="Z788" s="171"/>
      <c r="AA788" s="194"/>
      <c r="AB788" s="195"/>
      <c r="AC788" s="171"/>
      <c r="AD788" s="171"/>
      <c r="AE788" s="194"/>
      <c r="AF788" s="195"/>
      <c r="AG788" s="171"/>
      <c r="AH788" s="171"/>
      <c r="AI788" s="194"/>
      <c r="AJ788" s="196"/>
    </row>
    <row r="789" spans="2:36">
      <c r="B789" s="166"/>
      <c r="C789" s="167"/>
      <c r="D789" s="171"/>
      <c r="E789" s="171"/>
      <c r="F789" s="171"/>
      <c r="G789" s="172"/>
      <c r="H789" s="173"/>
      <c r="I789" s="193"/>
      <c r="J789" s="171"/>
      <c r="K789" s="194"/>
      <c r="L789" s="173"/>
      <c r="M789" s="171"/>
      <c r="N789" s="171"/>
      <c r="O789" s="194"/>
      <c r="P789" s="195"/>
      <c r="Q789" s="171"/>
      <c r="R789" s="171"/>
      <c r="S789" s="194"/>
      <c r="T789" s="195"/>
      <c r="U789" s="171"/>
      <c r="V789" s="171"/>
      <c r="W789" s="194"/>
      <c r="X789" s="195"/>
      <c r="Y789" s="171"/>
      <c r="Z789" s="171"/>
      <c r="AA789" s="194"/>
      <c r="AB789" s="195"/>
      <c r="AC789" s="171"/>
      <c r="AD789" s="171"/>
      <c r="AE789" s="194"/>
      <c r="AF789" s="195"/>
      <c r="AG789" s="171"/>
      <c r="AH789" s="171"/>
      <c r="AI789" s="194"/>
      <c r="AJ789" s="196"/>
    </row>
    <row r="790" spans="2:36">
      <c r="B790" s="166"/>
      <c r="C790" s="167"/>
      <c r="D790" s="171"/>
      <c r="E790" s="171"/>
      <c r="F790" s="171"/>
      <c r="G790" s="172"/>
      <c r="H790" s="173"/>
      <c r="I790" s="193"/>
      <c r="J790" s="171"/>
      <c r="K790" s="194"/>
      <c r="L790" s="173"/>
      <c r="M790" s="171"/>
      <c r="N790" s="171"/>
      <c r="O790" s="194"/>
      <c r="P790" s="195"/>
      <c r="Q790" s="171"/>
      <c r="R790" s="171"/>
      <c r="S790" s="194"/>
      <c r="T790" s="195"/>
      <c r="U790" s="171"/>
      <c r="V790" s="171"/>
      <c r="W790" s="194"/>
      <c r="X790" s="195"/>
      <c r="Y790" s="171"/>
      <c r="Z790" s="171"/>
      <c r="AA790" s="194"/>
      <c r="AB790" s="195"/>
      <c r="AC790" s="171"/>
      <c r="AD790" s="171"/>
      <c r="AE790" s="194"/>
      <c r="AF790" s="195"/>
      <c r="AG790" s="171"/>
      <c r="AH790" s="171"/>
      <c r="AI790" s="194"/>
      <c r="AJ790" s="196"/>
    </row>
    <row r="791" spans="2:36">
      <c r="B791" s="166"/>
      <c r="C791" s="167"/>
      <c r="D791" s="171"/>
      <c r="E791" s="171"/>
      <c r="F791" s="171"/>
      <c r="G791" s="172"/>
      <c r="H791" s="173"/>
      <c r="I791" s="193"/>
      <c r="J791" s="171"/>
      <c r="K791" s="194"/>
      <c r="L791" s="173"/>
      <c r="M791" s="171"/>
      <c r="N791" s="171"/>
      <c r="O791" s="194"/>
      <c r="P791" s="195"/>
      <c r="Q791" s="171"/>
      <c r="R791" s="171"/>
      <c r="S791" s="194"/>
      <c r="T791" s="195"/>
      <c r="U791" s="171"/>
      <c r="V791" s="171"/>
      <c r="W791" s="194"/>
      <c r="X791" s="195"/>
      <c r="Y791" s="171"/>
      <c r="Z791" s="171"/>
      <c r="AA791" s="194"/>
      <c r="AB791" s="195"/>
      <c r="AC791" s="171"/>
      <c r="AD791" s="171"/>
      <c r="AE791" s="194"/>
      <c r="AF791" s="195"/>
      <c r="AG791" s="171"/>
      <c r="AH791" s="171"/>
      <c r="AI791" s="194"/>
      <c r="AJ791" s="196"/>
    </row>
    <row r="792" spans="2:36">
      <c r="B792" s="166"/>
      <c r="C792" s="167"/>
      <c r="D792" s="171"/>
      <c r="E792" s="171"/>
      <c r="F792" s="171"/>
      <c r="G792" s="172"/>
      <c r="H792" s="173"/>
      <c r="I792" s="193"/>
      <c r="J792" s="171"/>
      <c r="K792" s="194"/>
      <c r="L792" s="173"/>
      <c r="M792" s="171"/>
      <c r="N792" s="171"/>
      <c r="O792" s="194"/>
      <c r="P792" s="195"/>
      <c r="Q792" s="171"/>
      <c r="R792" s="171"/>
      <c r="S792" s="194"/>
      <c r="T792" s="195"/>
      <c r="U792" s="171"/>
      <c r="V792" s="171"/>
      <c r="W792" s="194"/>
      <c r="X792" s="195"/>
      <c r="Y792" s="171"/>
      <c r="Z792" s="171"/>
      <c r="AA792" s="194"/>
      <c r="AB792" s="195"/>
      <c r="AC792" s="171"/>
      <c r="AD792" s="171"/>
      <c r="AE792" s="194"/>
      <c r="AF792" s="195"/>
      <c r="AG792" s="171"/>
      <c r="AH792" s="171"/>
      <c r="AI792" s="194"/>
      <c r="AJ792" s="196"/>
    </row>
    <row r="793" spans="2:36">
      <c r="B793" s="166"/>
      <c r="C793" s="167"/>
      <c r="D793" s="171"/>
      <c r="E793" s="171"/>
      <c r="F793" s="171"/>
      <c r="G793" s="172"/>
      <c r="H793" s="173"/>
      <c r="I793" s="193"/>
      <c r="J793" s="171"/>
      <c r="K793" s="194"/>
      <c r="L793" s="173"/>
      <c r="M793" s="171"/>
      <c r="N793" s="171"/>
      <c r="O793" s="194"/>
      <c r="P793" s="195"/>
      <c r="Q793" s="171"/>
      <c r="R793" s="171"/>
      <c r="S793" s="194"/>
      <c r="T793" s="195"/>
      <c r="U793" s="171"/>
      <c r="V793" s="171"/>
      <c r="W793" s="194"/>
      <c r="X793" s="195"/>
      <c r="Y793" s="171"/>
      <c r="Z793" s="171"/>
      <c r="AA793" s="194"/>
      <c r="AB793" s="195"/>
      <c r="AC793" s="171"/>
      <c r="AD793" s="171"/>
      <c r="AE793" s="194"/>
      <c r="AF793" s="195"/>
      <c r="AG793" s="171"/>
      <c r="AH793" s="171"/>
      <c r="AI793" s="194"/>
      <c r="AJ793" s="196"/>
    </row>
    <row r="794" spans="2:36">
      <c r="B794" s="166"/>
      <c r="C794" s="167"/>
      <c r="D794" s="171"/>
      <c r="E794" s="171"/>
      <c r="F794" s="171"/>
      <c r="G794" s="172"/>
      <c r="H794" s="173"/>
      <c r="I794" s="193"/>
      <c r="J794" s="171"/>
      <c r="K794" s="194"/>
      <c r="L794" s="173"/>
      <c r="M794" s="171"/>
      <c r="N794" s="171"/>
      <c r="O794" s="194"/>
      <c r="P794" s="195"/>
      <c r="Q794" s="171"/>
      <c r="R794" s="171"/>
      <c r="S794" s="194"/>
      <c r="T794" s="195"/>
      <c r="U794" s="171"/>
      <c r="V794" s="171"/>
      <c r="W794" s="194"/>
      <c r="X794" s="195"/>
      <c r="Y794" s="171"/>
      <c r="Z794" s="171"/>
      <c r="AA794" s="194"/>
      <c r="AB794" s="195"/>
      <c r="AC794" s="171"/>
      <c r="AD794" s="171"/>
      <c r="AE794" s="194"/>
      <c r="AF794" s="195"/>
      <c r="AG794" s="171"/>
      <c r="AH794" s="171"/>
      <c r="AI794" s="194"/>
      <c r="AJ794" s="196"/>
    </row>
    <row r="795" spans="2:36">
      <c r="B795" s="166"/>
      <c r="C795" s="167"/>
      <c r="D795" s="171"/>
      <c r="E795" s="171"/>
      <c r="F795" s="171"/>
      <c r="G795" s="172"/>
      <c r="H795" s="173"/>
      <c r="I795" s="193"/>
      <c r="J795" s="171"/>
      <c r="K795" s="194"/>
      <c r="L795" s="173"/>
      <c r="M795" s="171"/>
      <c r="N795" s="171"/>
      <c r="O795" s="194"/>
      <c r="P795" s="195"/>
      <c r="Q795" s="171"/>
      <c r="R795" s="171"/>
      <c r="S795" s="194"/>
      <c r="T795" s="195"/>
      <c r="U795" s="171"/>
      <c r="V795" s="171"/>
      <c r="W795" s="194"/>
      <c r="X795" s="195"/>
      <c r="Y795" s="171"/>
      <c r="Z795" s="171"/>
      <c r="AA795" s="194"/>
      <c r="AB795" s="195"/>
      <c r="AC795" s="171"/>
      <c r="AD795" s="171"/>
      <c r="AE795" s="194"/>
      <c r="AF795" s="195"/>
      <c r="AG795" s="171"/>
      <c r="AH795" s="171"/>
      <c r="AI795" s="194"/>
      <c r="AJ795" s="196"/>
    </row>
    <row r="796" spans="2:36">
      <c r="B796" s="166"/>
      <c r="C796" s="167"/>
      <c r="D796" s="171"/>
      <c r="E796" s="171"/>
      <c r="F796" s="171"/>
      <c r="G796" s="172"/>
      <c r="H796" s="173"/>
      <c r="I796" s="193"/>
      <c r="J796" s="171"/>
      <c r="K796" s="194"/>
      <c r="L796" s="173"/>
      <c r="M796" s="171"/>
      <c r="N796" s="171"/>
      <c r="O796" s="194"/>
      <c r="P796" s="195"/>
      <c r="Q796" s="171"/>
      <c r="R796" s="171"/>
      <c r="S796" s="194"/>
      <c r="T796" s="195"/>
      <c r="U796" s="171"/>
      <c r="V796" s="171"/>
      <c r="W796" s="194"/>
      <c r="X796" s="195"/>
      <c r="Y796" s="171"/>
      <c r="Z796" s="171"/>
      <c r="AA796" s="194"/>
      <c r="AB796" s="195"/>
      <c r="AC796" s="171"/>
      <c r="AD796" s="171"/>
      <c r="AE796" s="194"/>
      <c r="AF796" s="195"/>
      <c r="AG796" s="171"/>
      <c r="AH796" s="171"/>
      <c r="AI796" s="194"/>
      <c r="AJ796" s="196"/>
    </row>
    <row r="797" spans="2:36">
      <c r="B797" s="166"/>
      <c r="C797" s="167"/>
      <c r="D797" s="171"/>
      <c r="E797" s="171"/>
      <c r="F797" s="171"/>
      <c r="G797" s="172"/>
      <c r="H797" s="173"/>
      <c r="I797" s="193"/>
      <c r="J797" s="171"/>
      <c r="K797" s="194"/>
      <c r="L797" s="173"/>
      <c r="M797" s="171"/>
      <c r="N797" s="171"/>
      <c r="O797" s="194"/>
      <c r="P797" s="195"/>
      <c r="Q797" s="171"/>
      <c r="R797" s="171"/>
      <c r="S797" s="194"/>
      <c r="T797" s="195"/>
      <c r="U797" s="171"/>
      <c r="V797" s="171"/>
      <c r="W797" s="194"/>
      <c r="X797" s="195"/>
      <c r="Y797" s="171"/>
      <c r="Z797" s="171"/>
      <c r="AA797" s="194"/>
      <c r="AB797" s="195"/>
      <c r="AC797" s="171"/>
      <c r="AD797" s="171"/>
      <c r="AE797" s="194"/>
      <c r="AF797" s="195"/>
      <c r="AG797" s="171"/>
      <c r="AH797" s="171"/>
      <c r="AI797" s="194"/>
      <c r="AJ797" s="196"/>
    </row>
    <row r="798" spans="2:36">
      <c r="B798" s="166"/>
      <c r="C798" s="167"/>
      <c r="D798" s="171"/>
      <c r="E798" s="171"/>
      <c r="F798" s="171"/>
      <c r="G798" s="172"/>
      <c r="H798" s="173"/>
      <c r="I798" s="193"/>
      <c r="J798" s="171"/>
      <c r="K798" s="194"/>
      <c r="L798" s="173"/>
      <c r="M798" s="171"/>
      <c r="N798" s="171"/>
      <c r="O798" s="194"/>
      <c r="P798" s="195"/>
      <c r="Q798" s="171"/>
      <c r="R798" s="171"/>
      <c r="S798" s="194"/>
      <c r="T798" s="195"/>
      <c r="U798" s="171"/>
      <c r="V798" s="171"/>
      <c r="W798" s="194"/>
      <c r="X798" s="195"/>
      <c r="Y798" s="171"/>
      <c r="Z798" s="171"/>
      <c r="AA798" s="194"/>
      <c r="AB798" s="195"/>
      <c r="AC798" s="171"/>
      <c r="AD798" s="171"/>
      <c r="AE798" s="194"/>
      <c r="AF798" s="195"/>
      <c r="AG798" s="171"/>
      <c r="AH798" s="171"/>
      <c r="AI798" s="194"/>
      <c r="AJ798" s="196"/>
    </row>
    <row r="799" spans="2:36">
      <c r="B799" s="166"/>
      <c r="C799" s="167"/>
      <c r="D799" s="171"/>
      <c r="E799" s="171"/>
      <c r="F799" s="171"/>
      <c r="G799" s="172"/>
      <c r="H799" s="173"/>
      <c r="I799" s="193"/>
      <c r="J799" s="171"/>
      <c r="K799" s="194"/>
      <c r="L799" s="173"/>
      <c r="M799" s="171"/>
      <c r="N799" s="171"/>
      <c r="O799" s="194"/>
      <c r="P799" s="195"/>
      <c r="Q799" s="171"/>
      <c r="R799" s="171"/>
      <c r="S799" s="194"/>
      <c r="T799" s="195"/>
      <c r="U799" s="171"/>
      <c r="V799" s="171"/>
      <c r="W799" s="194"/>
      <c r="X799" s="195"/>
      <c r="Y799" s="171"/>
      <c r="Z799" s="171"/>
      <c r="AA799" s="194"/>
      <c r="AB799" s="195"/>
      <c r="AC799" s="171"/>
      <c r="AD799" s="171"/>
      <c r="AE799" s="194"/>
      <c r="AF799" s="195"/>
      <c r="AG799" s="171"/>
      <c r="AH799" s="171"/>
      <c r="AI799" s="194"/>
      <c r="AJ799" s="196"/>
    </row>
    <row r="800" spans="2:36">
      <c r="B800" s="166"/>
      <c r="C800" s="167"/>
      <c r="D800" s="171"/>
      <c r="E800" s="171"/>
      <c r="F800" s="171"/>
      <c r="G800" s="172"/>
      <c r="H800" s="173"/>
      <c r="I800" s="193"/>
      <c r="J800" s="171"/>
      <c r="K800" s="194"/>
      <c r="L800" s="173"/>
      <c r="M800" s="171"/>
      <c r="N800" s="171"/>
      <c r="O800" s="194"/>
      <c r="P800" s="195"/>
      <c r="Q800" s="171"/>
      <c r="R800" s="171"/>
      <c r="S800" s="194"/>
      <c r="T800" s="195"/>
      <c r="U800" s="171"/>
      <c r="V800" s="171"/>
      <c r="W800" s="194"/>
      <c r="X800" s="195"/>
      <c r="Y800" s="171"/>
      <c r="Z800" s="171"/>
      <c r="AA800" s="194"/>
      <c r="AB800" s="195"/>
      <c r="AC800" s="171"/>
      <c r="AD800" s="171"/>
      <c r="AE800" s="194"/>
      <c r="AF800" s="195"/>
      <c r="AG800" s="171"/>
      <c r="AH800" s="171"/>
      <c r="AI800" s="194"/>
      <c r="AJ800" s="196"/>
    </row>
    <row r="801" spans="2:36">
      <c r="B801" s="166"/>
      <c r="C801" s="167"/>
      <c r="D801" s="171"/>
      <c r="E801" s="171"/>
      <c r="F801" s="171"/>
      <c r="G801" s="172"/>
      <c r="H801" s="173"/>
      <c r="I801" s="193"/>
      <c r="J801" s="171"/>
      <c r="K801" s="194"/>
      <c r="L801" s="173"/>
      <c r="M801" s="171"/>
      <c r="N801" s="171"/>
      <c r="O801" s="194"/>
      <c r="P801" s="195"/>
      <c r="Q801" s="171"/>
      <c r="R801" s="171"/>
      <c r="S801" s="194"/>
      <c r="T801" s="195"/>
      <c r="U801" s="171"/>
      <c r="V801" s="171"/>
      <c r="W801" s="194"/>
      <c r="X801" s="195"/>
      <c r="Y801" s="171"/>
      <c r="Z801" s="171"/>
      <c r="AA801" s="194"/>
      <c r="AB801" s="195"/>
      <c r="AC801" s="171"/>
      <c r="AD801" s="171"/>
      <c r="AE801" s="194"/>
      <c r="AF801" s="195"/>
      <c r="AG801" s="171"/>
      <c r="AH801" s="171"/>
      <c r="AI801" s="194"/>
      <c r="AJ801" s="196"/>
    </row>
    <row r="802" spans="2:36">
      <c r="B802" s="166"/>
      <c r="C802" s="167"/>
      <c r="D802" s="171"/>
      <c r="E802" s="171"/>
      <c r="F802" s="171"/>
      <c r="G802" s="172"/>
      <c r="H802" s="173"/>
      <c r="I802" s="193"/>
      <c r="J802" s="171"/>
      <c r="K802" s="194"/>
      <c r="L802" s="173"/>
      <c r="M802" s="171"/>
      <c r="N802" s="171"/>
      <c r="O802" s="194"/>
      <c r="P802" s="195"/>
      <c r="Q802" s="171"/>
      <c r="R802" s="171"/>
      <c r="S802" s="194"/>
      <c r="T802" s="195"/>
      <c r="U802" s="171"/>
      <c r="V802" s="171"/>
      <c r="W802" s="194"/>
      <c r="X802" s="195"/>
      <c r="Y802" s="171"/>
      <c r="Z802" s="171"/>
      <c r="AA802" s="194"/>
      <c r="AB802" s="195"/>
      <c r="AC802" s="171"/>
      <c r="AD802" s="171"/>
      <c r="AE802" s="194"/>
      <c r="AF802" s="195"/>
      <c r="AG802" s="171"/>
      <c r="AH802" s="171"/>
      <c r="AI802" s="194"/>
      <c r="AJ802" s="196"/>
    </row>
    <row r="803" spans="2:36">
      <c r="B803" s="166"/>
      <c r="C803" s="167"/>
      <c r="D803" s="171"/>
      <c r="E803" s="171"/>
      <c r="F803" s="171"/>
      <c r="G803" s="172"/>
      <c r="H803" s="173"/>
      <c r="I803" s="193"/>
      <c r="J803" s="171"/>
      <c r="K803" s="194"/>
      <c r="L803" s="173"/>
      <c r="M803" s="171"/>
      <c r="N803" s="171"/>
      <c r="O803" s="194"/>
      <c r="P803" s="195"/>
      <c r="Q803" s="171"/>
      <c r="R803" s="171"/>
      <c r="S803" s="194"/>
      <c r="T803" s="195"/>
      <c r="U803" s="171"/>
      <c r="V803" s="171"/>
      <c r="W803" s="194"/>
      <c r="X803" s="195"/>
      <c r="Y803" s="171"/>
      <c r="Z803" s="171"/>
      <c r="AA803" s="194"/>
      <c r="AB803" s="195"/>
      <c r="AC803" s="171"/>
      <c r="AD803" s="171"/>
      <c r="AE803" s="194"/>
      <c r="AF803" s="195"/>
      <c r="AG803" s="171"/>
      <c r="AH803" s="171"/>
      <c r="AI803" s="194"/>
      <c r="AJ803" s="196"/>
    </row>
    <row r="804" spans="2:36">
      <c r="B804" s="166"/>
      <c r="C804" s="167"/>
      <c r="D804" s="171"/>
      <c r="E804" s="171"/>
      <c r="F804" s="171"/>
      <c r="G804" s="172"/>
      <c r="H804" s="173"/>
      <c r="I804" s="193"/>
      <c r="J804" s="171"/>
      <c r="K804" s="194"/>
      <c r="L804" s="173"/>
      <c r="M804" s="171"/>
      <c r="N804" s="171"/>
      <c r="O804" s="194"/>
      <c r="P804" s="195"/>
      <c r="Q804" s="171"/>
      <c r="R804" s="171"/>
      <c r="S804" s="194"/>
      <c r="T804" s="195"/>
      <c r="U804" s="171"/>
      <c r="V804" s="171"/>
      <c r="W804" s="194"/>
      <c r="X804" s="195"/>
      <c r="Y804" s="171"/>
      <c r="Z804" s="171"/>
      <c r="AA804" s="194"/>
      <c r="AB804" s="195"/>
      <c r="AC804" s="171"/>
      <c r="AD804" s="171"/>
      <c r="AE804" s="194"/>
      <c r="AF804" s="195"/>
      <c r="AG804" s="171"/>
      <c r="AH804" s="171"/>
      <c r="AI804" s="194"/>
      <c r="AJ804" s="196"/>
    </row>
    <row r="805" spans="2:36">
      <c r="B805" s="166"/>
      <c r="C805" s="167"/>
      <c r="D805" s="171"/>
      <c r="E805" s="171"/>
      <c r="F805" s="171"/>
      <c r="G805" s="172"/>
      <c r="H805" s="173"/>
      <c r="I805" s="193"/>
      <c r="J805" s="171"/>
      <c r="K805" s="194"/>
      <c r="L805" s="173"/>
      <c r="M805" s="171"/>
      <c r="N805" s="171"/>
      <c r="O805" s="194"/>
      <c r="P805" s="195"/>
      <c r="Q805" s="171"/>
      <c r="R805" s="171"/>
      <c r="S805" s="194"/>
      <c r="T805" s="195"/>
      <c r="U805" s="171"/>
      <c r="V805" s="171"/>
      <c r="W805" s="194"/>
      <c r="X805" s="195"/>
      <c r="Y805" s="171"/>
      <c r="Z805" s="171"/>
      <c r="AA805" s="194"/>
      <c r="AB805" s="195"/>
      <c r="AC805" s="171"/>
      <c r="AD805" s="171"/>
      <c r="AE805" s="194"/>
      <c r="AF805" s="195"/>
      <c r="AG805" s="171"/>
      <c r="AH805" s="171"/>
      <c r="AI805" s="194"/>
      <c r="AJ805" s="196"/>
    </row>
    <row r="806" spans="2:36">
      <c r="B806" s="166"/>
      <c r="C806" s="167"/>
      <c r="D806" s="171"/>
      <c r="E806" s="171"/>
      <c r="F806" s="171"/>
      <c r="G806" s="172"/>
      <c r="H806" s="173"/>
      <c r="I806" s="193"/>
      <c r="J806" s="171"/>
      <c r="K806" s="194"/>
      <c r="L806" s="173"/>
      <c r="M806" s="171"/>
      <c r="N806" s="171"/>
      <c r="O806" s="194"/>
      <c r="P806" s="195"/>
      <c r="Q806" s="171"/>
      <c r="R806" s="171"/>
      <c r="S806" s="194"/>
      <c r="T806" s="195"/>
      <c r="U806" s="171"/>
      <c r="V806" s="171"/>
      <c r="W806" s="194"/>
      <c r="X806" s="195"/>
      <c r="Y806" s="171"/>
      <c r="Z806" s="171"/>
      <c r="AA806" s="194"/>
      <c r="AB806" s="195"/>
      <c r="AC806" s="171"/>
      <c r="AD806" s="171"/>
      <c r="AE806" s="194"/>
      <c r="AF806" s="195"/>
      <c r="AG806" s="171"/>
      <c r="AH806" s="171"/>
      <c r="AI806" s="194"/>
      <c r="AJ806" s="196"/>
    </row>
    <row r="807" spans="2:36">
      <c r="B807" s="166"/>
      <c r="C807" s="167"/>
      <c r="D807" s="171"/>
      <c r="E807" s="171"/>
      <c r="F807" s="171"/>
      <c r="G807" s="172"/>
      <c r="H807" s="173"/>
      <c r="I807" s="193"/>
      <c r="J807" s="171"/>
      <c r="K807" s="194"/>
      <c r="L807" s="173"/>
      <c r="M807" s="171"/>
      <c r="N807" s="171"/>
      <c r="O807" s="194"/>
      <c r="P807" s="195"/>
      <c r="Q807" s="171"/>
      <c r="R807" s="171"/>
      <c r="S807" s="194"/>
      <c r="T807" s="195"/>
      <c r="U807" s="171"/>
      <c r="V807" s="171"/>
      <c r="W807" s="194"/>
      <c r="X807" s="195"/>
      <c r="Y807" s="171"/>
      <c r="Z807" s="171"/>
      <c r="AA807" s="194"/>
      <c r="AB807" s="195"/>
      <c r="AC807" s="171"/>
      <c r="AD807" s="171"/>
      <c r="AE807" s="194"/>
      <c r="AF807" s="195"/>
      <c r="AG807" s="171"/>
      <c r="AH807" s="171"/>
      <c r="AI807" s="194"/>
      <c r="AJ807" s="196"/>
    </row>
    <row r="808" spans="2:36">
      <c r="B808" s="166"/>
      <c r="C808" s="167"/>
      <c r="D808" s="171"/>
      <c r="E808" s="171"/>
      <c r="F808" s="171"/>
      <c r="G808" s="172"/>
      <c r="H808" s="173"/>
      <c r="I808" s="193"/>
      <c r="J808" s="171"/>
      <c r="K808" s="194"/>
      <c r="L808" s="173"/>
      <c r="M808" s="171"/>
      <c r="N808" s="171"/>
      <c r="O808" s="194"/>
      <c r="P808" s="195"/>
      <c r="Q808" s="171"/>
      <c r="R808" s="171"/>
      <c r="S808" s="194"/>
      <c r="T808" s="195"/>
      <c r="U808" s="171"/>
      <c r="V808" s="171"/>
      <c r="W808" s="194"/>
      <c r="X808" s="195"/>
      <c r="Y808" s="171"/>
      <c r="Z808" s="171"/>
      <c r="AA808" s="194"/>
      <c r="AB808" s="195"/>
      <c r="AC808" s="171"/>
      <c r="AD808" s="171"/>
      <c r="AE808" s="194"/>
      <c r="AF808" s="195"/>
      <c r="AG808" s="171"/>
      <c r="AH808" s="171"/>
      <c r="AI808" s="194"/>
      <c r="AJ808" s="196"/>
    </row>
    <row r="809" spans="2:36">
      <c r="B809" s="166"/>
      <c r="C809" s="167"/>
      <c r="D809" s="171"/>
      <c r="E809" s="171"/>
      <c r="F809" s="171"/>
      <c r="G809" s="172"/>
      <c r="H809" s="173"/>
      <c r="I809" s="193"/>
      <c r="J809" s="171"/>
      <c r="K809" s="194"/>
      <c r="L809" s="173"/>
      <c r="M809" s="171"/>
      <c r="N809" s="171"/>
      <c r="O809" s="194"/>
      <c r="P809" s="195"/>
      <c r="Q809" s="171"/>
      <c r="R809" s="171"/>
      <c r="S809" s="194"/>
      <c r="T809" s="195"/>
      <c r="U809" s="171"/>
      <c r="V809" s="171"/>
      <c r="W809" s="194"/>
      <c r="X809" s="195"/>
      <c r="Y809" s="171"/>
      <c r="Z809" s="171"/>
      <c r="AA809" s="194"/>
      <c r="AB809" s="195"/>
      <c r="AC809" s="171"/>
      <c r="AD809" s="171"/>
      <c r="AE809" s="194"/>
      <c r="AF809" s="195"/>
      <c r="AG809" s="171"/>
      <c r="AH809" s="171"/>
      <c r="AI809" s="194"/>
      <c r="AJ809" s="196"/>
    </row>
    <row r="810" spans="2:36">
      <c r="B810" s="166"/>
      <c r="C810" s="167"/>
      <c r="D810" s="171"/>
      <c r="E810" s="171"/>
      <c r="F810" s="171"/>
      <c r="G810" s="172"/>
      <c r="H810" s="173"/>
      <c r="I810" s="193"/>
      <c r="J810" s="171"/>
      <c r="K810" s="194"/>
      <c r="L810" s="173"/>
      <c r="M810" s="171"/>
      <c r="N810" s="171"/>
      <c r="O810" s="194"/>
      <c r="P810" s="195"/>
      <c r="Q810" s="171"/>
      <c r="R810" s="171"/>
      <c r="S810" s="194"/>
      <c r="T810" s="195"/>
      <c r="U810" s="171"/>
      <c r="V810" s="171"/>
      <c r="W810" s="194"/>
      <c r="X810" s="195"/>
      <c r="Y810" s="171"/>
      <c r="Z810" s="171"/>
      <c r="AA810" s="194"/>
      <c r="AB810" s="195"/>
      <c r="AC810" s="171"/>
      <c r="AD810" s="171"/>
      <c r="AE810" s="194"/>
      <c r="AF810" s="195"/>
      <c r="AG810" s="171"/>
      <c r="AH810" s="171"/>
      <c r="AI810" s="194"/>
      <c r="AJ810" s="196"/>
    </row>
    <row r="811" spans="2:36">
      <c r="B811" s="166"/>
      <c r="C811" s="167"/>
      <c r="D811" s="171"/>
      <c r="E811" s="171"/>
      <c r="F811" s="171"/>
      <c r="G811" s="172"/>
      <c r="H811" s="173"/>
      <c r="I811" s="193"/>
      <c r="J811" s="171"/>
      <c r="K811" s="194"/>
      <c r="L811" s="173"/>
      <c r="M811" s="171"/>
      <c r="N811" s="171"/>
      <c r="O811" s="194"/>
      <c r="P811" s="195"/>
      <c r="Q811" s="171"/>
      <c r="R811" s="171"/>
      <c r="S811" s="194"/>
      <c r="T811" s="195"/>
      <c r="U811" s="171"/>
      <c r="V811" s="171"/>
      <c r="W811" s="194"/>
      <c r="X811" s="195"/>
      <c r="Y811" s="171"/>
      <c r="Z811" s="171"/>
      <c r="AA811" s="194"/>
      <c r="AB811" s="195"/>
      <c r="AC811" s="171"/>
      <c r="AD811" s="171"/>
      <c r="AE811" s="194"/>
      <c r="AF811" s="195"/>
      <c r="AG811" s="171"/>
      <c r="AH811" s="171"/>
      <c r="AI811" s="194"/>
      <c r="AJ811" s="196"/>
    </row>
    <row r="812" spans="2:36">
      <c r="B812" s="166"/>
      <c r="C812" s="167"/>
      <c r="D812" s="171"/>
      <c r="E812" s="171"/>
      <c r="F812" s="171"/>
      <c r="G812" s="172"/>
      <c r="H812" s="173"/>
      <c r="I812" s="193"/>
      <c r="J812" s="171"/>
      <c r="K812" s="194"/>
      <c r="L812" s="173"/>
      <c r="M812" s="171"/>
      <c r="N812" s="171"/>
      <c r="O812" s="194"/>
      <c r="P812" s="195"/>
      <c r="Q812" s="171"/>
      <c r="R812" s="171"/>
      <c r="S812" s="194"/>
      <c r="T812" s="195"/>
      <c r="U812" s="171"/>
      <c r="V812" s="171"/>
      <c r="W812" s="194"/>
      <c r="X812" s="195"/>
      <c r="Y812" s="171"/>
      <c r="Z812" s="171"/>
      <c r="AA812" s="194"/>
      <c r="AB812" s="195"/>
      <c r="AC812" s="171"/>
      <c r="AD812" s="171"/>
      <c r="AE812" s="194"/>
      <c r="AF812" s="195"/>
      <c r="AG812" s="171"/>
      <c r="AH812" s="171"/>
      <c r="AI812" s="194"/>
      <c r="AJ812" s="196"/>
    </row>
    <row r="813" spans="2:36">
      <c r="B813" s="166"/>
      <c r="C813" s="167"/>
      <c r="D813" s="171"/>
      <c r="E813" s="171"/>
      <c r="F813" s="171"/>
      <c r="G813" s="172"/>
      <c r="H813" s="173"/>
      <c r="I813" s="193"/>
      <c r="J813" s="171"/>
      <c r="K813" s="194"/>
      <c r="L813" s="173"/>
      <c r="M813" s="171"/>
      <c r="N813" s="171"/>
      <c r="O813" s="194"/>
      <c r="P813" s="195"/>
      <c r="Q813" s="171"/>
      <c r="R813" s="171"/>
      <c r="S813" s="194"/>
      <c r="T813" s="195"/>
      <c r="U813" s="171"/>
      <c r="V813" s="171"/>
      <c r="W813" s="194"/>
      <c r="X813" s="195"/>
      <c r="Y813" s="171"/>
      <c r="Z813" s="171"/>
      <c r="AA813" s="194"/>
      <c r="AB813" s="195"/>
      <c r="AC813" s="171"/>
      <c r="AD813" s="171"/>
      <c r="AE813" s="194"/>
      <c r="AF813" s="195"/>
      <c r="AG813" s="171"/>
      <c r="AH813" s="171"/>
      <c r="AI813" s="194"/>
      <c r="AJ813" s="196"/>
    </row>
    <row r="814" spans="2:36">
      <c r="B814" s="166"/>
      <c r="C814" s="167"/>
      <c r="D814" s="171"/>
      <c r="E814" s="171"/>
      <c r="F814" s="171"/>
      <c r="G814" s="172"/>
      <c r="H814" s="173"/>
      <c r="I814" s="193"/>
      <c r="J814" s="171"/>
      <c r="K814" s="194"/>
      <c r="L814" s="173"/>
      <c r="M814" s="171"/>
      <c r="N814" s="171"/>
      <c r="O814" s="194"/>
      <c r="P814" s="195"/>
      <c r="Q814" s="171"/>
      <c r="R814" s="171"/>
      <c r="S814" s="194"/>
      <c r="T814" s="195"/>
      <c r="U814" s="171"/>
      <c r="V814" s="171"/>
      <c r="W814" s="194"/>
      <c r="X814" s="195"/>
      <c r="Y814" s="171"/>
      <c r="Z814" s="171"/>
      <c r="AA814" s="194"/>
      <c r="AB814" s="195"/>
      <c r="AC814" s="171"/>
      <c r="AD814" s="171"/>
      <c r="AE814" s="194"/>
      <c r="AF814" s="195"/>
      <c r="AG814" s="171"/>
      <c r="AH814" s="171"/>
      <c r="AI814" s="194"/>
      <c r="AJ814" s="196"/>
    </row>
    <row r="815" spans="2:36">
      <c r="B815" s="166"/>
      <c r="C815" s="167"/>
      <c r="D815" s="171"/>
      <c r="E815" s="171"/>
      <c r="F815" s="171"/>
      <c r="G815" s="172"/>
      <c r="H815" s="173"/>
      <c r="I815" s="193"/>
      <c r="J815" s="171"/>
      <c r="K815" s="194"/>
      <c r="L815" s="173"/>
      <c r="M815" s="171"/>
      <c r="N815" s="171"/>
      <c r="O815" s="194"/>
      <c r="P815" s="195"/>
      <c r="Q815" s="171"/>
      <c r="R815" s="171"/>
      <c r="S815" s="194"/>
      <c r="T815" s="195"/>
      <c r="U815" s="171"/>
      <c r="V815" s="171"/>
      <c r="W815" s="194"/>
      <c r="X815" s="195"/>
      <c r="Y815" s="171"/>
      <c r="Z815" s="171"/>
      <c r="AA815" s="194"/>
      <c r="AB815" s="195"/>
      <c r="AC815" s="171"/>
      <c r="AD815" s="171"/>
      <c r="AE815" s="194"/>
      <c r="AF815" s="195"/>
      <c r="AG815" s="171"/>
      <c r="AH815" s="171"/>
      <c r="AI815" s="194"/>
      <c r="AJ815" s="196"/>
    </row>
    <row r="816" spans="2:36">
      <c r="B816" s="166"/>
      <c r="C816" s="167"/>
      <c r="D816" s="171"/>
      <c r="E816" s="171"/>
      <c r="F816" s="171"/>
      <c r="G816" s="172"/>
      <c r="H816" s="173"/>
      <c r="I816" s="193"/>
      <c r="J816" s="171"/>
      <c r="K816" s="194"/>
      <c r="L816" s="173"/>
      <c r="M816" s="171"/>
      <c r="N816" s="171"/>
      <c r="O816" s="194"/>
      <c r="P816" s="195"/>
      <c r="Q816" s="171"/>
      <c r="R816" s="171"/>
      <c r="S816" s="194"/>
      <c r="T816" s="195"/>
      <c r="U816" s="171"/>
      <c r="V816" s="171"/>
      <c r="W816" s="194"/>
      <c r="X816" s="195"/>
      <c r="Y816" s="171"/>
      <c r="Z816" s="171"/>
      <c r="AA816" s="194"/>
      <c r="AB816" s="195"/>
      <c r="AC816" s="171"/>
      <c r="AD816" s="171"/>
      <c r="AE816" s="194"/>
      <c r="AF816" s="195"/>
      <c r="AG816" s="171"/>
      <c r="AH816" s="171"/>
      <c r="AI816" s="194"/>
      <c r="AJ816" s="196"/>
    </row>
    <row r="817" spans="2:36">
      <c r="B817" s="166"/>
      <c r="C817" s="167"/>
      <c r="D817" s="171"/>
      <c r="E817" s="171"/>
      <c r="F817" s="171"/>
      <c r="G817" s="172"/>
      <c r="H817" s="173"/>
      <c r="I817" s="193"/>
      <c r="J817" s="171"/>
      <c r="K817" s="194"/>
      <c r="L817" s="173"/>
      <c r="M817" s="171"/>
      <c r="N817" s="171"/>
      <c r="O817" s="194"/>
      <c r="P817" s="195"/>
      <c r="Q817" s="171"/>
      <c r="R817" s="171"/>
      <c r="S817" s="194"/>
      <c r="T817" s="195"/>
      <c r="U817" s="171"/>
      <c r="V817" s="171"/>
      <c r="W817" s="194"/>
      <c r="X817" s="195"/>
      <c r="Y817" s="171"/>
      <c r="Z817" s="171"/>
      <c r="AA817" s="194"/>
      <c r="AB817" s="195"/>
      <c r="AC817" s="171"/>
      <c r="AD817" s="171"/>
      <c r="AE817" s="194"/>
      <c r="AF817" s="195"/>
      <c r="AG817" s="171"/>
      <c r="AH817" s="171"/>
      <c r="AI817" s="194"/>
      <c r="AJ817" s="196"/>
    </row>
    <row r="818" spans="2:36">
      <c r="B818" s="166"/>
      <c r="C818" s="167"/>
      <c r="D818" s="171"/>
      <c r="E818" s="171"/>
      <c r="F818" s="171"/>
      <c r="G818" s="172"/>
      <c r="H818" s="173"/>
      <c r="I818" s="193"/>
      <c r="J818" s="171"/>
      <c r="K818" s="194"/>
      <c r="L818" s="173"/>
      <c r="M818" s="171"/>
      <c r="N818" s="171"/>
      <c r="O818" s="194"/>
      <c r="P818" s="195"/>
      <c r="Q818" s="171"/>
      <c r="R818" s="171"/>
      <c r="S818" s="194"/>
      <c r="T818" s="195"/>
      <c r="U818" s="171"/>
      <c r="V818" s="171"/>
      <c r="W818" s="194"/>
      <c r="X818" s="195"/>
      <c r="Y818" s="171"/>
      <c r="Z818" s="171"/>
      <c r="AA818" s="194"/>
      <c r="AB818" s="195"/>
      <c r="AC818" s="171"/>
      <c r="AD818" s="171"/>
      <c r="AE818" s="194"/>
      <c r="AF818" s="195"/>
      <c r="AG818" s="171"/>
      <c r="AH818" s="171"/>
      <c r="AI818" s="194"/>
      <c r="AJ818" s="196"/>
    </row>
    <row r="819" spans="2:36">
      <c r="B819" s="166"/>
      <c r="C819" s="167"/>
      <c r="D819" s="171"/>
      <c r="E819" s="171"/>
      <c r="F819" s="171"/>
      <c r="G819" s="172"/>
      <c r="H819" s="173"/>
      <c r="I819" s="193"/>
      <c r="J819" s="171"/>
      <c r="K819" s="194"/>
      <c r="L819" s="173"/>
      <c r="M819" s="171"/>
      <c r="N819" s="171"/>
      <c r="O819" s="194"/>
      <c r="P819" s="195"/>
      <c r="Q819" s="171"/>
      <c r="R819" s="171"/>
      <c r="S819" s="194"/>
      <c r="T819" s="195"/>
      <c r="U819" s="171"/>
      <c r="V819" s="171"/>
      <c r="W819" s="194"/>
      <c r="X819" s="195"/>
      <c r="Y819" s="171"/>
      <c r="Z819" s="171"/>
      <c r="AA819" s="194"/>
      <c r="AB819" s="195"/>
      <c r="AC819" s="171"/>
      <c r="AD819" s="171"/>
      <c r="AE819" s="194"/>
      <c r="AF819" s="195"/>
      <c r="AG819" s="171"/>
      <c r="AH819" s="171"/>
      <c r="AI819" s="194"/>
      <c r="AJ819" s="196"/>
    </row>
    <row r="820" spans="2:36">
      <c r="B820" s="166"/>
      <c r="C820" s="167"/>
      <c r="D820" s="171"/>
      <c r="E820" s="171"/>
      <c r="F820" s="171"/>
      <c r="G820" s="172"/>
      <c r="H820" s="173"/>
      <c r="I820" s="193"/>
      <c r="J820" s="171"/>
      <c r="K820" s="194"/>
      <c r="L820" s="173"/>
      <c r="M820" s="171"/>
      <c r="N820" s="171"/>
      <c r="O820" s="194"/>
      <c r="P820" s="195"/>
      <c r="Q820" s="171"/>
      <c r="R820" s="171"/>
      <c r="S820" s="194"/>
      <c r="T820" s="195"/>
      <c r="U820" s="171"/>
      <c r="V820" s="171"/>
      <c r="W820" s="194"/>
      <c r="X820" s="195"/>
      <c r="Y820" s="171"/>
      <c r="Z820" s="171"/>
      <c r="AA820" s="194"/>
      <c r="AB820" s="195"/>
      <c r="AC820" s="171"/>
      <c r="AD820" s="171"/>
      <c r="AE820" s="194"/>
      <c r="AF820" s="195"/>
      <c r="AG820" s="171"/>
      <c r="AH820" s="171"/>
      <c r="AI820" s="194"/>
      <c r="AJ820" s="196"/>
    </row>
    <row r="821" spans="2:36">
      <c r="B821" s="166"/>
      <c r="C821" s="167"/>
      <c r="D821" s="171"/>
      <c r="E821" s="171"/>
      <c r="F821" s="171"/>
      <c r="G821" s="172"/>
      <c r="H821" s="173"/>
      <c r="I821" s="193"/>
      <c r="J821" s="171"/>
      <c r="K821" s="194"/>
      <c r="L821" s="173"/>
      <c r="M821" s="171"/>
      <c r="N821" s="171"/>
      <c r="O821" s="194"/>
      <c r="P821" s="195"/>
      <c r="Q821" s="171"/>
      <c r="R821" s="171"/>
      <c r="S821" s="194"/>
      <c r="T821" s="195"/>
      <c r="U821" s="171"/>
      <c r="V821" s="171"/>
      <c r="W821" s="194"/>
      <c r="X821" s="195"/>
      <c r="Y821" s="171"/>
      <c r="Z821" s="171"/>
      <c r="AA821" s="194"/>
      <c r="AB821" s="195"/>
      <c r="AC821" s="171"/>
      <c r="AD821" s="171"/>
      <c r="AE821" s="194"/>
      <c r="AF821" s="195"/>
      <c r="AG821" s="171"/>
      <c r="AH821" s="171"/>
      <c r="AI821" s="194"/>
      <c r="AJ821" s="196"/>
    </row>
    <row r="822" spans="2:36">
      <c r="B822" s="166"/>
      <c r="C822" s="167"/>
      <c r="D822" s="171"/>
      <c r="E822" s="171"/>
      <c r="F822" s="171"/>
      <c r="G822" s="172"/>
      <c r="H822" s="173"/>
      <c r="I822" s="193"/>
      <c r="J822" s="171"/>
      <c r="K822" s="194"/>
      <c r="L822" s="173"/>
      <c r="M822" s="171"/>
      <c r="N822" s="171"/>
      <c r="O822" s="194"/>
      <c r="P822" s="195"/>
      <c r="Q822" s="171"/>
      <c r="R822" s="171"/>
      <c r="S822" s="194"/>
      <c r="T822" s="195"/>
      <c r="U822" s="171"/>
      <c r="V822" s="171"/>
      <c r="W822" s="194"/>
      <c r="X822" s="195"/>
      <c r="Y822" s="171"/>
      <c r="Z822" s="171"/>
      <c r="AA822" s="194"/>
      <c r="AB822" s="195"/>
      <c r="AC822" s="171"/>
      <c r="AD822" s="171"/>
      <c r="AE822" s="194"/>
      <c r="AF822" s="195"/>
      <c r="AG822" s="171"/>
      <c r="AH822" s="171"/>
      <c r="AI822" s="194"/>
      <c r="AJ822" s="196"/>
    </row>
    <row r="823" spans="2:36">
      <c r="B823" s="166"/>
      <c r="C823" s="167"/>
      <c r="D823" s="171"/>
      <c r="E823" s="171"/>
      <c r="F823" s="171"/>
      <c r="G823" s="172"/>
      <c r="H823" s="173"/>
      <c r="I823" s="193"/>
      <c r="J823" s="171"/>
      <c r="K823" s="194"/>
      <c r="L823" s="173"/>
      <c r="M823" s="171"/>
      <c r="N823" s="171"/>
      <c r="O823" s="194"/>
      <c r="P823" s="195"/>
      <c r="Q823" s="171"/>
      <c r="R823" s="171"/>
      <c r="S823" s="194"/>
      <c r="T823" s="195"/>
      <c r="U823" s="171"/>
      <c r="V823" s="171"/>
      <c r="W823" s="194"/>
      <c r="X823" s="195"/>
      <c r="Y823" s="171"/>
      <c r="Z823" s="171"/>
      <c r="AA823" s="194"/>
      <c r="AB823" s="195"/>
      <c r="AC823" s="171"/>
      <c r="AD823" s="171"/>
      <c r="AE823" s="194"/>
      <c r="AF823" s="195"/>
      <c r="AG823" s="171"/>
      <c r="AH823" s="171"/>
      <c r="AI823" s="194"/>
      <c r="AJ823" s="196"/>
    </row>
    <row r="824" spans="2:36">
      <c r="B824" s="166"/>
      <c r="C824" s="167"/>
      <c r="D824" s="171"/>
      <c r="E824" s="171"/>
      <c r="F824" s="171"/>
      <c r="G824" s="172"/>
      <c r="H824" s="173"/>
      <c r="I824" s="193"/>
      <c r="J824" s="171"/>
      <c r="K824" s="194"/>
      <c r="L824" s="173"/>
      <c r="M824" s="171"/>
      <c r="N824" s="171"/>
      <c r="O824" s="194"/>
      <c r="P824" s="195"/>
      <c r="Q824" s="171"/>
      <c r="R824" s="171"/>
      <c r="S824" s="194"/>
      <c r="T824" s="195"/>
      <c r="U824" s="171"/>
      <c r="V824" s="171"/>
      <c r="W824" s="194"/>
      <c r="X824" s="195"/>
      <c r="Y824" s="171"/>
      <c r="Z824" s="171"/>
      <c r="AA824" s="194"/>
      <c r="AB824" s="195"/>
      <c r="AC824" s="171"/>
      <c r="AD824" s="171"/>
      <c r="AE824" s="194"/>
      <c r="AF824" s="195"/>
      <c r="AG824" s="171"/>
      <c r="AH824" s="171"/>
      <c r="AI824" s="194"/>
      <c r="AJ824" s="196"/>
    </row>
    <row r="825" spans="2:36">
      <c r="B825" s="166"/>
      <c r="C825" s="167"/>
      <c r="D825" s="171"/>
      <c r="E825" s="171"/>
      <c r="F825" s="171"/>
      <c r="G825" s="172"/>
      <c r="H825" s="173"/>
      <c r="I825" s="193"/>
      <c r="J825" s="171"/>
      <c r="K825" s="194"/>
      <c r="L825" s="173"/>
      <c r="M825" s="171"/>
      <c r="N825" s="171"/>
      <c r="O825" s="194"/>
      <c r="P825" s="195"/>
      <c r="Q825" s="171"/>
      <c r="R825" s="171"/>
      <c r="S825" s="194"/>
      <c r="T825" s="195"/>
      <c r="U825" s="171"/>
      <c r="V825" s="171"/>
      <c r="W825" s="194"/>
      <c r="X825" s="195"/>
      <c r="Y825" s="171"/>
      <c r="Z825" s="171"/>
      <c r="AA825" s="194"/>
      <c r="AB825" s="195"/>
      <c r="AC825" s="171"/>
      <c r="AD825" s="171"/>
      <c r="AE825" s="194"/>
      <c r="AF825" s="195"/>
      <c r="AG825" s="171"/>
      <c r="AH825" s="171"/>
      <c r="AI825" s="194"/>
      <c r="AJ825" s="196"/>
    </row>
    <row r="826" spans="2:36">
      <c r="B826" s="166"/>
      <c r="C826" s="167"/>
      <c r="D826" s="171"/>
      <c r="E826" s="171"/>
      <c r="F826" s="171"/>
      <c r="G826" s="172"/>
      <c r="H826" s="173"/>
      <c r="I826" s="193"/>
      <c r="J826" s="171"/>
      <c r="K826" s="194"/>
      <c r="L826" s="173"/>
      <c r="M826" s="171"/>
      <c r="N826" s="171"/>
      <c r="O826" s="194"/>
      <c r="P826" s="195"/>
      <c r="Q826" s="171"/>
      <c r="R826" s="171"/>
      <c r="S826" s="194"/>
      <c r="T826" s="195"/>
      <c r="U826" s="171"/>
      <c r="V826" s="171"/>
      <c r="W826" s="194"/>
      <c r="X826" s="195"/>
      <c r="Y826" s="171"/>
      <c r="Z826" s="171"/>
      <c r="AA826" s="194"/>
      <c r="AB826" s="195"/>
      <c r="AC826" s="171"/>
      <c r="AD826" s="171"/>
      <c r="AE826" s="194"/>
      <c r="AF826" s="195"/>
      <c r="AG826" s="171"/>
      <c r="AH826" s="171"/>
      <c r="AI826" s="194"/>
      <c r="AJ826" s="196"/>
    </row>
    <row r="827" spans="2:36">
      <c r="B827" s="166"/>
      <c r="C827" s="167"/>
      <c r="D827" s="171"/>
      <c r="E827" s="171"/>
      <c r="F827" s="171"/>
      <c r="G827" s="172"/>
      <c r="H827" s="173"/>
      <c r="I827" s="193"/>
      <c r="J827" s="171"/>
      <c r="K827" s="194"/>
      <c r="L827" s="173"/>
      <c r="M827" s="171"/>
      <c r="N827" s="171"/>
      <c r="O827" s="194"/>
      <c r="P827" s="195"/>
      <c r="Q827" s="171"/>
      <c r="R827" s="171"/>
      <c r="S827" s="194"/>
      <c r="T827" s="195"/>
      <c r="U827" s="171"/>
      <c r="V827" s="171"/>
      <c r="W827" s="194"/>
      <c r="X827" s="195"/>
      <c r="Y827" s="171"/>
      <c r="Z827" s="171"/>
      <c r="AA827" s="194"/>
      <c r="AB827" s="195"/>
      <c r="AC827" s="171"/>
      <c r="AD827" s="171"/>
      <c r="AE827" s="194"/>
      <c r="AF827" s="195"/>
      <c r="AG827" s="171"/>
      <c r="AH827" s="171"/>
      <c r="AI827" s="194"/>
      <c r="AJ827" s="196"/>
    </row>
    <row r="828" spans="2:36">
      <c r="B828" s="166"/>
      <c r="C828" s="167"/>
      <c r="D828" s="171"/>
      <c r="E828" s="171"/>
      <c r="F828" s="171"/>
      <c r="G828" s="172"/>
      <c r="H828" s="173"/>
      <c r="I828" s="193"/>
      <c r="J828" s="171"/>
      <c r="K828" s="194"/>
      <c r="L828" s="173"/>
      <c r="M828" s="171"/>
      <c r="N828" s="171"/>
      <c r="O828" s="194"/>
      <c r="P828" s="195"/>
      <c r="Q828" s="171"/>
      <c r="R828" s="171"/>
      <c r="S828" s="194"/>
      <c r="T828" s="195"/>
      <c r="U828" s="171"/>
      <c r="V828" s="171"/>
      <c r="W828" s="194"/>
      <c r="X828" s="195"/>
      <c r="Y828" s="171"/>
      <c r="Z828" s="171"/>
      <c r="AA828" s="194"/>
      <c r="AB828" s="195"/>
      <c r="AC828" s="171"/>
      <c r="AD828" s="171"/>
      <c r="AE828" s="194"/>
      <c r="AF828" s="195"/>
      <c r="AG828" s="171"/>
      <c r="AH828" s="171"/>
      <c r="AI828" s="194"/>
      <c r="AJ828" s="196"/>
    </row>
    <row r="829" spans="2:36">
      <c r="B829" s="166"/>
      <c r="C829" s="167"/>
      <c r="D829" s="171"/>
      <c r="E829" s="171"/>
      <c r="F829" s="171"/>
      <c r="G829" s="172"/>
      <c r="H829" s="173"/>
      <c r="I829" s="193"/>
      <c r="J829" s="171"/>
      <c r="K829" s="194"/>
      <c r="L829" s="173"/>
      <c r="M829" s="171"/>
      <c r="N829" s="171"/>
      <c r="O829" s="194"/>
      <c r="P829" s="195"/>
      <c r="Q829" s="171"/>
      <c r="R829" s="171"/>
      <c r="S829" s="194"/>
      <c r="T829" s="195"/>
      <c r="U829" s="171"/>
      <c r="V829" s="171"/>
      <c r="W829" s="194"/>
      <c r="X829" s="195"/>
      <c r="Y829" s="171"/>
      <c r="Z829" s="171"/>
      <c r="AA829" s="194"/>
      <c r="AB829" s="195"/>
      <c r="AC829" s="171"/>
      <c r="AD829" s="171"/>
      <c r="AE829" s="194"/>
      <c r="AF829" s="195"/>
      <c r="AG829" s="171"/>
      <c r="AH829" s="171"/>
      <c r="AI829" s="194"/>
      <c r="AJ829" s="196"/>
    </row>
    <row r="830" spans="2:36">
      <c r="B830" s="166"/>
      <c r="C830" s="167"/>
      <c r="D830" s="171"/>
      <c r="E830" s="171"/>
      <c r="F830" s="171"/>
      <c r="G830" s="172"/>
      <c r="H830" s="173"/>
      <c r="I830" s="193"/>
      <c r="J830" s="171"/>
      <c r="K830" s="194"/>
      <c r="L830" s="173"/>
      <c r="M830" s="171"/>
      <c r="N830" s="171"/>
      <c r="O830" s="194"/>
      <c r="P830" s="195"/>
      <c r="Q830" s="171"/>
      <c r="R830" s="171"/>
      <c r="S830" s="194"/>
      <c r="T830" s="195"/>
      <c r="U830" s="171"/>
      <c r="V830" s="171"/>
      <c r="W830" s="194"/>
      <c r="X830" s="195"/>
      <c r="Y830" s="171"/>
      <c r="Z830" s="171"/>
      <c r="AA830" s="194"/>
      <c r="AB830" s="195"/>
      <c r="AC830" s="171"/>
      <c r="AD830" s="171"/>
      <c r="AE830" s="194"/>
      <c r="AF830" s="195"/>
      <c r="AG830" s="171"/>
      <c r="AH830" s="171"/>
      <c r="AI830" s="194"/>
      <c r="AJ830" s="196"/>
    </row>
    <row r="831" spans="2:36">
      <c r="B831" s="166"/>
      <c r="C831" s="167"/>
      <c r="D831" s="171"/>
      <c r="E831" s="171"/>
      <c r="F831" s="171"/>
      <c r="G831" s="172"/>
      <c r="H831" s="173"/>
      <c r="I831" s="193"/>
      <c r="J831" s="171"/>
      <c r="K831" s="194"/>
      <c r="L831" s="173"/>
      <c r="M831" s="171"/>
      <c r="N831" s="171"/>
      <c r="O831" s="194"/>
      <c r="P831" s="195"/>
      <c r="Q831" s="171"/>
      <c r="R831" s="171"/>
      <c r="S831" s="194"/>
      <c r="T831" s="195"/>
      <c r="U831" s="171"/>
      <c r="V831" s="171"/>
      <c r="W831" s="194"/>
      <c r="X831" s="195"/>
      <c r="Y831" s="171"/>
      <c r="Z831" s="171"/>
      <c r="AA831" s="194"/>
      <c r="AB831" s="195"/>
      <c r="AC831" s="171"/>
      <c r="AD831" s="171"/>
      <c r="AE831" s="194"/>
      <c r="AF831" s="195"/>
      <c r="AG831" s="171"/>
      <c r="AH831" s="171"/>
      <c r="AI831" s="194"/>
      <c r="AJ831" s="196"/>
    </row>
    <row r="832" spans="2:36">
      <c r="B832" s="166"/>
      <c r="C832" s="167"/>
      <c r="D832" s="171"/>
      <c r="E832" s="171"/>
      <c r="F832" s="171"/>
      <c r="G832" s="172"/>
      <c r="H832" s="173"/>
      <c r="I832" s="193"/>
      <c r="J832" s="171"/>
      <c r="K832" s="194"/>
      <c r="L832" s="173"/>
      <c r="M832" s="171"/>
      <c r="N832" s="171"/>
      <c r="O832" s="194"/>
      <c r="P832" s="195"/>
      <c r="Q832" s="171"/>
      <c r="R832" s="171"/>
      <c r="S832" s="194"/>
      <c r="T832" s="195"/>
      <c r="U832" s="171"/>
      <c r="V832" s="171"/>
      <c r="W832" s="194"/>
      <c r="X832" s="195"/>
      <c r="Y832" s="171"/>
      <c r="Z832" s="171"/>
      <c r="AA832" s="194"/>
      <c r="AB832" s="195"/>
      <c r="AC832" s="171"/>
      <c r="AD832" s="171"/>
      <c r="AE832" s="194"/>
      <c r="AF832" s="195"/>
      <c r="AG832" s="171"/>
      <c r="AH832" s="171"/>
      <c r="AI832" s="194"/>
      <c r="AJ832" s="196"/>
    </row>
    <row r="833" spans="2:36">
      <c r="B833" s="166"/>
      <c r="C833" s="167"/>
      <c r="D833" s="171"/>
      <c r="E833" s="171"/>
      <c r="F833" s="171"/>
      <c r="G833" s="172"/>
      <c r="H833" s="173"/>
      <c r="I833" s="193"/>
      <c r="J833" s="171"/>
      <c r="K833" s="194"/>
      <c r="L833" s="173"/>
      <c r="M833" s="171"/>
      <c r="N833" s="171"/>
      <c r="O833" s="194"/>
      <c r="P833" s="195"/>
      <c r="Q833" s="171"/>
      <c r="R833" s="171"/>
      <c r="S833" s="194"/>
      <c r="T833" s="195"/>
      <c r="U833" s="171"/>
      <c r="V833" s="171"/>
      <c r="W833" s="194"/>
      <c r="X833" s="195"/>
      <c r="Y833" s="171"/>
      <c r="Z833" s="171"/>
      <c r="AA833" s="194"/>
      <c r="AB833" s="195"/>
      <c r="AC833" s="171"/>
      <c r="AD833" s="171"/>
      <c r="AE833" s="194"/>
      <c r="AF833" s="195"/>
      <c r="AG833" s="171"/>
      <c r="AH833" s="171"/>
      <c r="AI833" s="194"/>
      <c r="AJ833" s="196"/>
    </row>
    <row r="834" spans="2:36">
      <c r="B834" s="166"/>
      <c r="C834" s="167"/>
      <c r="D834" s="171"/>
      <c r="E834" s="171"/>
      <c r="F834" s="171"/>
      <c r="G834" s="172"/>
      <c r="H834" s="173"/>
      <c r="I834" s="193"/>
      <c r="J834" s="171"/>
      <c r="K834" s="194"/>
      <c r="L834" s="173"/>
      <c r="M834" s="171"/>
      <c r="N834" s="171"/>
      <c r="O834" s="194"/>
      <c r="P834" s="195"/>
      <c r="Q834" s="171"/>
      <c r="R834" s="171"/>
      <c r="S834" s="194"/>
      <c r="T834" s="195"/>
      <c r="U834" s="171"/>
      <c r="V834" s="171"/>
      <c r="W834" s="194"/>
      <c r="X834" s="195"/>
      <c r="Y834" s="171"/>
      <c r="Z834" s="171"/>
      <c r="AA834" s="194"/>
      <c r="AB834" s="195"/>
      <c r="AC834" s="171"/>
      <c r="AD834" s="171"/>
      <c r="AE834" s="194"/>
      <c r="AF834" s="195"/>
      <c r="AG834" s="171"/>
      <c r="AH834" s="171"/>
      <c r="AI834" s="194"/>
      <c r="AJ834" s="196"/>
    </row>
    <row r="835" spans="2:36">
      <c r="B835" s="166"/>
      <c r="C835" s="167"/>
      <c r="D835" s="171"/>
      <c r="E835" s="171"/>
      <c r="F835" s="171"/>
      <c r="G835" s="172"/>
      <c r="H835" s="173"/>
      <c r="I835" s="193"/>
      <c r="J835" s="171"/>
      <c r="K835" s="194"/>
      <c r="L835" s="173"/>
      <c r="M835" s="171"/>
      <c r="N835" s="171"/>
      <c r="O835" s="194"/>
      <c r="P835" s="195"/>
      <c r="Q835" s="171"/>
      <c r="R835" s="171"/>
      <c r="S835" s="194"/>
      <c r="T835" s="195"/>
      <c r="U835" s="171"/>
      <c r="V835" s="171"/>
      <c r="W835" s="194"/>
      <c r="X835" s="195"/>
      <c r="Y835" s="171"/>
      <c r="Z835" s="171"/>
      <c r="AA835" s="194"/>
      <c r="AB835" s="195"/>
      <c r="AC835" s="171"/>
      <c r="AD835" s="171"/>
      <c r="AE835" s="194"/>
      <c r="AF835" s="195"/>
      <c r="AG835" s="171"/>
      <c r="AH835" s="171"/>
      <c r="AI835" s="194"/>
      <c r="AJ835" s="196"/>
    </row>
    <row r="836" spans="2:36">
      <c r="B836" s="166"/>
      <c r="C836" s="167"/>
      <c r="D836" s="171"/>
      <c r="E836" s="171"/>
      <c r="F836" s="171"/>
      <c r="G836" s="172"/>
      <c r="H836" s="173"/>
      <c r="I836" s="193"/>
      <c r="J836" s="171"/>
      <c r="K836" s="194"/>
      <c r="L836" s="173"/>
      <c r="M836" s="171"/>
      <c r="N836" s="171"/>
      <c r="O836" s="194"/>
      <c r="P836" s="195"/>
      <c r="Q836" s="171"/>
      <c r="R836" s="171"/>
      <c r="S836" s="194"/>
      <c r="T836" s="195"/>
      <c r="U836" s="171"/>
      <c r="V836" s="171"/>
      <c r="W836" s="194"/>
      <c r="X836" s="195"/>
      <c r="Y836" s="171"/>
      <c r="Z836" s="171"/>
      <c r="AA836" s="194"/>
      <c r="AB836" s="195"/>
      <c r="AC836" s="171"/>
      <c r="AD836" s="171"/>
      <c r="AE836" s="194"/>
      <c r="AF836" s="195"/>
      <c r="AG836" s="171"/>
      <c r="AH836" s="171"/>
      <c r="AI836" s="194"/>
      <c r="AJ836" s="196"/>
    </row>
    <row r="837" spans="2:36">
      <c r="B837" s="166"/>
      <c r="C837" s="167"/>
      <c r="D837" s="171"/>
      <c r="E837" s="171"/>
      <c r="F837" s="171"/>
      <c r="G837" s="172"/>
      <c r="H837" s="173"/>
      <c r="I837" s="193"/>
      <c r="J837" s="171"/>
      <c r="K837" s="194"/>
      <c r="L837" s="173"/>
      <c r="M837" s="171"/>
      <c r="N837" s="171"/>
      <c r="O837" s="194"/>
      <c r="P837" s="195"/>
      <c r="Q837" s="171"/>
      <c r="R837" s="171"/>
      <c r="S837" s="194"/>
      <c r="T837" s="195"/>
      <c r="U837" s="171"/>
      <c r="V837" s="171"/>
      <c r="W837" s="194"/>
      <c r="X837" s="195"/>
      <c r="Y837" s="171"/>
      <c r="Z837" s="171"/>
      <c r="AA837" s="194"/>
      <c r="AB837" s="195"/>
      <c r="AC837" s="171"/>
      <c r="AD837" s="171"/>
      <c r="AE837" s="194"/>
      <c r="AF837" s="195"/>
      <c r="AG837" s="171"/>
      <c r="AH837" s="171"/>
      <c r="AI837" s="194"/>
      <c r="AJ837" s="196"/>
    </row>
    <row r="838" spans="2:36">
      <c r="B838" s="166"/>
      <c r="C838" s="167"/>
      <c r="D838" s="171"/>
      <c r="E838" s="171"/>
      <c r="F838" s="171"/>
      <c r="G838" s="172"/>
      <c r="H838" s="173"/>
      <c r="I838" s="193"/>
      <c r="J838" s="171"/>
      <c r="K838" s="194"/>
      <c r="L838" s="173"/>
      <c r="M838" s="171"/>
      <c r="N838" s="171"/>
      <c r="O838" s="194"/>
      <c r="P838" s="195"/>
      <c r="Q838" s="171"/>
      <c r="R838" s="171"/>
      <c r="S838" s="194"/>
      <c r="T838" s="195"/>
      <c r="U838" s="171"/>
      <c r="V838" s="171"/>
      <c r="W838" s="194"/>
      <c r="X838" s="195"/>
      <c r="Y838" s="171"/>
      <c r="Z838" s="171"/>
      <c r="AA838" s="194"/>
      <c r="AB838" s="195"/>
      <c r="AC838" s="171"/>
      <c r="AD838" s="171"/>
      <c r="AE838" s="194"/>
      <c r="AF838" s="195"/>
      <c r="AG838" s="171"/>
      <c r="AH838" s="171"/>
      <c r="AI838" s="194"/>
      <c r="AJ838" s="196"/>
    </row>
    <row r="839" spans="2:36">
      <c r="B839" s="166"/>
      <c r="C839" s="167"/>
      <c r="D839" s="171"/>
      <c r="E839" s="171"/>
      <c r="F839" s="171"/>
      <c r="G839" s="172"/>
      <c r="H839" s="173"/>
      <c r="I839" s="193"/>
      <c r="J839" s="171"/>
      <c r="K839" s="194"/>
      <c r="L839" s="173"/>
      <c r="M839" s="171"/>
      <c r="N839" s="171"/>
      <c r="O839" s="194"/>
      <c r="P839" s="195"/>
      <c r="Q839" s="171"/>
      <c r="R839" s="171"/>
      <c r="S839" s="194"/>
      <c r="T839" s="195"/>
      <c r="U839" s="171"/>
      <c r="V839" s="171"/>
      <c r="W839" s="194"/>
      <c r="X839" s="195"/>
      <c r="Y839" s="171"/>
      <c r="Z839" s="171"/>
      <c r="AA839" s="194"/>
      <c r="AB839" s="195"/>
      <c r="AC839" s="171"/>
      <c r="AD839" s="171"/>
      <c r="AE839" s="194"/>
      <c r="AF839" s="195"/>
      <c r="AG839" s="171"/>
      <c r="AH839" s="171"/>
      <c r="AI839" s="194"/>
      <c r="AJ839" s="196"/>
    </row>
    <row r="840" spans="2:36">
      <c r="B840" s="166"/>
      <c r="C840" s="167"/>
      <c r="D840" s="171"/>
      <c r="E840" s="171"/>
      <c r="F840" s="171"/>
      <c r="G840" s="172"/>
      <c r="H840" s="173"/>
      <c r="I840" s="193"/>
      <c r="J840" s="171"/>
      <c r="K840" s="194"/>
      <c r="L840" s="173"/>
      <c r="M840" s="171"/>
      <c r="N840" s="171"/>
      <c r="O840" s="194"/>
      <c r="P840" s="195"/>
      <c r="Q840" s="171"/>
      <c r="R840" s="171"/>
      <c r="S840" s="194"/>
      <c r="T840" s="195"/>
      <c r="U840" s="171"/>
      <c r="V840" s="171"/>
      <c r="W840" s="194"/>
      <c r="X840" s="195"/>
      <c r="Y840" s="171"/>
      <c r="Z840" s="171"/>
      <c r="AA840" s="194"/>
      <c r="AB840" s="195"/>
      <c r="AC840" s="171"/>
      <c r="AD840" s="171"/>
      <c r="AE840" s="194"/>
      <c r="AF840" s="195"/>
      <c r="AG840" s="171"/>
      <c r="AH840" s="171"/>
      <c r="AI840" s="194"/>
      <c r="AJ840" s="196"/>
    </row>
    <row r="841" spans="2:36">
      <c r="B841" s="166"/>
      <c r="C841" s="167"/>
      <c r="D841" s="171"/>
      <c r="E841" s="171"/>
      <c r="F841" s="171"/>
      <c r="G841" s="172"/>
      <c r="H841" s="173"/>
      <c r="I841" s="193"/>
      <c r="J841" s="171"/>
      <c r="K841" s="194"/>
      <c r="L841" s="173"/>
      <c r="M841" s="171"/>
      <c r="N841" s="171"/>
      <c r="O841" s="194"/>
      <c r="P841" s="195"/>
      <c r="Q841" s="171"/>
      <c r="R841" s="171"/>
      <c r="S841" s="194"/>
      <c r="T841" s="195"/>
      <c r="U841" s="171"/>
      <c r="V841" s="171"/>
      <c r="W841" s="194"/>
      <c r="X841" s="195"/>
      <c r="Y841" s="171"/>
      <c r="Z841" s="171"/>
      <c r="AA841" s="194"/>
      <c r="AB841" s="195"/>
      <c r="AC841" s="171"/>
      <c r="AD841" s="171"/>
      <c r="AE841" s="194"/>
      <c r="AF841" s="195"/>
      <c r="AG841" s="171"/>
      <c r="AH841" s="171"/>
      <c r="AI841" s="194"/>
      <c r="AJ841" s="196"/>
    </row>
    <row r="842" spans="2:36">
      <c r="B842" s="166"/>
      <c r="C842" s="167"/>
      <c r="D842" s="171"/>
      <c r="E842" s="171"/>
      <c r="F842" s="171"/>
      <c r="G842" s="172"/>
      <c r="H842" s="173"/>
      <c r="I842" s="193"/>
      <c r="J842" s="171"/>
      <c r="K842" s="194"/>
      <c r="L842" s="173"/>
      <c r="M842" s="171"/>
      <c r="N842" s="171"/>
      <c r="O842" s="194"/>
      <c r="P842" s="195"/>
      <c r="Q842" s="171"/>
      <c r="R842" s="171"/>
      <c r="S842" s="194"/>
      <c r="T842" s="195"/>
      <c r="U842" s="171"/>
      <c r="V842" s="171"/>
      <c r="W842" s="194"/>
      <c r="X842" s="195"/>
      <c r="Y842" s="171"/>
      <c r="Z842" s="171"/>
      <c r="AA842" s="194"/>
      <c r="AB842" s="195"/>
      <c r="AC842" s="171"/>
      <c r="AD842" s="171"/>
      <c r="AE842" s="194"/>
      <c r="AF842" s="195"/>
      <c r="AG842" s="171"/>
      <c r="AH842" s="171"/>
      <c r="AI842" s="194"/>
      <c r="AJ842" s="196"/>
    </row>
    <row r="843" spans="2:36">
      <c r="B843" s="166"/>
      <c r="C843" s="167"/>
      <c r="D843" s="171"/>
      <c r="E843" s="171"/>
      <c r="F843" s="171"/>
      <c r="G843" s="172"/>
      <c r="H843" s="173"/>
      <c r="I843" s="193"/>
      <c r="J843" s="171"/>
      <c r="K843" s="194"/>
      <c r="L843" s="173"/>
      <c r="M843" s="171"/>
      <c r="N843" s="171"/>
      <c r="O843" s="194"/>
      <c r="P843" s="195"/>
      <c r="Q843" s="171"/>
      <c r="R843" s="171"/>
      <c r="S843" s="194"/>
      <c r="T843" s="195"/>
      <c r="U843" s="171"/>
      <c r="V843" s="171"/>
      <c r="W843" s="194"/>
      <c r="X843" s="195"/>
      <c r="Y843" s="171"/>
      <c r="Z843" s="171"/>
      <c r="AA843" s="194"/>
      <c r="AB843" s="195"/>
      <c r="AC843" s="171"/>
      <c r="AD843" s="171"/>
      <c r="AE843" s="194"/>
      <c r="AF843" s="195"/>
      <c r="AG843" s="171"/>
      <c r="AH843" s="171"/>
      <c r="AI843" s="194"/>
      <c r="AJ843" s="196"/>
    </row>
    <row r="844" spans="2:36">
      <c r="B844" s="166"/>
      <c r="C844" s="167"/>
      <c r="D844" s="171"/>
      <c r="E844" s="171"/>
      <c r="F844" s="171"/>
      <c r="G844" s="172"/>
      <c r="H844" s="173"/>
      <c r="I844" s="193"/>
      <c r="J844" s="171"/>
      <c r="K844" s="194"/>
      <c r="L844" s="173"/>
      <c r="M844" s="171"/>
      <c r="N844" s="171"/>
      <c r="O844" s="194"/>
      <c r="P844" s="195"/>
      <c r="Q844" s="171"/>
      <c r="R844" s="171"/>
      <c r="S844" s="194"/>
      <c r="T844" s="195"/>
      <c r="U844" s="171"/>
      <c r="V844" s="171"/>
      <c r="W844" s="194"/>
      <c r="X844" s="195"/>
      <c r="Y844" s="171"/>
      <c r="Z844" s="171"/>
      <c r="AA844" s="194"/>
      <c r="AB844" s="195"/>
      <c r="AC844" s="171"/>
      <c r="AD844" s="171"/>
      <c r="AE844" s="194"/>
      <c r="AF844" s="195"/>
      <c r="AG844" s="171"/>
      <c r="AH844" s="171"/>
      <c r="AI844" s="194"/>
      <c r="AJ844" s="196"/>
    </row>
    <row r="845" spans="2:36">
      <c r="B845" s="166"/>
      <c r="C845" s="167"/>
      <c r="D845" s="171"/>
      <c r="E845" s="171"/>
      <c r="F845" s="171"/>
      <c r="G845" s="172"/>
      <c r="H845" s="173"/>
      <c r="I845" s="193"/>
      <c r="J845" s="171"/>
      <c r="K845" s="194"/>
      <c r="L845" s="173"/>
      <c r="M845" s="171"/>
      <c r="N845" s="171"/>
      <c r="O845" s="194"/>
      <c r="P845" s="195"/>
      <c r="Q845" s="171"/>
      <c r="R845" s="171"/>
      <c r="S845" s="194"/>
      <c r="T845" s="195"/>
      <c r="U845" s="171"/>
      <c r="V845" s="171"/>
      <c r="W845" s="194"/>
      <c r="X845" s="195"/>
      <c r="Y845" s="171"/>
      <c r="Z845" s="171"/>
      <c r="AA845" s="194"/>
      <c r="AB845" s="195"/>
      <c r="AC845" s="171"/>
      <c r="AD845" s="171"/>
      <c r="AE845" s="194"/>
      <c r="AF845" s="195"/>
      <c r="AG845" s="171"/>
      <c r="AH845" s="171"/>
      <c r="AI845" s="194"/>
      <c r="AJ845" s="196"/>
    </row>
    <row r="846" spans="2:36">
      <c r="B846" s="166"/>
      <c r="C846" s="167"/>
      <c r="D846" s="171"/>
      <c r="E846" s="171"/>
      <c r="F846" s="171"/>
      <c r="G846" s="172"/>
      <c r="H846" s="173"/>
      <c r="I846" s="193"/>
      <c r="J846" s="171"/>
      <c r="K846" s="194"/>
      <c r="L846" s="173"/>
      <c r="M846" s="171"/>
      <c r="N846" s="171"/>
      <c r="O846" s="194"/>
      <c r="P846" s="195"/>
      <c r="Q846" s="171"/>
      <c r="R846" s="171"/>
      <c r="S846" s="194"/>
      <c r="T846" s="195"/>
      <c r="U846" s="171"/>
      <c r="V846" s="171"/>
      <c r="W846" s="194"/>
      <c r="X846" s="195"/>
      <c r="Y846" s="171"/>
      <c r="Z846" s="171"/>
      <c r="AA846" s="194"/>
      <c r="AB846" s="195"/>
      <c r="AC846" s="171"/>
      <c r="AD846" s="171"/>
      <c r="AE846" s="194"/>
      <c r="AF846" s="195"/>
      <c r="AG846" s="171"/>
      <c r="AH846" s="171"/>
      <c r="AI846" s="194"/>
      <c r="AJ846" s="196"/>
    </row>
    <row r="847" spans="2:36">
      <c r="B847" s="166"/>
      <c r="C847" s="167"/>
      <c r="D847" s="171"/>
      <c r="E847" s="171"/>
      <c r="F847" s="171"/>
      <c r="G847" s="172"/>
      <c r="H847" s="173"/>
      <c r="I847" s="193"/>
      <c r="J847" s="171"/>
      <c r="K847" s="194"/>
      <c r="L847" s="173"/>
      <c r="M847" s="171"/>
      <c r="N847" s="171"/>
      <c r="O847" s="194"/>
      <c r="P847" s="195"/>
      <c r="Q847" s="171"/>
      <c r="R847" s="171"/>
      <c r="S847" s="194"/>
      <c r="T847" s="195"/>
      <c r="U847" s="171"/>
      <c r="V847" s="171"/>
      <c r="W847" s="194"/>
      <c r="X847" s="195"/>
      <c r="Y847" s="171"/>
      <c r="Z847" s="171"/>
      <c r="AA847" s="194"/>
      <c r="AB847" s="195"/>
      <c r="AC847" s="171"/>
      <c r="AD847" s="171"/>
      <c r="AE847" s="194"/>
      <c r="AF847" s="195"/>
      <c r="AG847" s="171"/>
      <c r="AH847" s="171"/>
      <c r="AI847" s="194"/>
      <c r="AJ847" s="196"/>
    </row>
    <row r="848" spans="2:36">
      <c r="B848" s="166"/>
      <c r="C848" s="167"/>
      <c r="D848" s="171"/>
      <c r="E848" s="171"/>
      <c r="F848" s="171"/>
      <c r="G848" s="172"/>
      <c r="H848" s="173"/>
      <c r="I848" s="193"/>
      <c r="J848" s="171"/>
      <c r="K848" s="194"/>
      <c r="L848" s="173"/>
      <c r="M848" s="171"/>
      <c r="N848" s="171"/>
      <c r="O848" s="194"/>
      <c r="P848" s="195"/>
      <c r="Q848" s="171"/>
      <c r="R848" s="171"/>
      <c r="S848" s="194"/>
      <c r="T848" s="195"/>
      <c r="U848" s="171"/>
      <c r="V848" s="171"/>
      <c r="W848" s="194"/>
      <c r="X848" s="195"/>
      <c r="Y848" s="171"/>
      <c r="Z848" s="171"/>
      <c r="AA848" s="194"/>
      <c r="AB848" s="195"/>
      <c r="AC848" s="171"/>
      <c r="AD848" s="171"/>
      <c r="AE848" s="194"/>
      <c r="AF848" s="195"/>
      <c r="AG848" s="171"/>
      <c r="AH848" s="171"/>
      <c r="AI848" s="194"/>
      <c r="AJ848" s="196"/>
    </row>
    <row r="849" spans="2:36">
      <c r="B849" s="166"/>
      <c r="C849" s="167"/>
      <c r="D849" s="171"/>
      <c r="E849" s="171"/>
      <c r="F849" s="171"/>
      <c r="G849" s="172"/>
      <c r="H849" s="173"/>
      <c r="I849" s="193"/>
      <c r="J849" s="171"/>
      <c r="K849" s="194"/>
      <c r="L849" s="173"/>
      <c r="M849" s="171"/>
      <c r="N849" s="171"/>
      <c r="O849" s="194"/>
      <c r="P849" s="195"/>
      <c r="Q849" s="171"/>
      <c r="R849" s="171"/>
      <c r="S849" s="194"/>
      <c r="T849" s="195"/>
      <c r="U849" s="171"/>
      <c r="V849" s="171"/>
      <c r="W849" s="194"/>
      <c r="X849" s="195"/>
      <c r="Y849" s="171"/>
      <c r="Z849" s="171"/>
      <c r="AA849" s="194"/>
      <c r="AB849" s="195"/>
      <c r="AC849" s="171"/>
      <c r="AD849" s="171"/>
      <c r="AE849" s="194"/>
      <c r="AF849" s="195"/>
      <c r="AG849" s="171"/>
      <c r="AH849" s="171"/>
      <c r="AI849" s="194"/>
      <c r="AJ849" s="196"/>
    </row>
    <row r="850" spans="2:36">
      <c r="B850" s="166"/>
      <c r="C850" s="167"/>
      <c r="D850" s="171"/>
      <c r="E850" s="171"/>
      <c r="F850" s="171"/>
      <c r="G850" s="172"/>
      <c r="H850" s="173"/>
      <c r="I850" s="193"/>
      <c r="J850" s="171"/>
      <c r="K850" s="194"/>
      <c r="L850" s="173"/>
      <c r="M850" s="171"/>
      <c r="N850" s="171"/>
      <c r="O850" s="194"/>
      <c r="P850" s="195"/>
      <c r="Q850" s="171"/>
      <c r="R850" s="171"/>
      <c r="S850" s="194"/>
      <c r="T850" s="195"/>
      <c r="U850" s="171"/>
      <c r="V850" s="171"/>
      <c r="W850" s="194"/>
      <c r="X850" s="195"/>
      <c r="Y850" s="171"/>
      <c r="Z850" s="171"/>
      <c r="AA850" s="194"/>
      <c r="AB850" s="195"/>
      <c r="AC850" s="171"/>
      <c r="AD850" s="171"/>
      <c r="AE850" s="194"/>
      <c r="AF850" s="195"/>
      <c r="AG850" s="171"/>
      <c r="AH850" s="171"/>
      <c r="AI850" s="194"/>
      <c r="AJ850" s="196"/>
    </row>
    <row r="851" spans="2:36">
      <c r="B851" s="166"/>
      <c r="C851" s="167"/>
      <c r="D851" s="171"/>
      <c r="E851" s="171"/>
      <c r="F851" s="171"/>
      <c r="G851" s="172"/>
      <c r="H851" s="173"/>
      <c r="I851" s="193"/>
      <c r="J851" s="171"/>
      <c r="K851" s="194"/>
      <c r="L851" s="173"/>
      <c r="M851" s="171"/>
      <c r="N851" s="171"/>
      <c r="O851" s="194"/>
      <c r="P851" s="195"/>
      <c r="Q851" s="171"/>
      <c r="R851" s="171"/>
      <c r="S851" s="194"/>
      <c r="T851" s="195"/>
      <c r="U851" s="171"/>
      <c r="V851" s="171"/>
      <c r="W851" s="194"/>
      <c r="X851" s="195"/>
      <c r="Y851" s="171"/>
      <c r="Z851" s="171"/>
      <c r="AA851" s="194"/>
      <c r="AB851" s="195"/>
      <c r="AC851" s="171"/>
      <c r="AD851" s="171"/>
      <c r="AE851" s="194"/>
      <c r="AF851" s="195"/>
      <c r="AG851" s="171"/>
      <c r="AH851" s="171"/>
      <c r="AI851" s="194"/>
      <c r="AJ851" s="196"/>
    </row>
    <row r="852" spans="2:36">
      <c r="B852" s="166"/>
      <c r="C852" s="167"/>
      <c r="D852" s="171"/>
      <c r="E852" s="171"/>
      <c r="F852" s="171"/>
      <c r="G852" s="172"/>
      <c r="H852" s="173"/>
      <c r="I852" s="193"/>
      <c r="J852" s="171"/>
      <c r="K852" s="194"/>
      <c r="L852" s="173"/>
      <c r="M852" s="171"/>
      <c r="N852" s="171"/>
      <c r="O852" s="194"/>
      <c r="P852" s="195"/>
      <c r="Q852" s="171"/>
      <c r="R852" s="171"/>
      <c r="S852" s="194"/>
      <c r="T852" s="195"/>
      <c r="U852" s="171"/>
      <c r="V852" s="171"/>
      <c r="W852" s="194"/>
      <c r="X852" s="195"/>
      <c r="Y852" s="171"/>
      <c r="Z852" s="171"/>
      <c r="AA852" s="194"/>
      <c r="AB852" s="195"/>
      <c r="AC852" s="171"/>
      <c r="AD852" s="171"/>
      <c r="AE852" s="194"/>
      <c r="AF852" s="195"/>
      <c r="AG852" s="171"/>
      <c r="AH852" s="171"/>
      <c r="AI852" s="194"/>
      <c r="AJ852" s="196"/>
    </row>
    <row r="853" spans="2:36">
      <c r="B853" s="166"/>
      <c r="C853" s="167"/>
      <c r="D853" s="171"/>
      <c r="E853" s="171"/>
      <c r="F853" s="171"/>
      <c r="G853" s="172"/>
      <c r="H853" s="173"/>
      <c r="I853" s="193"/>
      <c r="J853" s="171"/>
      <c r="K853" s="194"/>
      <c r="L853" s="173"/>
      <c r="M853" s="171"/>
      <c r="N853" s="171"/>
      <c r="O853" s="194"/>
      <c r="P853" s="195"/>
      <c r="Q853" s="171"/>
      <c r="R853" s="171"/>
      <c r="S853" s="194"/>
      <c r="T853" s="195"/>
      <c r="U853" s="171"/>
      <c r="V853" s="171"/>
      <c r="W853" s="194"/>
      <c r="X853" s="195"/>
      <c r="Y853" s="171"/>
      <c r="Z853" s="171"/>
      <c r="AA853" s="194"/>
      <c r="AB853" s="195"/>
      <c r="AC853" s="171"/>
      <c r="AD853" s="171"/>
      <c r="AE853" s="194"/>
      <c r="AF853" s="195"/>
      <c r="AG853" s="171"/>
      <c r="AH853" s="171"/>
      <c r="AI853" s="194"/>
      <c r="AJ853" s="196"/>
    </row>
    <row r="854" spans="2:36">
      <c r="B854" s="166"/>
      <c r="C854" s="167"/>
      <c r="D854" s="171"/>
      <c r="E854" s="171"/>
      <c r="F854" s="171"/>
      <c r="G854" s="172"/>
      <c r="H854" s="173"/>
      <c r="I854" s="193"/>
      <c r="J854" s="171"/>
      <c r="K854" s="194"/>
      <c r="L854" s="173"/>
      <c r="M854" s="171"/>
      <c r="N854" s="171"/>
      <c r="O854" s="194"/>
      <c r="P854" s="195"/>
      <c r="Q854" s="171"/>
      <c r="R854" s="171"/>
      <c r="S854" s="194"/>
      <c r="T854" s="195"/>
      <c r="U854" s="171"/>
      <c r="V854" s="171"/>
      <c r="W854" s="194"/>
      <c r="X854" s="195"/>
      <c r="Y854" s="171"/>
      <c r="Z854" s="171"/>
      <c r="AA854" s="194"/>
      <c r="AB854" s="195"/>
      <c r="AC854" s="171"/>
      <c r="AD854" s="171"/>
      <c r="AE854" s="194"/>
      <c r="AF854" s="195"/>
      <c r="AG854" s="171"/>
      <c r="AH854" s="171"/>
      <c r="AI854" s="194"/>
      <c r="AJ854" s="196"/>
    </row>
    <row r="855" spans="2:36">
      <c r="B855" s="166"/>
      <c r="C855" s="167"/>
      <c r="D855" s="171"/>
      <c r="E855" s="171"/>
      <c r="F855" s="171"/>
      <c r="G855" s="172"/>
      <c r="H855" s="173"/>
      <c r="I855" s="193"/>
      <c r="J855" s="171"/>
      <c r="K855" s="194"/>
      <c r="L855" s="173"/>
      <c r="M855" s="171"/>
      <c r="N855" s="171"/>
      <c r="O855" s="194"/>
      <c r="P855" s="195"/>
      <c r="Q855" s="171"/>
      <c r="R855" s="171"/>
      <c r="S855" s="194"/>
      <c r="T855" s="195"/>
      <c r="U855" s="171"/>
      <c r="V855" s="171"/>
      <c r="W855" s="194"/>
      <c r="X855" s="195"/>
      <c r="Y855" s="171"/>
      <c r="Z855" s="171"/>
      <c r="AA855" s="194"/>
      <c r="AB855" s="195"/>
      <c r="AC855" s="171"/>
      <c r="AD855" s="171"/>
      <c r="AE855" s="194"/>
      <c r="AF855" s="195"/>
      <c r="AG855" s="171"/>
      <c r="AH855" s="171"/>
      <c r="AI855" s="194"/>
      <c r="AJ855" s="196"/>
    </row>
    <row r="856" spans="2:36">
      <c r="B856" s="166"/>
      <c r="C856" s="167"/>
      <c r="D856" s="171"/>
      <c r="E856" s="171"/>
      <c r="F856" s="171"/>
      <c r="G856" s="172"/>
      <c r="H856" s="173"/>
      <c r="I856" s="193"/>
      <c r="J856" s="171"/>
      <c r="K856" s="194"/>
      <c r="L856" s="173"/>
      <c r="M856" s="171"/>
      <c r="N856" s="171"/>
      <c r="O856" s="194"/>
      <c r="P856" s="195"/>
      <c r="Q856" s="171"/>
      <c r="R856" s="171"/>
      <c r="S856" s="194"/>
      <c r="T856" s="195"/>
      <c r="U856" s="171"/>
      <c r="V856" s="171"/>
      <c r="W856" s="194"/>
      <c r="X856" s="195"/>
      <c r="Y856" s="171"/>
      <c r="Z856" s="171"/>
      <c r="AA856" s="194"/>
      <c r="AB856" s="195"/>
      <c r="AC856" s="171"/>
      <c r="AD856" s="171"/>
      <c r="AE856" s="194"/>
      <c r="AF856" s="195"/>
      <c r="AG856" s="171"/>
      <c r="AH856" s="171"/>
      <c r="AI856" s="194"/>
      <c r="AJ856" s="196"/>
    </row>
    <row r="857" spans="2:36">
      <c r="B857" s="166"/>
      <c r="C857" s="167"/>
      <c r="D857" s="171"/>
      <c r="E857" s="171"/>
      <c r="F857" s="171"/>
      <c r="G857" s="172"/>
      <c r="H857" s="173"/>
      <c r="I857" s="193"/>
      <c r="J857" s="171"/>
      <c r="K857" s="194"/>
      <c r="L857" s="173"/>
      <c r="M857" s="171"/>
      <c r="N857" s="171"/>
      <c r="O857" s="194"/>
      <c r="P857" s="195"/>
      <c r="Q857" s="171"/>
      <c r="R857" s="171"/>
      <c r="S857" s="194"/>
      <c r="T857" s="195"/>
      <c r="U857" s="171"/>
      <c r="V857" s="171"/>
      <c r="W857" s="194"/>
      <c r="X857" s="195"/>
      <c r="Y857" s="171"/>
      <c r="Z857" s="171"/>
      <c r="AA857" s="194"/>
      <c r="AB857" s="195"/>
      <c r="AC857" s="171"/>
      <c r="AD857" s="171"/>
      <c r="AE857" s="194"/>
      <c r="AF857" s="195"/>
      <c r="AG857" s="171"/>
      <c r="AH857" s="171"/>
      <c r="AI857" s="194"/>
      <c r="AJ857" s="196"/>
    </row>
    <row r="858" spans="2:36">
      <c r="B858" s="166"/>
      <c r="C858" s="167"/>
      <c r="D858" s="171"/>
      <c r="E858" s="171"/>
      <c r="F858" s="171"/>
      <c r="G858" s="172"/>
      <c r="H858" s="173"/>
      <c r="I858" s="193"/>
      <c r="J858" s="171"/>
      <c r="K858" s="194"/>
      <c r="L858" s="173"/>
      <c r="M858" s="171"/>
      <c r="N858" s="171"/>
      <c r="O858" s="194"/>
      <c r="P858" s="195"/>
      <c r="Q858" s="171"/>
      <c r="R858" s="171"/>
      <c r="S858" s="194"/>
      <c r="T858" s="195"/>
      <c r="U858" s="171"/>
      <c r="V858" s="171"/>
      <c r="W858" s="194"/>
      <c r="X858" s="195"/>
      <c r="Y858" s="171"/>
      <c r="Z858" s="171"/>
      <c r="AA858" s="194"/>
      <c r="AB858" s="195"/>
      <c r="AC858" s="171"/>
      <c r="AD858" s="171"/>
      <c r="AE858" s="194"/>
      <c r="AF858" s="195"/>
      <c r="AG858" s="171"/>
      <c r="AH858" s="171"/>
      <c r="AI858" s="194"/>
      <c r="AJ858" s="196"/>
    </row>
    <row r="859" spans="2:36">
      <c r="B859" s="166"/>
      <c r="C859" s="167"/>
      <c r="D859" s="171"/>
      <c r="E859" s="171"/>
      <c r="F859" s="171"/>
      <c r="G859" s="172"/>
      <c r="H859" s="173"/>
      <c r="I859" s="193"/>
      <c r="J859" s="171"/>
      <c r="K859" s="194"/>
      <c r="L859" s="173"/>
      <c r="M859" s="171"/>
      <c r="N859" s="171"/>
      <c r="O859" s="194"/>
      <c r="P859" s="195"/>
      <c r="Q859" s="171"/>
      <c r="R859" s="171"/>
      <c r="S859" s="194"/>
      <c r="T859" s="195"/>
      <c r="U859" s="171"/>
      <c r="V859" s="171"/>
      <c r="W859" s="194"/>
      <c r="X859" s="195"/>
      <c r="Y859" s="171"/>
      <c r="Z859" s="171"/>
      <c r="AA859" s="194"/>
      <c r="AB859" s="195"/>
      <c r="AC859" s="171"/>
      <c r="AD859" s="171"/>
      <c r="AE859" s="194"/>
      <c r="AF859" s="195"/>
      <c r="AG859" s="171"/>
      <c r="AH859" s="171"/>
      <c r="AI859" s="194"/>
      <c r="AJ859" s="196"/>
    </row>
    <row r="860" spans="2:36">
      <c r="B860" s="166"/>
      <c r="C860" s="167"/>
      <c r="D860" s="171"/>
      <c r="E860" s="171"/>
      <c r="F860" s="171"/>
      <c r="G860" s="172"/>
      <c r="H860" s="173"/>
      <c r="I860" s="193"/>
      <c r="J860" s="171"/>
      <c r="K860" s="194"/>
      <c r="L860" s="173"/>
      <c r="M860" s="171"/>
      <c r="N860" s="171"/>
      <c r="O860" s="194"/>
      <c r="P860" s="195"/>
      <c r="Q860" s="171"/>
      <c r="R860" s="171"/>
      <c r="S860" s="194"/>
      <c r="T860" s="195"/>
      <c r="U860" s="171"/>
      <c r="V860" s="171"/>
      <c r="W860" s="194"/>
      <c r="X860" s="195"/>
      <c r="Y860" s="171"/>
      <c r="Z860" s="171"/>
      <c r="AA860" s="194"/>
      <c r="AB860" s="195"/>
      <c r="AC860" s="171"/>
      <c r="AD860" s="171"/>
      <c r="AE860" s="194"/>
      <c r="AF860" s="195"/>
      <c r="AG860" s="171"/>
      <c r="AH860" s="171"/>
      <c r="AI860" s="194"/>
      <c r="AJ860" s="196"/>
    </row>
    <row r="861" spans="2:36">
      <c r="B861" s="166"/>
      <c r="C861" s="167"/>
      <c r="D861" s="171"/>
      <c r="E861" s="171"/>
      <c r="F861" s="171"/>
      <c r="G861" s="172"/>
      <c r="H861" s="173"/>
      <c r="I861" s="193"/>
      <c r="J861" s="171"/>
      <c r="K861" s="194"/>
      <c r="L861" s="173"/>
      <c r="M861" s="171"/>
      <c r="N861" s="171"/>
      <c r="O861" s="194"/>
      <c r="P861" s="195"/>
      <c r="Q861" s="171"/>
      <c r="R861" s="171"/>
      <c r="S861" s="194"/>
      <c r="T861" s="195"/>
      <c r="U861" s="171"/>
      <c r="V861" s="171"/>
      <c r="W861" s="194"/>
      <c r="X861" s="195"/>
      <c r="Y861" s="171"/>
      <c r="Z861" s="171"/>
      <c r="AA861" s="194"/>
      <c r="AB861" s="195"/>
      <c r="AC861" s="171"/>
      <c r="AD861" s="171"/>
      <c r="AE861" s="194"/>
      <c r="AF861" s="195"/>
      <c r="AG861" s="171"/>
      <c r="AH861" s="171"/>
      <c r="AI861" s="194"/>
      <c r="AJ861" s="196"/>
    </row>
    <row r="862" spans="2:36">
      <c r="B862" s="166"/>
      <c r="C862" s="167"/>
      <c r="D862" s="171"/>
      <c r="E862" s="171"/>
      <c r="F862" s="171"/>
      <c r="G862" s="172"/>
      <c r="H862" s="173"/>
      <c r="I862" s="193"/>
      <c r="J862" s="171"/>
      <c r="K862" s="194"/>
      <c r="L862" s="173"/>
      <c r="M862" s="171"/>
      <c r="N862" s="171"/>
      <c r="O862" s="194"/>
      <c r="P862" s="195"/>
      <c r="Q862" s="171"/>
      <c r="R862" s="171"/>
      <c r="S862" s="194"/>
      <c r="T862" s="195"/>
      <c r="U862" s="171"/>
      <c r="V862" s="171"/>
      <c r="W862" s="194"/>
      <c r="X862" s="195"/>
      <c r="Y862" s="171"/>
      <c r="Z862" s="171"/>
      <c r="AA862" s="194"/>
      <c r="AB862" s="195"/>
      <c r="AC862" s="171"/>
      <c r="AD862" s="171"/>
      <c r="AE862" s="194"/>
      <c r="AF862" s="195"/>
      <c r="AG862" s="171"/>
      <c r="AH862" s="171"/>
      <c r="AI862" s="194"/>
      <c r="AJ862" s="196"/>
    </row>
    <row r="863" spans="2:36">
      <c r="B863" s="166"/>
      <c r="C863" s="167"/>
      <c r="D863" s="171"/>
      <c r="E863" s="171"/>
      <c r="F863" s="171"/>
      <c r="G863" s="172"/>
      <c r="H863" s="173"/>
      <c r="I863" s="193"/>
      <c r="J863" s="171"/>
      <c r="K863" s="194"/>
      <c r="L863" s="173"/>
      <c r="M863" s="171"/>
      <c r="N863" s="171"/>
      <c r="O863" s="194"/>
      <c r="P863" s="195"/>
      <c r="Q863" s="171"/>
      <c r="R863" s="171"/>
      <c r="S863" s="194"/>
      <c r="T863" s="195"/>
      <c r="U863" s="171"/>
      <c r="V863" s="171"/>
      <c r="W863" s="194"/>
      <c r="X863" s="195"/>
      <c r="Y863" s="171"/>
      <c r="Z863" s="171"/>
      <c r="AA863" s="194"/>
      <c r="AB863" s="195"/>
      <c r="AC863" s="171"/>
      <c r="AD863" s="171"/>
      <c r="AE863" s="194"/>
      <c r="AF863" s="195"/>
      <c r="AG863" s="171"/>
      <c r="AH863" s="171"/>
      <c r="AI863" s="194"/>
      <c r="AJ863" s="196"/>
    </row>
    <row r="864" spans="2:36">
      <c r="B864" s="166"/>
      <c r="C864" s="167"/>
      <c r="D864" s="171"/>
      <c r="E864" s="171"/>
      <c r="F864" s="171"/>
      <c r="G864" s="172"/>
      <c r="H864" s="173"/>
      <c r="I864" s="193"/>
      <c r="J864" s="171"/>
      <c r="K864" s="194"/>
      <c r="L864" s="173"/>
      <c r="M864" s="171"/>
      <c r="N864" s="171"/>
      <c r="O864" s="194"/>
      <c r="P864" s="195"/>
      <c r="Q864" s="171"/>
      <c r="R864" s="171"/>
      <c r="S864" s="194"/>
      <c r="T864" s="195"/>
      <c r="U864" s="171"/>
      <c r="V864" s="171"/>
      <c r="W864" s="194"/>
      <c r="X864" s="195"/>
      <c r="Y864" s="171"/>
      <c r="Z864" s="171"/>
      <c r="AA864" s="194"/>
      <c r="AB864" s="195"/>
      <c r="AC864" s="171"/>
      <c r="AD864" s="171"/>
      <c r="AE864" s="194"/>
      <c r="AF864" s="195"/>
      <c r="AG864" s="171"/>
      <c r="AH864" s="171"/>
      <c r="AI864" s="194"/>
      <c r="AJ864" s="196"/>
    </row>
    <row r="865" spans="2:36">
      <c r="B865" s="166"/>
      <c r="C865" s="167"/>
      <c r="D865" s="171"/>
      <c r="E865" s="171"/>
      <c r="F865" s="171"/>
      <c r="G865" s="172"/>
      <c r="H865" s="173"/>
      <c r="I865" s="193"/>
      <c r="J865" s="171"/>
      <c r="K865" s="194"/>
      <c r="L865" s="173"/>
      <c r="M865" s="171"/>
      <c r="N865" s="171"/>
      <c r="O865" s="194"/>
      <c r="P865" s="195"/>
      <c r="Q865" s="171"/>
      <c r="R865" s="171"/>
      <c r="S865" s="194"/>
      <c r="T865" s="195"/>
      <c r="U865" s="171"/>
      <c r="V865" s="171"/>
      <c r="W865" s="194"/>
      <c r="X865" s="195"/>
      <c r="Y865" s="171"/>
      <c r="Z865" s="171"/>
      <c r="AA865" s="194"/>
      <c r="AB865" s="195"/>
      <c r="AC865" s="171"/>
      <c r="AD865" s="171"/>
      <c r="AE865" s="194"/>
      <c r="AF865" s="195"/>
      <c r="AG865" s="171"/>
      <c r="AH865" s="171"/>
      <c r="AI865" s="194"/>
      <c r="AJ865" s="196"/>
    </row>
    <row r="866" spans="2:36">
      <c r="B866" s="166"/>
      <c r="C866" s="167"/>
      <c r="D866" s="171"/>
      <c r="E866" s="171"/>
      <c r="F866" s="171"/>
      <c r="G866" s="172"/>
      <c r="H866" s="173"/>
      <c r="I866" s="193"/>
      <c r="J866" s="171"/>
      <c r="K866" s="194"/>
      <c r="L866" s="173"/>
      <c r="M866" s="171"/>
      <c r="N866" s="171"/>
      <c r="O866" s="194"/>
      <c r="P866" s="195"/>
      <c r="Q866" s="171"/>
      <c r="R866" s="171"/>
      <c r="S866" s="194"/>
      <c r="T866" s="195"/>
      <c r="U866" s="171"/>
      <c r="V866" s="171"/>
      <c r="W866" s="194"/>
      <c r="X866" s="195"/>
      <c r="Y866" s="171"/>
      <c r="Z866" s="171"/>
      <c r="AA866" s="194"/>
      <c r="AB866" s="195"/>
      <c r="AC866" s="171"/>
      <c r="AD866" s="171"/>
      <c r="AE866" s="194"/>
      <c r="AF866" s="195"/>
      <c r="AG866" s="171"/>
      <c r="AH866" s="171"/>
      <c r="AI866" s="194"/>
      <c r="AJ866" s="196"/>
    </row>
    <row r="867" spans="2:36">
      <c r="B867" s="166"/>
      <c r="C867" s="167"/>
      <c r="D867" s="171"/>
      <c r="E867" s="171"/>
      <c r="F867" s="171"/>
      <c r="G867" s="172"/>
      <c r="H867" s="173"/>
      <c r="I867" s="193"/>
      <c r="J867" s="171"/>
      <c r="K867" s="194"/>
      <c r="L867" s="173"/>
      <c r="M867" s="171"/>
      <c r="N867" s="171"/>
      <c r="O867" s="194"/>
      <c r="P867" s="195"/>
      <c r="Q867" s="171"/>
      <c r="R867" s="171"/>
      <c r="S867" s="194"/>
      <c r="T867" s="195"/>
      <c r="U867" s="171"/>
      <c r="V867" s="171"/>
      <c r="W867" s="194"/>
      <c r="X867" s="195"/>
      <c r="Y867" s="171"/>
      <c r="Z867" s="171"/>
      <c r="AA867" s="194"/>
      <c r="AB867" s="195"/>
      <c r="AC867" s="171"/>
      <c r="AD867" s="171"/>
      <c r="AE867" s="194"/>
      <c r="AF867" s="195"/>
      <c r="AG867" s="171"/>
      <c r="AH867" s="171"/>
      <c r="AI867" s="194"/>
      <c r="AJ867" s="196"/>
    </row>
    <row r="868" spans="2:36">
      <c r="B868" s="166"/>
      <c r="C868" s="167"/>
      <c r="D868" s="171"/>
      <c r="E868" s="171"/>
      <c r="F868" s="171"/>
      <c r="G868" s="172"/>
      <c r="H868" s="173"/>
      <c r="I868" s="193"/>
      <c r="J868" s="171"/>
      <c r="K868" s="194"/>
      <c r="L868" s="173"/>
      <c r="M868" s="171"/>
      <c r="N868" s="171"/>
      <c r="O868" s="194"/>
      <c r="P868" s="195"/>
      <c r="Q868" s="171"/>
      <c r="R868" s="171"/>
      <c r="S868" s="194"/>
      <c r="T868" s="195"/>
      <c r="U868" s="171"/>
      <c r="V868" s="171"/>
      <c r="W868" s="194"/>
      <c r="X868" s="195"/>
      <c r="Y868" s="171"/>
      <c r="Z868" s="171"/>
      <c r="AA868" s="194"/>
      <c r="AB868" s="195"/>
      <c r="AC868" s="171"/>
      <c r="AD868" s="171"/>
      <c r="AE868" s="194"/>
      <c r="AF868" s="195"/>
      <c r="AG868" s="171"/>
      <c r="AH868" s="171"/>
      <c r="AI868" s="194"/>
      <c r="AJ868" s="196"/>
    </row>
    <row r="869" spans="2:36">
      <c r="B869" s="166"/>
      <c r="C869" s="167"/>
      <c r="D869" s="171"/>
      <c r="E869" s="171"/>
      <c r="F869" s="171"/>
      <c r="G869" s="172"/>
      <c r="H869" s="173"/>
      <c r="I869" s="193"/>
      <c r="J869" s="171"/>
      <c r="K869" s="194"/>
      <c r="L869" s="173"/>
      <c r="M869" s="171"/>
      <c r="N869" s="171"/>
      <c r="O869" s="194"/>
      <c r="P869" s="195"/>
      <c r="Q869" s="171"/>
      <c r="R869" s="171"/>
      <c r="S869" s="194"/>
      <c r="T869" s="195"/>
      <c r="U869" s="171"/>
      <c r="V869" s="171"/>
      <c r="W869" s="194"/>
      <c r="X869" s="195"/>
      <c r="Y869" s="171"/>
      <c r="Z869" s="171"/>
      <c r="AA869" s="194"/>
      <c r="AB869" s="195"/>
      <c r="AC869" s="171"/>
      <c r="AD869" s="171"/>
      <c r="AE869" s="194"/>
      <c r="AF869" s="195"/>
      <c r="AG869" s="171"/>
      <c r="AH869" s="171"/>
      <c r="AI869" s="194"/>
      <c r="AJ869" s="196"/>
    </row>
    <row r="870" spans="2:36">
      <c r="B870" s="166"/>
      <c r="C870" s="167"/>
      <c r="D870" s="171"/>
      <c r="E870" s="171"/>
      <c r="F870" s="171"/>
      <c r="G870" s="172"/>
      <c r="H870" s="173"/>
      <c r="I870" s="193"/>
      <c r="J870" s="171"/>
      <c r="K870" s="194"/>
      <c r="L870" s="173"/>
      <c r="M870" s="171"/>
      <c r="N870" s="171"/>
      <c r="O870" s="194"/>
      <c r="P870" s="195"/>
      <c r="Q870" s="171"/>
      <c r="R870" s="171"/>
      <c r="S870" s="194"/>
      <c r="T870" s="195"/>
      <c r="U870" s="171"/>
      <c r="V870" s="171"/>
      <c r="W870" s="194"/>
      <c r="X870" s="195"/>
      <c r="Y870" s="171"/>
      <c r="Z870" s="171"/>
      <c r="AA870" s="194"/>
      <c r="AB870" s="195"/>
      <c r="AC870" s="171"/>
      <c r="AD870" s="171"/>
      <c r="AE870" s="194"/>
      <c r="AF870" s="195"/>
      <c r="AG870" s="171"/>
      <c r="AH870" s="171"/>
      <c r="AI870" s="194"/>
      <c r="AJ870" s="196"/>
    </row>
    <row r="871" spans="2:36">
      <c r="B871" s="166"/>
      <c r="C871" s="167"/>
      <c r="D871" s="171"/>
      <c r="E871" s="171"/>
      <c r="F871" s="171"/>
      <c r="G871" s="172"/>
      <c r="H871" s="173"/>
      <c r="I871" s="193"/>
      <c r="J871" s="171"/>
      <c r="K871" s="194"/>
      <c r="L871" s="173"/>
      <c r="M871" s="171"/>
      <c r="N871" s="171"/>
      <c r="O871" s="194"/>
      <c r="P871" s="195"/>
      <c r="Q871" s="171"/>
      <c r="R871" s="171"/>
      <c r="S871" s="194"/>
      <c r="T871" s="195"/>
      <c r="U871" s="171"/>
      <c r="V871" s="171"/>
      <c r="W871" s="194"/>
      <c r="X871" s="195"/>
      <c r="Y871" s="171"/>
      <c r="Z871" s="171"/>
      <c r="AA871" s="194"/>
      <c r="AB871" s="195"/>
      <c r="AC871" s="171"/>
      <c r="AD871" s="171"/>
      <c r="AE871" s="194"/>
      <c r="AF871" s="195"/>
      <c r="AG871" s="171"/>
      <c r="AH871" s="171"/>
      <c r="AI871" s="194"/>
      <c r="AJ871" s="196"/>
    </row>
    <row r="872" spans="2:36">
      <c r="B872" s="166"/>
      <c r="C872" s="167"/>
      <c r="D872" s="171"/>
      <c r="E872" s="171"/>
      <c r="F872" s="171"/>
      <c r="G872" s="172"/>
      <c r="H872" s="173"/>
      <c r="I872" s="193"/>
      <c r="J872" s="171"/>
      <c r="K872" s="194"/>
      <c r="L872" s="173"/>
      <c r="M872" s="171"/>
      <c r="N872" s="171"/>
      <c r="O872" s="194"/>
      <c r="P872" s="195"/>
      <c r="Q872" s="171"/>
      <c r="R872" s="171"/>
      <c r="S872" s="194"/>
      <c r="T872" s="195"/>
      <c r="U872" s="171"/>
      <c r="V872" s="171"/>
      <c r="W872" s="194"/>
      <c r="X872" s="195"/>
      <c r="Y872" s="171"/>
      <c r="Z872" s="171"/>
      <c r="AA872" s="194"/>
      <c r="AB872" s="195"/>
      <c r="AC872" s="171"/>
      <c r="AD872" s="171"/>
      <c r="AE872" s="194"/>
      <c r="AF872" s="195"/>
      <c r="AG872" s="171"/>
      <c r="AH872" s="171"/>
      <c r="AI872" s="194"/>
      <c r="AJ872" s="196"/>
    </row>
    <row r="873" spans="2:36">
      <c r="B873" s="166"/>
      <c r="C873" s="167"/>
      <c r="D873" s="171"/>
      <c r="E873" s="171"/>
      <c r="F873" s="171"/>
      <c r="G873" s="172"/>
      <c r="H873" s="173"/>
      <c r="I873" s="193"/>
      <c r="J873" s="171"/>
      <c r="K873" s="194"/>
      <c r="L873" s="173"/>
      <c r="M873" s="171"/>
      <c r="N873" s="171"/>
      <c r="O873" s="194"/>
      <c r="P873" s="195"/>
      <c r="Q873" s="171"/>
      <c r="R873" s="171"/>
      <c r="S873" s="194"/>
      <c r="T873" s="195"/>
      <c r="U873" s="171"/>
      <c r="V873" s="171"/>
      <c r="W873" s="194"/>
      <c r="X873" s="195"/>
      <c r="Y873" s="171"/>
      <c r="Z873" s="171"/>
      <c r="AA873" s="194"/>
      <c r="AB873" s="195"/>
      <c r="AC873" s="171"/>
      <c r="AD873" s="171"/>
      <c r="AE873" s="194"/>
      <c r="AF873" s="195"/>
      <c r="AG873" s="171"/>
      <c r="AH873" s="171"/>
      <c r="AI873" s="194"/>
      <c r="AJ873" s="196"/>
    </row>
    <row r="874" spans="2:36">
      <c r="B874" s="166"/>
      <c r="C874" s="167"/>
      <c r="D874" s="171"/>
      <c r="E874" s="171"/>
      <c r="F874" s="171"/>
      <c r="G874" s="172"/>
      <c r="H874" s="173"/>
      <c r="I874" s="193"/>
      <c r="J874" s="171"/>
      <c r="K874" s="194"/>
      <c r="L874" s="173"/>
      <c r="M874" s="171"/>
      <c r="N874" s="171"/>
      <c r="O874" s="194"/>
      <c r="P874" s="195"/>
      <c r="Q874" s="171"/>
      <c r="R874" s="171"/>
      <c r="S874" s="194"/>
      <c r="T874" s="195"/>
      <c r="U874" s="171"/>
      <c r="V874" s="171"/>
      <c r="W874" s="194"/>
      <c r="X874" s="195"/>
      <c r="Y874" s="171"/>
      <c r="Z874" s="171"/>
      <c r="AA874" s="194"/>
      <c r="AB874" s="195"/>
      <c r="AC874" s="171"/>
      <c r="AD874" s="171"/>
      <c r="AE874" s="194"/>
      <c r="AF874" s="195"/>
      <c r="AG874" s="171"/>
      <c r="AH874" s="171"/>
      <c r="AI874" s="194"/>
      <c r="AJ874" s="196"/>
    </row>
    <row r="875" spans="2:36">
      <c r="B875" s="166"/>
      <c r="C875" s="167"/>
      <c r="D875" s="171"/>
      <c r="E875" s="171"/>
      <c r="F875" s="171"/>
      <c r="G875" s="172"/>
      <c r="H875" s="173"/>
      <c r="I875" s="193"/>
      <c r="J875" s="171"/>
      <c r="K875" s="194"/>
      <c r="L875" s="173"/>
      <c r="M875" s="171"/>
      <c r="N875" s="171"/>
      <c r="O875" s="194"/>
      <c r="P875" s="195"/>
      <c r="Q875" s="171"/>
      <c r="R875" s="171"/>
      <c r="S875" s="194"/>
      <c r="T875" s="195"/>
      <c r="U875" s="171"/>
      <c r="V875" s="171"/>
      <c r="W875" s="194"/>
      <c r="X875" s="195"/>
      <c r="Y875" s="171"/>
      <c r="Z875" s="171"/>
      <c r="AA875" s="194"/>
      <c r="AB875" s="195"/>
      <c r="AC875" s="171"/>
      <c r="AD875" s="171"/>
      <c r="AE875" s="194"/>
      <c r="AF875" s="195"/>
      <c r="AG875" s="171"/>
      <c r="AH875" s="171"/>
      <c r="AI875" s="194"/>
      <c r="AJ875" s="196"/>
    </row>
    <row r="876" spans="2:36">
      <c r="B876" s="166"/>
      <c r="C876" s="167"/>
      <c r="D876" s="171"/>
      <c r="E876" s="171"/>
      <c r="F876" s="171"/>
      <c r="G876" s="172"/>
      <c r="H876" s="173"/>
      <c r="I876" s="193"/>
      <c r="J876" s="171"/>
      <c r="K876" s="194"/>
      <c r="L876" s="173"/>
      <c r="M876" s="171"/>
      <c r="N876" s="171"/>
      <c r="O876" s="194"/>
      <c r="P876" s="195"/>
      <c r="Q876" s="171"/>
      <c r="R876" s="171"/>
      <c r="S876" s="194"/>
      <c r="T876" s="195"/>
      <c r="U876" s="171"/>
      <c r="V876" s="171"/>
      <c r="W876" s="194"/>
      <c r="X876" s="195"/>
      <c r="Y876" s="171"/>
      <c r="Z876" s="171"/>
      <c r="AA876" s="194"/>
      <c r="AB876" s="195"/>
      <c r="AC876" s="171"/>
      <c r="AD876" s="171"/>
      <c r="AE876" s="194"/>
      <c r="AF876" s="195"/>
      <c r="AG876" s="171"/>
      <c r="AH876" s="171"/>
      <c r="AI876" s="194"/>
      <c r="AJ876" s="196"/>
    </row>
    <row r="877" spans="2:36">
      <c r="B877" s="166"/>
      <c r="C877" s="167"/>
      <c r="D877" s="171"/>
      <c r="E877" s="171"/>
      <c r="F877" s="171"/>
      <c r="G877" s="172"/>
      <c r="H877" s="173"/>
      <c r="I877" s="193"/>
      <c r="J877" s="171"/>
      <c r="K877" s="194"/>
      <c r="L877" s="173"/>
      <c r="M877" s="171"/>
      <c r="N877" s="171"/>
      <c r="O877" s="194"/>
      <c r="P877" s="195"/>
      <c r="Q877" s="171"/>
      <c r="R877" s="171"/>
      <c r="S877" s="194"/>
      <c r="T877" s="195"/>
      <c r="U877" s="171"/>
      <c r="V877" s="171"/>
      <c r="W877" s="194"/>
      <c r="X877" s="195"/>
      <c r="Y877" s="171"/>
      <c r="Z877" s="171"/>
      <c r="AA877" s="194"/>
      <c r="AB877" s="195"/>
      <c r="AC877" s="171"/>
      <c r="AD877" s="171"/>
      <c r="AE877" s="194"/>
      <c r="AF877" s="195"/>
      <c r="AG877" s="171"/>
      <c r="AH877" s="171"/>
      <c r="AI877" s="194"/>
      <c r="AJ877" s="196"/>
    </row>
    <row r="878" spans="2:36">
      <c r="B878" s="166"/>
      <c r="C878" s="167"/>
      <c r="D878" s="171"/>
      <c r="E878" s="171"/>
      <c r="F878" s="171"/>
      <c r="G878" s="172"/>
      <c r="H878" s="173"/>
      <c r="I878" s="193"/>
      <c r="J878" s="171"/>
      <c r="K878" s="194"/>
      <c r="L878" s="173"/>
      <c r="M878" s="171"/>
      <c r="N878" s="171"/>
      <c r="O878" s="194"/>
      <c r="P878" s="195"/>
      <c r="Q878" s="171"/>
      <c r="R878" s="171"/>
      <c r="S878" s="194"/>
      <c r="T878" s="195"/>
      <c r="U878" s="171"/>
      <c r="V878" s="171"/>
      <c r="W878" s="194"/>
      <c r="X878" s="195"/>
      <c r="Y878" s="171"/>
      <c r="Z878" s="171"/>
      <c r="AA878" s="194"/>
      <c r="AB878" s="195"/>
      <c r="AC878" s="171"/>
      <c r="AD878" s="171"/>
      <c r="AE878" s="194"/>
      <c r="AF878" s="195"/>
      <c r="AG878" s="171"/>
      <c r="AH878" s="171"/>
      <c r="AI878" s="194"/>
      <c r="AJ878" s="196"/>
    </row>
    <row r="879" spans="2:36">
      <c r="B879" s="166"/>
      <c r="C879" s="167"/>
      <c r="D879" s="171"/>
      <c r="E879" s="171"/>
      <c r="F879" s="171"/>
      <c r="G879" s="172"/>
      <c r="H879" s="173"/>
      <c r="I879" s="193"/>
      <c r="J879" s="171"/>
      <c r="K879" s="194"/>
      <c r="L879" s="173"/>
      <c r="M879" s="171"/>
      <c r="N879" s="171"/>
      <c r="O879" s="194"/>
      <c r="P879" s="195"/>
      <c r="Q879" s="171"/>
      <c r="R879" s="171"/>
      <c r="S879" s="194"/>
      <c r="T879" s="195"/>
      <c r="U879" s="171"/>
      <c r="V879" s="171"/>
      <c r="W879" s="194"/>
      <c r="X879" s="195"/>
      <c r="Y879" s="171"/>
      <c r="Z879" s="171"/>
      <c r="AA879" s="194"/>
      <c r="AB879" s="195"/>
      <c r="AC879" s="171"/>
      <c r="AD879" s="171"/>
      <c r="AE879" s="194"/>
      <c r="AF879" s="195"/>
      <c r="AG879" s="171"/>
      <c r="AH879" s="171"/>
      <c r="AI879" s="194"/>
      <c r="AJ879" s="196"/>
    </row>
    <row r="880" spans="2:36">
      <c r="B880" s="166"/>
      <c r="C880" s="167"/>
      <c r="D880" s="171"/>
      <c r="E880" s="171"/>
      <c r="F880" s="171"/>
      <c r="G880" s="172"/>
      <c r="H880" s="173"/>
      <c r="I880" s="193"/>
      <c r="J880" s="171"/>
      <c r="K880" s="194"/>
      <c r="L880" s="173"/>
      <c r="M880" s="171"/>
      <c r="N880" s="171"/>
      <c r="O880" s="194"/>
      <c r="P880" s="195"/>
      <c r="Q880" s="171"/>
      <c r="R880" s="171"/>
      <c r="S880" s="194"/>
      <c r="T880" s="195"/>
      <c r="U880" s="171"/>
      <c r="V880" s="171"/>
      <c r="W880" s="194"/>
      <c r="X880" s="195"/>
      <c r="Y880" s="171"/>
      <c r="Z880" s="171"/>
      <c r="AA880" s="194"/>
      <c r="AB880" s="195"/>
      <c r="AC880" s="171"/>
      <c r="AD880" s="171"/>
      <c r="AE880" s="194"/>
      <c r="AF880" s="195"/>
      <c r="AG880" s="171"/>
      <c r="AH880" s="171"/>
      <c r="AI880" s="194"/>
      <c r="AJ880" s="196"/>
    </row>
    <row r="881" spans="2:36">
      <c r="B881" s="166"/>
      <c r="C881" s="167"/>
      <c r="D881" s="171"/>
      <c r="E881" s="171"/>
      <c r="F881" s="171"/>
      <c r="G881" s="172"/>
      <c r="H881" s="173"/>
      <c r="I881" s="193"/>
      <c r="J881" s="171"/>
      <c r="K881" s="194"/>
      <c r="L881" s="173"/>
      <c r="M881" s="171"/>
      <c r="N881" s="171"/>
      <c r="O881" s="194"/>
      <c r="P881" s="195"/>
      <c r="Q881" s="171"/>
      <c r="R881" s="171"/>
      <c r="S881" s="194"/>
      <c r="T881" s="195"/>
      <c r="U881" s="171"/>
      <c r="V881" s="171"/>
      <c r="W881" s="194"/>
      <c r="X881" s="195"/>
      <c r="Y881" s="171"/>
      <c r="Z881" s="171"/>
      <c r="AA881" s="194"/>
      <c r="AB881" s="195"/>
      <c r="AC881" s="171"/>
      <c r="AD881" s="171"/>
      <c r="AE881" s="194"/>
      <c r="AF881" s="195"/>
      <c r="AG881" s="171"/>
      <c r="AH881" s="171"/>
      <c r="AI881" s="194"/>
      <c r="AJ881" s="196"/>
    </row>
    <row r="882" spans="2:36">
      <c r="B882" s="166"/>
      <c r="C882" s="167"/>
      <c r="D882" s="171"/>
      <c r="E882" s="171"/>
      <c r="F882" s="171"/>
      <c r="G882" s="172"/>
      <c r="H882" s="173"/>
      <c r="I882" s="193"/>
      <c r="J882" s="171"/>
      <c r="K882" s="194"/>
      <c r="L882" s="173"/>
      <c r="M882" s="171"/>
      <c r="N882" s="171"/>
      <c r="O882" s="194"/>
      <c r="P882" s="195"/>
      <c r="Q882" s="171"/>
      <c r="R882" s="171"/>
      <c r="S882" s="194"/>
      <c r="T882" s="195"/>
      <c r="U882" s="171"/>
      <c r="V882" s="171"/>
      <c r="W882" s="194"/>
      <c r="X882" s="195"/>
      <c r="Y882" s="171"/>
      <c r="Z882" s="171"/>
      <c r="AA882" s="194"/>
      <c r="AB882" s="195"/>
      <c r="AC882" s="171"/>
      <c r="AD882" s="171"/>
      <c r="AE882" s="194"/>
      <c r="AF882" s="195"/>
      <c r="AG882" s="171"/>
      <c r="AH882" s="171"/>
      <c r="AI882" s="194"/>
      <c r="AJ882" s="196"/>
    </row>
    <row r="883" spans="2:36">
      <c r="B883" s="166"/>
      <c r="C883" s="167"/>
      <c r="D883" s="171"/>
      <c r="E883" s="171"/>
      <c r="F883" s="171"/>
      <c r="G883" s="172"/>
      <c r="H883" s="173"/>
      <c r="I883" s="193"/>
      <c r="J883" s="171"/>
      <c r="K883" s="194"/>
      <c r="L883" s="173"/>
      <c r="M883" s="171"/>
      <c r="N883" s="171"/>
      <c r="O883" s="194"/>
      <c r="P883" s="195"/>
      <c r="Q883" s="171"/>
      <c r="R883" s="171"/>
      <c r="S883" s="194"/>
      <c r="T883" s="195"/>
      <c r="U883" s="171"/>
      <c r="V883" s="171"/>
      <c r="W883" s="194"/>
      <c r="X883" s="195"/>
      <c r="Y883" s="171"/>
      <c r="Z883" s="171"/>
      <c r="AA883" s="194"/>
      <c r="AB883" s="195"/>
      <c r="AC883" s="171"/>
      <c r="AD883" s="171"/>
      <c r="AE883" s="194"/>
      <c r="AF883" s="195"/>
      <c r="AG883" s="171"/>
      <c r="AH883" s="171"/>
      <c r="AI883" s="194"/>
      <c r="AJ883" s="196"/>
    </row>
    <row r="884" spans="2:36">
      <c r="B884" s="166"/>
      <c r="C884" s="167"/>
      <c r="D884" s="171"/>
      <c r="E884" s="171"/>
      <c r="F884" s="171"/>
      <c r="G884" s="172"/>
      <c r="H884" s="173"/>
      <c r="I884" s="193"/>
      <c r="J884" s="171"/>
      <c r="K884" s="194"/>
      <c r="L884" s="173"/>
      <c r="M884" s="171"/>
      <c r="N884" s="171"/>
      <c r="O884" s="194"/>
      <c r="P884" s="195"/>
      <c r="Q884" s="171"/>
      <c r="R884" s="171"/>
      <c r="S884" s="194"/>
      <c r="T884" s="195"/>
      <c r="U884" s="171"/>
      <c r="V884" s="171"/>
      <c r="W884" s="194"/>
      <c r="X884" s="195"/>
      <c r="Y884" s="171"/>
      <c r="Z884" s="171"/>
      <c r="AA884" s="194"/>
      <c r="AB884" s="195"/>
      <c r="AC884" s="171"/>
      <c r="AD884" s="171"/>
      <c r="AE884" s="194"/>
      <c r="AF884" s="195"/>
      <c r="AG884" s="171"/>
      <c r="AH884" s="171"/>
      <c r="AI884" s="194"/>
      <c r="AJ884" s="196"/>
    </row>
    <row r="885" spans="2:36">
      <c r="B885" s="166"/>
      <c r="C885" s="167"/>
      <c r="D885" s="171"/>
      <c r="E885" s="171"/>
      <c r="F885" s="171"/>
      <c r="G885" s="172"/>
      <c r="H885" s="173"/>
      <c r="I885" s="193"/>
      <c r="J885" s="171"/>
      <c r="K885" s="194"/>
      <c r="L885" s="173"/>
      <c r="M885" s="171"/>
      <c r="N885" s="171"/>
      <c r="O885" s="194"/>
      <c r="P885" s="195"/>
      <c r="Q885" s="171"/>
      <c r="R885" s="171"/>
      <c r="S885" s="194"/>
      <c r="T885" s="195"/>
      <c r="U885" s="171"/>
      <c r="V885" s="171"/>
      <c r="W885" s="194"/>
      <c r="X885" s="195"/>
      <c r="Y885" s="171"/>
      <c r="Z885" s="171"/>
      <c r="AA885" s="194"/>
      <c r="AB885" s="195"/>
      <c r="AC885" s="171"/>
      <c r="AD885" s="171"/>
      <c r="AE885" s="194"/>
      <c r="AF885" s="195"/>
      <c r="AG885" s="171"/>
      <c r="AH885" s="171"/>
      <c r="AI885" s="194"/>
      <c r="AJ885" s="196"/>
    </row>
    <row r="886" spans="2:36">
      <c r="B886" s="166"/>
      <c r="C886" s="167"/>
      <c r="D886" s="171"/>
      <c r="E886" s="171"/>
      <c r="F886" s="171"/>
      <c r="G886" s="172"/>
      <c r="H886" s="173"/>
      <c r="I886" s="193"/>
      <c r="J886" s="171"/>
      <c r="K886" s="194"/>
      <c r="L886" s="173"/>
      <c r="M886" s="171"/>
      <c r="N886" s="171"/>
      <c r="O886" s="194"/>
      <c r="P886" s="195"/>
      <c r="Q886" s="171"/>
      <c r="R886" s="171"/>
      <c r="S886" s="194"/>
      <c r="T886" s="195"/>
      <c r="U886" s="171"/>
      <c r="V886" s="171"/>
      <c r="W886" s="194"/>
      <c r="X886" s="195"/>
      <c r="Y886" s="171"/>
      <c r="Z886" s="171"/>
      <c r="AA886" s="194"/>
      <c r="AB886" s="195"/>
      <c r="AC886" s="171"/>
      <c r="AD886" s="171"/>
      <c r="AE886" s="194"/>
      <c r="AF886" s="195"/>
      <c r="AG886" s="171"/>
      <c r="AH886" s="171"/>
      <c r="AI886" s="194"/>
      <c r="AJ886" s="196"/>
    </row>
    <row r="887" spans="2:36">
      <c r="B887" s="166"/>
      <c r="C887" s="167"/>
      <c r="D887" s="171"/>
      <c r="E887" s="171"/>
      <c r="F887" s="171"/>
      <c r="G887" s="172"/>
      <c r="H887" s="173"/>
      <c r="I887" s="193"/>
      <c r="J887" s="171"/>
      <c r="K887" s="194"/>
      <c r="L887" s="173"/>
      <c r="M887" s="171"/>
      <c r="N887" s="171"/>
      <c r="O887" s="194"/>
      <c r="P887" s="195"/>
      <c r="Q887" s="171"/>
      <c r="R887" s="171"/>
      <c r="S887" s="194"/>
      <c r="T887" s="195"/>
      <c r="U887" s="171"/>
      <c r="V887" s="171"/>
      <c r="W887" s="194"/>
      <c r="X887" s="195"/>
      <c r="Y887" s="171"/>
      <c r="Z887" s="171"/>
      <c r="AA887" s="194"/>
      <c r="AB887" s="195"/>
      <c r="AC887" s="171"/>
      <c r="AD887" s="171"/>
      <c r="AE887" s="194"/>
      <c r="AF887" s="195"/>
      <c r="AG887" s="171"/>
      <c r="AH887" s="171"/>
      <c r="AI887" s="194"/>
      <c r="AJ887" s="196"/>
    </row>
    <row r="888" spans="2:36">
      <c r="B888" s="166"/>
      <c r="C888" s="167"/>
      <c r="D888" s="171"/>
      <c r="E888" s="171"/>
      <c r="F888" s="171"/>
      <c r="G888" s="172"/>
      <c r="H888" s="173"/>
      <c r="I888" s="193"/>
      <c r="J888" s="171"/>
      <c r="K888" s="194"/>
      <c r="L888" s="173"/>
      <c r="M888" s="171"/>
      <c r="N888" s="171"/>
      <c r="O888" s="194"/>
      <c r="P888" s="195"/>
      <c r="Q888" s="171"/>
      <c r="R888" s="171"/>
      <c r="S888" s="194"/>
      <c r="T888" s="195"/>
      <c r="U888" s="171"/>
      <c r="V888" s="171"/>
      <c r="W888" s="194"/>
      <c r="X888" s="195"/>
      <c r="Y888" s="171"/>
      <c r="Z888" s="171"/>
      <c r="AA888" s="194"/>
      <c r="AB888" s="195"/>
      <c r="AC888" s="171"/>
      <c r="AD888" s="171"/>
      <c r="AE888" s="194"/>
      <c r="AF888" s="195"/>
      <c r="AG888" s="171"/>
      <c r="AH888" s="171"/>
      <c r="AI888" s="194"/>
      <c r="AJ888" s="196"/>
    </row>
    <row r="889" spans="2:36">
      <c r="B889" s="166"/>
      <c r="C889" s="167"/>
      <c r="D889" s="171"/>
      <c r="E889" s="171"/>
      <c r="F889" s="171"/>
      <c r="G889" s="172"/>
      <c r="H889" s="173"/>
      <c r="I889" s="193"/>
      <c r="J889" s="171"/>
      <c r="K889" s="194"/>
      <c r="L889" s="173"/>
      <c r="M889" s="171"/>
      <c r="N889" s="171"/>
      <c r="O889" s="194"/>
      <c r="P889" s="195"/>
      <c r="Q889" s="171"/>
      <c r="R889" s="171"/>
      <c r="S889" s="194"/>
      <c r="T889" s="195"/>
      <c r="U889" s="171"/>
      <c r="V889" s="171"/>
      <c r="W889" s="194"/>
      <c r="X889" s="195"/>
      <c r="Y889" s="171"/>
      <c r="Z889" s="171"/>
      <c r="AA889" s="194"/>
      <c r="AB889" s="195"/>
      <c r="AC889" s="171"/>
      <c r="AD889" s="171"/>
      <c r="AE889" s="194"/>
      <c r="AF889" s="195"/>
      <c r="AG889" s="171"/>
      <c r="AH889" s="171"/>
      <c r="AI889" s="194"/>
      <c r="AJ889" s="196"/>
    </row>
    <row r="890" spans="2:36">
      <c r="B890" s="166"/>
      <c r="C890" s="167"/>
      <c r="D890" s="171"/>
      <c r="E890" s="171"/>
      <c r="F890" s="171"/>
      <c r="G890" s="172"/>
      <c r="H890" s="173"/>
      <c r="I890" s="193"/>
      <c r="J890" s="171"/>
      <c r="K890" s="194"/>
      <c r="L890" s="173"/>
      <c r="M890" s="171"/>
      <c r="N890" s="171"/>
      <c r="O890" s="194"/>
      <c r="P890" s="195"/>
      <c r="Q890" s="171"/>
      <c r="R890" s="171"/>
      <c r="S890" s="194"/>
      <c r="T890" s="195"/>
      <c r="U890" s="171"/>
      <c r="V890" s="171"/>
      <c r="W890" s="194"/>
      <c r="X890" s="195"/>
      <c r="Y890" s="171"/>
      <c r="Z890" s="171"/>
      <c r="AA890" s="194"/>
      <c r="AB890" s="195"/>
      <c r="AC890" s="171"/>
      <c r="AD890" s="171"/>
      <c r="AE890" s="194"/>
      <c r="AF890" s="195"/>
      <c r="AG890" s="171"/>
      <c r="AH890" s="171"/>
      <c r="AI890" s="194"/>
      <c r="AJ890" s="196"/>
    </row>
    <row r="891" spans="2:36">
      <c r="B891" s="166"/>
      <c r="C891" s="167"/>
      <c r="D891" s="171"/>
      <c r="E891" s="171"/>
      <c r="F891" s="171"/>
      <c r="G891" s="172"/>
      <c r="H891" s="173"/>
      <c r="I891" s="193"/>
      <c r="J891" s="171"/>
      <c r="K891" s="194"/>
      <c r="L891" s="173"/>
      <c r="M891" s="171"/>
      <c r="N891" s="171"/>
      <c r="O891" s="194"/>
      <c r="P891" s="195"/>
      <c r="Q891" s="171"/>
      <c r="R891" s="171"/>
      <c r="S891" s="194"/>
      <c r="T891" s="195"/>
      <c r="U891" s="171"/>
      <c r="V891" s="171"/>
      <c r="W891" s="194"/>
      <c r="X891" s="195"/>
      <c r="Y891" s="171"/>
      <c r="Z891" s="171"/>
      <c r="AA891" s="194"/>
      <c r="AB891" s="195"/>
      <c r="AC891" s="171"/>
      <c r="AD891" s="171"/>
      <c r="AE891" s="194"/>
      <c r="AF891" s="195"/>
      <c r="AG891" s="171"/>
      <c r="AH891" s="171"/>
      <c r="AI891" s="194"/>
      <c r="AJ891" s="196"/>
    </row>
    <row r="892" spans="2:36">
      <c r="B892" s="166"/>
      <c r="C892" s="167"/>
      <c r="D892" s="171"/>
      <c r="E892" s="171"/>
      <c r="F892" s="171"/>
      <c r="G892" s="172"/>
      <c r="H892" s="173"/>
      <c r="I892" s="193"/>
      <c r="J892" s="171"/>
      <c r="K892" s="194"/>
      <c r="L892" s="173"/>
      <c r="M892" s="171"/>
      <c r="N892" s="171"/>
      <c r="O892" s="194"/>
      <c r="P892" s="195"/>
      <c r="Q892" s="171"/>
      <c r="R892" s="171"/>
      <c r="S892" s="194"/>
      <c r="T892" s="195"/>
      <c r="U892" s="171"/>
      <c r="V892" s="171"/>
      <c r="W892" s="194"/>
      <c r="X892" s="195"/>
      <c r="Y892" s="171"/>
      <c r="Z892" s="171"/>
      <c r="AA892" s="194"/>
      <c r="AB892" s="195"/>
      <c r="AC892" s="171"/>
      <c r="AD892" s="171"/>
      <c r="AE892" s="194"/>
      <c r="AF892" s="195"/>
      <c r="AG892" s="171"/>
      <c r="AH892" s="171"/>
      <c r="AI892" s="194"/>
      <c r="AJ892" s="196"/>
    </row>
    <row r="893" spans="2:36">
      <c r="B893" s="166"/>
      <c r="C893" s="167"/>
      <c r="D893" s="171"/>
      <c r="E893" s="171"/>
      <c r="F893" s="171"/>
      <c r="G893" s="172"/>
      <c r="H893" s="173"/>
      <c r="I893" s="193"/>
      <c r="J893" s="171"/>
      <c r="K893" s="194"/>
      <c r="L893" s="173"/>
      <c r="M893" s="171"/>
      <c r="N893" s="171"/>
      <c r="O893" s="194"/>
      <c r="P893" s="195"/>
      <c r="Q893" s="171"/>
      <c r="R893" s="171"/>
      <c r="S893" s="194"/>
      <c r="T893" s="195"/>
      <c r="U893" s="171"/>
      <c r="V893" s="171"/>
      <c r="W893" s="194"/>
      <c r="X893" s="195"/>
      <c r="Y893" s="171"/>
      <c r="Z893" s="171"/>
      <c r="AA893" s="194"/>
      <c r="AB893" s="195"/>
      <c r="AC893" s="171"/>
      <c r="AD893" s="171"/>
      <c r="AE893" s="194"/>
      <c r="AF893" s="195"/>
      <c r="AG893" s="171"/>
      <c r="AH893" s="171"/>
      <c r="AI893" s="194"/>
      <c r="AJ893" s="196"/>
    </row>
    <row r="894" spans="2:36">
      <c r="B894" s="166"/>
      <c r="C894" s="167"/>
      <c r="D894" s="171"/>
      <c r="E894" s="171"/>
      <c r="F894" s="171"/>
      <c r="G894" s="172"/>
      <c r="H894" s="173"/>
      <c r="I894" s="193"/>
      <c r="J894" s="171"/>
      <c r="K894" s="194"/>
      <c r="L894" s="173"/>
      <c r="M894" s="171"/>
      <c r="N894" s="171"/>
      <c r="O894" s="194"/>
      <c r="P894" s="195"/>
      <c r="Q894" s="171"/>
      <c r="R894" s="171"/>
      <c r="S894" s="194"/>
      <c r="T894" s="195"/>
      <c r="U894" s="171"/>
      <c r="V894" s="171"/>
      <c r="W894" s="194"/>
      <c r="X894" s="195"/>
      <c r="Y894" s="171"/>
      <c r="Z894" s="171"/>
      <c r="AA894" s="194"/>
      <c r="AB894" s="195"/>
      <c r="AC894" s="171"/>
      <c r="AD894" s="171"/>
      <c r="AE894" s="194"/>
      <c r="AF894" s="195"/>
      <c r="AG894" s="171"/>
      <c r="AH894" s="171"/>
      <c r="AI894" s="194"/>
      <c r="AJ894" s="196"/>
    </row>
    <row r="895" spans="2:36">
      <c r="B895" s="166"/>
      <c r="C895" s="167"/>
      <c r="D895" s="171"/>
      <c r="E895" s="171"/>
      <c r="F895" s="171"/>
      <c r="G895" s="172"/>
      <c r="H895" s="173"/>
      <c r="I895" s="193"/>
      <c r="J895" s="171"/>
      <c r="K895" s="194"/>
      <c r="L895" s="173"/>
      <c r="M895" s="171"/>
      <c r="N895" s="171"/>
      <c r="O895" s="194"/>
      <c r="P895" s="195"/>
      <c r="Q895" s="171"/>
      <c r="R895" s="171"/>
      <c r="S895" s="194"/>
      <c r="T895" s="195"/>
      <c r="U895" s="171"/>
      <c r="V895" s="171"/>
      <c r="W895" s="194"/>
      <c r="X895" s="195"/>
      <c r="Y895" s="171"/>
      <c r="Z895" s="171"/>
      <c r="AA895" s="194"/>
      <c r="AB895" s="195"/>
      <c r="AC895" s="171"/>
      <c r="AD895" s="171"/>
      <c r="AE895" s="194"/>
      <c r="AF895" s="195"/>
      <c r="AG895" s="171"/>
      <c r="AH895" s="171"/>
      <c r="AI895" s="194"/>
      <c r="AJ895" s="196"/>
    </row>
    <row r="896" spans="2:36">
      <c r="B896" s="166"/>
      <c r="C896" s="167"/>
      <c r="D896" s="171"/>
      <c r="E896" s="171"/>
      <c r="F896" s="171"/>
      <c r="G896" s="172"/>
      <c r="H896" s="173"/>
      <c r="I896" s="193"/>
      <c r="J896" s="171"/>
      <c r="K896" s="194"/>
      <c r="L896" s="173"/>
      <c r="M896" s="171"/>
      <c r="N896" s="171"/>
      <c r="O896" s="194"/>
      <c r="P896" s="195"/>
      <c r="Q896" s="171"/>
      <c r="R896" s="171"/>
      <c r="S896" s="194"/>
      <c r="T896" s="195"/>
      <c r="U896" s="171"/>
      <c r="V896" s="171"/>
      <c r="W896" s="194"/>
      <c r="X896" s="195"/>
      <c r="Y896" s="171"/>
      <c r="Z896" s="171"/>
      <c r="AA896" s="194"/>
      <c r="AB896" s="195"/>
      <c r="AC896" s="171"/>
      <c r="AD896" s="171"/>
      <c r="AE896" s="194"/>
      <c r="AF896" s="195"/>
      <c r="AG896" s="171"/>
      <c r="AH896" s="171"/>
      <c r="AI896" s="194"/>
      <c r="AJ896" s="196"/>
    </row>
    <row r="897" spans="2:36">
      <c r="B897" s="166"/>
      <c r="C897" s="167"/>
      <c r="D897" s="171"/>
      <c r="E897" s="171"/>
      <c r="F897" s="171"/>
      <c r="G897" s="172"/>
      <c r="H897" s="173"/>
      <c r="I897" s="193"/>
      <c r="J897" s="171"/>
      <c r="K897" s="194"/>
      <c r="L897" s="173"/>
      <c r="M897" s="171"/>
      <c r="N897" s="171"/>
      <c r="O897" s="194"/>
      <c r="P897" s="195"/>
      <c r="Q897" s="171"/>
      <c r="R897" s="171"/>
      <c r="S897" s="194"/>
      <c r="T897" s="195"/>
      <c r="U897" s="171"/>
      <c r="V897" s="171"/>
      <c r="W897" s="194"/>
      <c r="X897" s="195"/>
      <c r="Y897" s="171"/>
      <c r="Z897" s="171"/>
      <c r="AA897" s="194"/>
      <c r="AB897" s="195"/>
      <c r="AC897" s="171"/>
      <c r="AD897" s="171"/>
      <c r="AE897" s="194"/>
      <c r="AF897" s="195"/>
      <c r="AG897" s="171"/>
      <c r="AH897" s="171"/>
      <c r="AI897" s="194"/>
      <c r="AJ897" s="196"/>
    </row>
    <row r="898" spans="2:36">
      <c r="B898" s="166"/>
      <c r="C898" s="167"/>
      <c r="D898" s="171"/>
      <c r="E898" s="171"/>
      <c r="F898" s="171"/>
      <c r="G898" s="172"/>
      <c r="H898" s="173"/>
      <c r="I898" s="193"/>
      <c r="J898" s="171"/>
      <c r="K898" s="194"/>
      <c r="L898" s="173"/>
      <c r="M898" s="171"/>
      <c r="N898" s="171"/>
      <c r="O898" s="194"/>
      <c r="P898" s="195"/>
      <c r="Q898" s="171"/>
      <c r="R898" s="171"/>
      <c r="S898" s="194"/>
      <c r="T898" s="195"/>
      <c r="U898" s="171"/>
      <c r="V898" s="171"/>
      <c r="W898" s="194"/>
      <c r="X898" s="195"/>
      <c r="Y898" s="171"/>
      <c r="Z898" s="171"/>
      <c r="AA898" s="194"/>
      <c r="AB898" s="195"/>
      <c r="AC898" s="171"/>
      <c r="AD898" s="171"/>
      <c r="AE898" s="194"/>
      <c r="AF898" s="195"/>
      <c r="AG898" s="171"/>
      <c r="AH898" s="171"/>
      <c r="AI898" s="194"/>
      <c r="AJ898" s="196"/>
    </row>
    <row r="899" spans="2:36">
      <c r="B899" s="166"/>
      <c r="C899" s="167"/>
      <c r="D899" s="171"/>
      <c r="E899" s="171"/>
      <c r="F899" s="171"/>
      <c r="G899" s="172"/>
      <c r="H899" s="173"/>
      <c r="I899" s="193"/>
      <c r="J899" s="171"/>
      <c r="K899" s="194"/>
      <c r="L899" s="173"/>
      <c r="M899" s="171"/>
      <c r="N899" s="171"/>
      <c r="O899" s="194"/>
      <c r="P899" s="195"/>
      <c r="Q899" s="171"/>
      <c r="R899" s="171"/>
      <c r="S899" s="194"/>
      <c r="T899" s="195"/>
      <c r="U899" s="171"/>
      <c r="V899" s="171"/>
      <c r="W899" s="194"/>
      <c r="X899" s="195"/>
      <c r="Y899" s="171"/>
      <c r="Z899" s="171"/>
      <c r="AA899" s="194"/>
      <c r="AB899" s="195"/>
      <c r="AC899" s="171"/>
      <c r="AD899" s="171"/>
      <c r="AE899" s="194"/>
      <c r="AF899" s="195"/>
      <c r="AG899" s="171"/>
      <c r="AH899" s="171"/>
      <c r="AI899" s="194"/>
      <c r="AJ899" s="196"/>
    </row>
    <row r="900" spans="2:36">
      <c r="B900" s="166"/>
      <c r="C900" s="167"/>
      <c r="D900" s="171"/>
      <c r="E900" s="171"/>
      <c r="F900" s="171"/>
      <c r="G900" s="172"/>
      <c r="H900" s="173"/>
      <c r="I900" s="193"/>
      <c r="J900" s="171"/>
      <c r="K900" s="194"/>
      <c r="L900" s="173"/>
      <c r="M900" s="171"/>
      <c r="N900" s="171"/>
      <c r="O900" s="194"/>
      <c r="P900" s="195"/>
      <c r="Q900" s="171"/>
      <c r="R900" s="171"/>
      <c r="S900" s="194"/>
      <c r="T900" s="195"/>
      <c r="U900" s="171"/>
      <c r="V900" s="171"/>
      <c r="W900" s="194"/>
      <c r="X900" s="195"/>
      <c r="Y900" s="171"/>
      <c r="Z900" s="171"/>
      <c r="AA900" s="194"/>
      <c r="AB900" s="195"/>
      <c r="AC900" s="171"/>
      <c r="AD900" s="171"/>
      <c r="AE900" s="194"/>
      <c r="AF900" s="195"/>
      <c r="AG900" s="171"/>
      <c r="AH900" s="171"/>
      <c r="AI900" s="194"/>
      <c r="AJ900" s="196"/>
    </row>
    <row r="901" spans="2:36">
      <c r="B901" s="166"/>
      <c r="C901" s="167"/>
      <c r="D901" s="171"/>
      <c r="E901" s="171"/>
      <c r="F901" s="171"/>
      <c r="G901" s="172"/>
      <c r="H901" s="173"/>
      <c r="I901" s="193"/>
      <c r="J901" s="171"/>
      <c r="K901" s="194"/>
      <c r="L901" s="173"/>
      <c r="M901" s="171"/>
      <c r="N901" s="171"/>
      <c r="O901" s="194"/>
      <c r="P901" s="195"/>
      <c r="Q901" s="171"/>
      <c r="R901" s="171"/>
      <c r="S901" s="194"/>
      <c r="T901" s="195"/>
      <c r="U901" s="171"/>
      <c r="V901" s="171"/>
      <c r="W901" s="194"/>
      <c r="X901" s="195"/>
      <c r="Y901" s="171"/>
      <c r="Z901" s="171"/>
      <c r="AA901" s="194"/>
      <c r="AB901" s="195"/>
      <c r="AC901" s="171"/>
      <c r="AD901" s="171"/>
      <c r="AE901" s="194"/>
      <c r="AF901" s="195"/>
      <c r="AG901" s="171"/>
      <c r="AH901" s="171"/>
      <c r="AI901" s="194"/>
      <c r="AJ901" s="196"/>
    </row>
    <row r="902" spans="2:36">
      <c r="B902" s="166"/>
      <c r="C902" s="167"/>
      <c r="D902" s="171"/>
      <c r="E902" s="171"/>
      <c r="F902" s="171"/>
      <c r="G902" s="172"/>
      <c r="H902" s="173"/>
      <c r="I902" s="193"/>
      <c r="J902" s="171"/>
      <c r="K902" s="194"/>
      <c r="L902" s="173"/>
      <c r="M902" s="171"/>
      <c r="N902" s="171"/>
      <c r="O902" s="194"/>
      <c r="P902" s="195"/>
      <c r="Q902" s="171"/>
      <c r="R902" s="171"/>
      <c r="S902" s="194"/>
      <c r="T902" s="195"/>
      <c r="U902" s="171"/>
      <c r="V902" s="171"/>
      <c r="W902" s="194"/>
      <c r="X902" s="195"/>
      <c r="Y902" s="171"/>
      <c r="Z902" s="171"/>
      <c r="AA902" s="194"/>
      <c r="AB902" s="195"/>
      <c r="AC902" s="171"/>
      <c r="AD902" s="171"/>
      <c r="AE902" s="194"/>
      <c r="AF902" s="195"/>
      <c r="AG902" s="171"/>
      <c r="AH902" s="171"/>
      <c r="AI902" s="194"/>
      <c r="AJ902" s="196"/>
    </row>
    <row r="903" spans="2:36">
      <c r="B903" s="166"/>
      <c r="C903" s="167"/>
      <c r="D903" s="171"/>
      <c r="E903" s="171"/>
      <c r="F903" s="171"/>
      <c r="G903" s="172"/>
      <c r="H903" s="173"/>
      <c r="I903" s="193"/>
      <c r="J903" s="171"/>
      <c r="K903" s="194"/>
      <c r="L903" s="173"/>
      <c r="M903" s="171"/>
      <c r="N903" s="171"/>
      <c r="O903" s="194"/>
      <c r="P903" s="195"/>
      <c r="Q903" s="171"/>
      <c r="R903" s="171"/>
      <c r="S903" s="194"/>
      <c r="T903" s="195"/>
      <c r="U903" s="171"/>
      <c r="V903" s="171"/>
      <c r="W903" s="194"/>
      <c r="X903" s="195"/>
      <c r="Y903" s="171"/>
      <c r="Z903" s="171"/>
      <c r="AA903" s="194"/>
      <c r="AB903" s="195"/>
      <c r="AC903" s="171"/>
      <c r="AD903" s="171"/>
      <c r="AE903" s="194"/>
      <c r="AF903" s="195"/>
      <c r="AG903" s="171"/>
      <c r="AH903" s="171"/>
      <c r="AI903" s="194"/>
      <c r="AJ903" s="196"/>
    </row>
    <row r="904" spans="2:36">
      <c r="B904" s="166"/>
      <c r="C904" s="167"/>
      <c r="D904" s="171"/>
      <c r="E904" s="171"/>
      <c r="F904" s="171"/>
      <c r="G904" s="172"/>
      <c r="H904" s="173"/>
      <c r="I904" s="193"/>
      <c r="J904" s="171"/>
      <c r="K904" s="194"/>
      <c r="L904" s="173"/>
      <c r="M904" s="171"/>
      <c r="N904" s="171"/>
      <c r="O904" s="194"/>
      <c r="P904" s="195"/>
      <c r="Q904" s="171"/>
      <c r="R904" s="171"/>
      <c r="S904" s="194"/>
      <c r="T904" s="195"/>
      <c r="U904" s="171"/>
      <c r="V904" s="171"/>
      <c r="W904" s="194"/>
      <c r="X904" s="195"/>
      <c r="Y904" s="171"/>
      <c r="Z904" s="171"/>
      <c r="AA904" s="194"/>
      <c r="AB904" s="195"/>
      <c r="AC904" s="171"/>
      <c r="AD904" s="171"/>
      <c r="AE904" s="194"/>
      <c r="AF904" s="195"/>
      <c r="AG904" s="171"/>
      <c r="AH904" s="171"/>
      <c r="AI904" s="194"/>
      <c r="AJ904" s="196"/>
    </row>
    <row r="905" spans="2:36">
      <c r="B905" s="166"/>
      <c r="C905" s="167"/>
      <c r="D905" s="171"/>
      <c r="E905" s="171"/>
      <c r="F905" s="171"/>
      <c r="G905" s="172"/>
      <c r="H905" s="173"/>
      <c r="I905" s="193"/>
      <c r="J905" s="171"/>
      <c r="K905" s="194"/>
      <c r="L905" s="173"/>
      <c r="M905" s="171"/>
      <c r="N905" s="171"/>
      <c r="O905" s="194"/>
      <c r="P905" s="195"/>
      <c r="Q905" s="171"/>
      <c r="R905" s="171"/>
      <c r="S905" s="194"/>
      <c r="T905" s="195"/>
      <c r="U905" s="171"/>
      <c r="V905" s="171"/>
      <c r="W905" s="194"/>
      <c r="X905" s="195"/>
      <c r="Y905" s="171"/>
      <c r="Z905" s="171"/>
      <c r="AA905" s="194"/>
      <c r="AB905" s="195"/>
      <c r="AC905" s="171"/>
      <c r="AD905" s="171"/>
      <c r="AE905" s="194"/>
      <c r="AF905" s="195"/>
      <c r="AG905" s="171"/>
      <c r="AH905" s="171"/>
      <c r="AI905" s="194"/>
      <c r="AJ905" s="196"/>
    </row>
    <row r="906" spans="2:36">
      <c r="B906" s="166"/>
      <c r="C906" s="167"/>
      <c r="D906" s="171"/>
      <c r="E906" s="171"/>
      <c r="F906" s="171"/>
      <c r="G906" s="172"/>
      <c r="H906" s="173"/>
      <c r="I906" s="193"/>
      <c r="J906" s="171"/>
      <c r="K906" s="194"/>
      <c r="L906" s="173"/>
      <c r="M906" s="171"/>
      <c r="N906" s="171"/>
      <c r="O906" s="194"/>
      <c r="P906" s="195"/>
      <c r="Q906" s="171"/>
      <c r="R906" s="171"/>
      <c r="S906" s="194"/>
      <c r="T906" s="195"/>
      <c r="U906" s="171"/>
      <c r="V906" s="171"/>
      <c r="W906" s="194"/>
      <c r="X906" s="195"/>
      <c r="Y906" s="171"/>
      <c r="Z906" s="171"/>
      <c r="AA906" s="194"/>
      <c r="AB906" s="195"/>
      <c r="AC906" s="171"/>
      <c r="AD906" s="171"/>
      <c r="AE906" s="194"/>
      <c r="AF906" s="195"/>
      <c r="AG906" s="171"/>
      <c r="AH906" s="171"/>
      <c r="AI906" s="194"/>
      <c r="AJ906" s="196"/>
    </row>
    <row r="907" spans="2:36">
      <c r="B907" s="166"/>
      <c r="C907" s="167"/>
      <c r="D907" s="171"/>
      <c r="E907" s="171"/>
      <c r="F907" s="171"/>
      <c r="G907" s="172"/>
      <c r="H907" s="173"/>
      <c r="I907" s="193"/>
      <c r="J907" s="171"/>
      <c r="K907" s="194"/>
      <c r="L907" s="173"/>
      <c r="M907" s="171"/>
      <c r="N907" s="171"/>
      <c r="O907" s="194"/>
      <c r="P907" s="195"/>
      <c r="Q907" s="171"/>
      <c r="R907" s="171"/>
      <c r="S907" s="194"/>
      <c r="T907" s="195"/>
      <c r="U907" s="171"/>
      <c r="V907" s="171"/>
      <c r="W907" s="194"/>
      <c r="X907" s="195"/>
      <c r="Y907" s="171"/>
      <c r="Z907" s="171"/>
      <c r="AA907" s="194"/>
      <c r="AB907" s="195"/>
      <c r="AC907" s="171"/>
      <c r="AD907" s="171"/>
      <c r="AE907" s="194"/>
      <c r="AF907" s="195"/>
      <c r="AG907" s="171"/>
      <c r="AH907" s="171"/>
      <c r="AI907" s="194"/>
      <c r="AJ907" s="196"/>
    </row>
    <row r="908" spans="2:36">
      <c r="B908" s="166"/>
      <c r="C908" s="167"/>
      <c r="D908" s="171"/>
      <c r="E908" s="171"/>
      <c r="F908" s="171"/>
      <c r="G908" s="172"/>
      <c r="H908" s="173"/>
      <c r="I908" s="193"/>
      <c r="J908" s="171"/>
      <c r="K908" s="194"/>
      <c r="L908" s="173"/>
      <c r="M908" s="171"/>
      <c r="N908" s="171"/>
      <c r="O908" s="194"/>
      <c r="P908" s="195"/>
      <c r="Q908" s="171"/>
      <c r="R908" s="171"/>
      <c r="S908" s="194"/>
      <c r="T908" s="195"/>
      <c r="U908" s="171"/>
      <c r="V908" s="171"/>
      <c r="W908" s="194"/>
      <c r="X908" s="195"/>
      <c r="Y908" s="171"/>
      <c r="Z908" s="171"/>
      <c r="AA908" s="194"/>
      <c r="AB908" s="195"/>
      <c r="AC908" s="171"/>
      <c r="AD908" s="171"/>
      <c r="AE908" s="194"/>
      <c r="AF908" s="195"/>
      <c r="AG908" s="171"/>
      <c r="AH908" s="171"/>
      <c r="AI908" s="194"/>
      <c r="AJ908" s="196"/>
    </row>
    <row r="909" spans="2:36">
      <c r="B909" s="166"/>
      <c r="C909" s="167"/>
      <c r="D909" s="171"/>
      <c r="E909" s="171"/>
      <c r="F909" s="171"/>
      <c r="G909" s="172"/>
      <c r="H909" s="173"/>
      <c r="I909" s="193"/>
      <c r="J909" s="171"/>
      <c r="K909" s="194"/>
      <c r="L909" s="173"/>
      <c r="M909" s="171"/>
      <c r="N909" s="171"/>
      <c r="O909" s="194"/>
      <c r="P909" s="195"/>
      <c r="Q909" s="171"/>
      <c r="R909" s="171"/>
      <c r="S909" s="194"/>
      <c r="T909" s="195"/>
      <c r="U909" s="171"/>
      <c r="V909" s="171"/>
      <c r="W909" s="194"/>
      <c r="X909" s="195"/>
      <c r="Y909" s="171"/>
      <c r="Z909" s="171"/>
      <c r="AA909" s="194"/>
      <c r="AB909" s="195"/>
      <c r="AC909" s="171"/>
      <c r="AD909" s="171"/>
      <c r="AE909" s="194"/>
      <c r="AF909" s="195"/>
      <c r="AG909" s="171"/>
      <c r="AH909" s="171"/>
      <c r="AI909" s="194"/>
      <c r="AJ909" s="196"/>
    </row>
    <row r="910" spans="2:36">
      <c r="B910" s="166"/>
      <c r="C910" s="167"/>
      <c r="D910" s="171"/>
      <c r="E910" s="171"/>
      <c r="F910" s="171"/>
      <c r="G910" s="172"/>
      <c r="H910" s="173"/>
      <c r="I910" s="193"/>
      <c r="J910" s="171"/>
      <c r="K910" s="194"/>
      <c r="L910" s="173"/>
      <c r="M910" s="171"/>
      <c r="N910" s="171"/>
      <c r="O910" s="194"/>
      <c r="P910" s="195"/>
      <c r="Q910" s="171"/>
      <c r="R910" s="171"/>
      <c r="S910" s="194"/>
      <c r="T910" s="195"/>
      <c r="U910" s="171"/>
      <c r="V910" s="171"/>
      <c r="W910" s="194"/>
      <c r="X910" s="195"/>
      <c r="Y910" s="171"/>
      <c r="Z910" s="171"/>
      <c r="AA910" s="194"/>
      <c r="AB910" s="195"/>
      <c r="AC910" s="171"/>
      <c r="AD910" s="171"/>
      <c r="AE910" s="194"/>
      <c r="AF910" s="195"/>
      <c r="AG910" s="171"/>
      <c r="AH910" s="171"/>
      <c r="AI910" s="194"/>
      <c r="AJ910" s="196"/>
    </row>
    <row r="911" spans="2:36">
      <c r="B911" s="166"/>
      <c r="C911" s="167"/>
      <c r="D911" s="171"/>
      <c r="E911" s="171"/>
      <c r="F911" s="171"/>
      <c r="G911" s="172"/>
      <c r="H911" s="173"/>
      <c r="I911" s="193"/>
      <c r="J911" s="171"/>
      <c r="K911" s="194"/>
      <c r="L911" s="173"/>
      <c r="M911" s="171"/>
      <c r="N911" s="171"/>
      <c r="O911" s="194"/>
      <c r="P911" s="195"/>
      <c r="Q911" s="171"/>
      <c r="R911" s="171"/>
      <c r="S911" s="194"/>
      <c r="T911" s="195"/>
      <c r="U911" s="171"/>
      <c r="V911" s="171"/>
      <c r="W911" s="194"/>
      <c r="X911" s="195"/>
      <c r="Y911" s="171"/>
      <c r="Z911" s="171"/>
      <c r="AA911" s="194"/>
      <c r="AB911" s="195"/>
      <c r="AC911" s="171"/>
      <c r="AD911" s="171"/>
      <c r="AE911" s="194"/>
      <c r="AF911" s="195"/>
      <c r="AG911" s="171"/>
      <c r="AH911" s="171"/>
      <c r="AI911" s="194"/>
      <c r="AJ911" s="196"/>
    </row>
    <row r="912" spans="2:36">
      <c r="B912" s="166"/>
      <c r="C912" s="167"/>
      <c r="D912" s="171"/>
      <c r="E912" s="171"/>
      <c r="F912" s="171"/>
      <c r="G912" s="172"/>
      <c r="H912" s="173"/>
      <c r="I912" s="193"/>
      <c r="J912" s="171"/>
      <c r="K912" s="194"/>
      <c r="L912" s="173"/>
      <c r="M912" s="171"/>
      <c r="N912" s="171"/>
      <c r="O912" s="194"/>
      <c r="P912" s="195"/>
      <c r="Q912" s="171"/>
      <c r="R912" s="171"/>
      <c r="S912" s="194"/>
      <c r="T912" s="195"/>
      <c r="U912" s="171"/>
      <c r="V912" s="171"/>
      <c r="W912" s="194"/>
      <c r="X912" s="195"/>
      <c r="Y912" s="171"/>
      <c r="Z912" s="171"/>
      <c r="AA912" s="194"/>
      <c r="AB912" s="195"/>
      <c r="AC912" s="171"/>
      <c r="AD912" s="171"/>
      <c r="AE912" s="194"/>
      <c r="AF912" s="195"/>
      <c r="AG912" s="171"/>
      <c r="AH912" s="171"/>
      <c r="AI912" s="194"/>
      <c r="AJ912" s="196"/>
    </row>
    <row r="913" spans="2:36">
      <c r="B913" s="166"/>
      <c r="C913" s="167"/>
      <c r="D913" s="171"/>
      <c r="E913" s="171"/>
      <c r="F913" s="171"/>
      <c r="G913" s="172"/>
      <c r="H913" s="173"/>
      <c r="I913" s="193"/>
      <c r="J913" s="171"/>
      <c r="K913" s="194"/>
      <c r="L913" s="173"/>
      <c r="M913" s="171"/>
      <c r="N913" s="171"/>
      <c r="O913" s="194"/>
      <c r="P913" s="195"/>
      <c r="Q913" s="171"/>
      <c r="R913" s="171"/>
      <c r="S913" s="194"/>
      <c r="T913" s="195"/>
      <c r="U913" s="171"/>
      <c r="V913" s="171"/>
      <c r="W913" s="194"/>
      <c r="X913" s="195"/>
      <c r="Y913" s="171"/>
      <c r="Z913" s="171"/>
      <c r="AA913" s="194"/>
      <c r="AB913" s="195"/>
      <c r="AC913" s="171"/>
      <c r="AD913" s="171"/>
      <c r="AE913" s="194"/>
      <c r="AF913" s="195"/>
      <c r="AG913" s="171"/>
      <c r="AH913" s="171"/>
      <c r="AI913" s="194"/>
      <c r="AJ913" s="196"/>
    </row>
    <row r="914" spans="2:36">
      <c r="B914" s="166"/>
      <c r="C914" s="167"/>
      <c r="D914" s="171"/>
      <c r="E914" s="171"/>
      <c r="F914" s="171"/>
      <c r="G914" s="172"/>
      <c r="H914" s="173"/>
      <c r="I914" s="193"/>
      <c r="J914" s="171"/>
      <c r="K914" s="194"/>
      <c r="L914" s="173"/>
      <c r="M914" s="171"/>
      <c r="N914" s="171"/>
      <c r="O914" s="194"/>
      <c r="P914" s="195"/>
      <c r="Q914" s="171"/>
      <c r="R914" s="171"/>
      <c r="S914" s="194"/>
      <c r="T914" s="195"/>
      <c r="U914" s="171"/>
      <c r="V914" s="171"/>
      <c r="W914" s="194"/>
      <c r="X914" s="195"/>
      <c r="Y914" s="171"/>
      <c r="Z914" s="171"/>
      <c r="AA914" s="194"/>
      <c r="AB914" s="195"/>
      <c r="AC914" s="171"/>
      <c r="AD914" s="171"/>
      <c r="AE914" s="194"/>
      <c r="AF914" s="195"/>
      <c r="AG914" s="171"/>
      <c r="AH914" s="171"/>
      <c r="AI914" s="194"/>
      <c r="AJ914" s="196"/>
    </row>
    <row r="915" spans="2:36">
      <c r="B915" s="166"/>
      <c r="C915" s="167"/>
      <c r="D915" s="171"/>
      <c r="E915" s="171"/>
      <c r="F915" s="171"/>
      <c r="G915" s="172"/>
      <c r="H915" s="173"/>
      <c r="I915" s="193"/>
      <c r="J915" s="171"/>
      <c r="K915" s="194"/>
      <c r="L915" s="173"/>
      <c r="M915" s="171"/>
      <c r="N915" s="171"/>
      <c r="O915" s="194"/>
      <c r="P915" s="195"/>
      <c r="Q915" s="171"/>
      <c r="R915" s="171"/>
      <c r="S915" s="194"/>
      <c r="T915" s="195"/>
      <c r="U915" s="171"/>
      <c r="V915" s="171"/>
      <c r="W915" s="194"/>
      <c r="X915" s="195"/>
      <c r="Y915" s="171"/>
      <c r="Z915" s="171"/>
      <c r="AA915" s="194"/>
      <c r="AB915" s="195"/>
      <c r="AC915" s="171"/>
      <c r="AD915" s="171"/>
      <c r="AE915" s="194"/>
      <c r="AF915" s="195"/>
      <c r="AG915" s="171"/>
      <c r="AH915" s="171"/>
      <c r="AI915" s="194"/>
      <c r="AJ915" s="196"/>
    </row>
    <row r="916" spans="2:36">
      <c r="B916" s="166"/>
      <c r="C916" s="167"/>
      <c r="D916" s="171"/>
      <c r="E916" s="171"/>
      <c r="F916" s="171"/>
      <c r="G916" s="172"/>
      <c r="H916" s="173"/>
      <c r="I916" s="193"/>
      <c r="J916" s="171"/>
      <c r="K916" s="194"/>
      <c r="L916" s="173"/>
      <c r="M916" s="171"/>
      <c r="N916" s="171"/>
      <c r="O916" s="194"/>
      <c r="P916" s="195"/>
      <c r="Q916" s="171"/>
      <c r="R916" s="171"/>
      <c r="S916" s="194"/>
      <c r="T916" s="195"/>
      <c r="U916" s="171"/>
      <c r="V916" s="171"/>
      <c r="W916" s="194"/>
      <c r="X916" s="195"/>
      <c r="Y916" s="171"/>
      <c r="Z916" s="171"/>
      <c r="AA916" s="194"/>
      <c r="AB916" s="195"/>
      <c r="AC916" s="171"/>
      <c r="AD916" s="171"/>
      <c r="AE916" s="194"/>
      <c r="AF916" s="195"/>
      <c r="AG916" s="171"/>
      <c r="AH916" s="171"/>
      <c r="AI916" s="194"/>
      <c r="AJ916" s="196"/>
    </row>
    <row r="917" spans="2:36">
      <c r="B917" s="166"/>
      <c r="C917" s="167"/>
      <c r="D917" s="171"/>
      <c r="E917" s="171"/>
      <c r="F917" s="171"/>
      <c r="G917" s="172"/>
      <c r="H917" s="173"/>
      <c r="I917" s="193"/>
      <c r="J917" s="171"/>
      <c r="K917" s="194"/>
      <c r="L917" s="173"/>
      <c r="M917" s="171"/>
      <c r="N917" s="171"/>
      <c r="O917" s="194"/>
      <c r="P917" s="195"/>
      <c r="Q917" s="171"/>
      <c r="R917" s="171"/>
      <c r="S917" s="194"/>
      <c r="T917" s="195"/>
      <c r="U917" s="171"/>
      <c r="V917" s="171"/>
      <c r="W917" s="194"/>
      <c r="X917" s="195"/>
      <c r="Y917" s="171"/>
      <c r="Z917" s="171"/>
      <c r="AA917" s="194"/>
      <c r="AB917" s="195"/>
      <c r="AC917" s="171"/>
      <c r="AD917" s="171"/>
      <c r="AE917" s="194"/>
      <c r="AF917" s="195"/>
      <c r="AG917" s="171"/>
      <c r="AH917" s="171"/>
      <c r="AI917" s="194"/>
      <c r="AJ917" s="196"/>
    </row>
    <row r="918" spans="2:36">
      <c r="B918" s="166"/>
      <c r="C918" s="167"/>
      <c r="D918" s="171"/>
      <c r="E918" s="171"/>
      <c r="F918" s="171"/>
      <c r="G918" s="172"/>
      <c r="H918" s="173"/>
      <c r="I918" s="193"/>
      <c r="J918" s="171"/>
      <c r="K918" s="194"/>
      <c r="L918" s="173"/>
      <c r="M918" s="171"/>
      <c r="N918" s="171"/>
      <c r="O918" s="194"/>
      <c r="P918" s="195"/>
      <c r="Q918" s="171"/>
      <c r="R918" s="171"/>
      <c r="S918" s="194"/>
      <c r="T918" s="195"/>
      <c r="U918" s="171"/>
      <c r="V918" s="171"/>
      <c r="W918" s="194"/>
      <c r="X918" s="195"/>
      <c r="Y918" s="171"/>
      <c r="Z918" s="171"/>
      <c r="AA918" s="194"/>
      <c r="AB918" s="195"/>
      <c r="AC918" s="171"/>
      <c r="AD918" s="171"/>
      <c r="AE918" s="194"/>
      <c r="AF918" s="195"/>
      <c r="AG918" s="171"/>
      <c r="AH918" s="171"/>
      <c r="AI918" s="194"/>
      <c r="AJ918" s="196"/>
    </row>
    <row r="919" spans="2:36">
      <c r="B919" s="166"/>
      <c r="C919" s="167"/>
      <c r="D919" s="171"/>
      <c r="E919" s="171"/>
      <c r="F919" s="171"/>
      <c r="G919" s="172"/>
      <c r="H919" s="173"/>
      <c r="I919" s="193"/>
      <c r="J919" s="171"/>
      <c r="K919" s="194"/>
      <c r="L919" s="173"/>
      <c r="M919" s="171"/>
      <c r="N919" s="171"/>
      <c r="O919" s="194"/>
      <c r="P919" s="195"/>
      <c r="Q919" s="171"/>
      <c r="R919" s="171"/>
      <c r="S919" s="194"/>
      <c r="T919" s="195"/>
      <c r="U919" s="171"/>
      <c r="V919" s="171"/>
      <c r="W919" s="194"/>
      <c r="X919" s="195"/>
      <c r="Y919" s="171"/>
      <c r="Z919" s="171"/>
      <c r="AA919" s="194"/>
      <c r="AB919" s="195"/>
      <c r="AC919" s="171"/>
      <c r="AD919" s="171"/>
      <c r="AE919" s="194"/>
      <c r="AF919" s="195"/>
      <c r="AG919" s="171"/>
      <c r="AH919" s="171"/>
      <c r="AI919" s="194"/>
      <c r="AJ919" s="196"/>
    </row>
    <row r="920" spans="2:36">
      <c r="B920" s="166"/>
      <c r="C920" s="167"/>
      <c r="D920" s="171"/>
      <c r="E920" s="171"/>
      <c r="F920" s="171"/>
      <c r="G920" s="172"/>
      <c r="H920" s="173"/>
      <c r="I920" s="193"/>
      <c r="J920" s="171"/>
      <c r="K920" s="194"/>
      <c r="L920" s="173"/>
      <c r="M920" s="171"/>
      <c r="N920" s="171"/>
      <c r="O920" s="194"/>
      <c r="P920" s="195"/>
      <c r="Q920" s="171"/>
      <c r="R920" s="171"/>
      <c r="S920" s="194"/>
      <c r="T920" s="195"/>
      <c r="U920" s="171"/>
      <c r="V920" s="171"/>
      <c r="W920" s="194"/>
      <c r="X920" s="195"/>
      <c r="Y920" s="171"/>
      <c r="Z920" s="171"/>
      <c r="AA920" s="194"/>
      <c r="AB920" s="195"/>
      <c r="AC920" s="171"/>
      <c r="AD920" s="171"/>
      <c r="AE920" s="194"/>
      <c r="AF920" s="195"/>
      <c r="AG920" s="171"/>
      <c r="AH920" s="171"/>
      <c r="AI920" s="194"/>
      <c r="AJ920" s="196"/>
    </row>
    <row r="921" spans="2:36">
      <c r="B921" s="166"/>
      <c r="C921" s="167"/>
      <c r="D921" s="171"/>
      <c r="E921" s="171"/>
      <c r="F921" s="171"/>
      <c r="G921" s="172"/>
      <c r="H921" s="173"/>
      <c r="I921" s="193"/>
      <c r="J921" s="171"/>
      <c r="K921" s="194"/>
      <c r="L921" s="173"/>
      <c r="M921" s="171"/>
      <c r="N921" s="171"/>
      <c r="O921" s="194"/>
      <c r="P921" s="195"/>
      <c r="Q921" s="171"/>
      <c r="R921" s="171"/>
      <c r="S921" s="194"/>
      <c r="T921" s="195"/>
      <c r="U921" s="171"/>
      <c r="V921" s="171"/>
      <c r="W921" s="194"/>
      <c r="X921" s="195"/>
      <c r="Y921" s="171"/>
      <c r="Z921" s="171"/>
      <c r="AA921" s="194"/>
      <c r="AB921" s="195"/>
      <c r="AC921" s="171"/>
      <c r="AD921" s="171"/>
      <c r="AE921" s="194"/>
      <c r="AF921" s="195"/>
      <c r="AG921" s="171"/>
      <c r="AH921" s="171"/>
      <c r="AI921" s="194"/>
      <c r="AJ921" s="196"/>
    </row>
    <row r="922" spans="2:36">
      <c r="B922" s="166"/>
      <c r="C922" s="167"/>
      <c r="D922" s="171"/>
      <c r="E922" s="171"/>
      <c r="F922" s="171"/>
      <c r="G922" s="172"/>
      <c r="H922" s="173"/>
      <c r="I922" s="193"/>
      <c r="J922" s="171"/>
      <c r="K922" s="194"/>
      <c r="L922" s="173"/>
      <c r="M922" s="171"/>
      <c r="N922" s="171"/>
      <c r="O922" s="194"/>
      <c r="P922" s="195"/>
      <c r="Q922" s="171"/>
      <c r="R922" s="171"/>
      <c r="S922" s="194"/>
      <c r="T922" s="195"/>
      <c r="U922" s="171"/>
      <c r="V922" s="171"/>
      <c r="W922" s="194"/>
      <c r="X922" s="195"/>
      <c r="Y922" s="171"/>
      <c r="Z922" s="171"/>
      <c r="AA922" s="194"/>
      <c r="AB922" s="195"/>
      <c r="AC922" s="171"/>
      <c r="AD922" s="171"/>
      <c r="AE922" s="194"/>
      <c r="AF922" s="195"/>
      <c r="AG922" s="171"/>
      <c r="AH922" s="171"/>
      <c r="AI922" s="194"/>
      <c r="AJ922" s="196"/>
    </row>
    <row r="923" spans="2:36">
      <c r="B923" s="166"/>
      <c r="C923" s="167"/>
      <c r="D923" s="171"/>
      <c r="E923" s="171"/>
      <c r="F923" s="171"/>
      <c r="G923" s="172"/>
      <c r="H923" s="173"/>
      <c r="I923" s="193"/>
      <c r="J923" s="171"/>
      <c r="K923" s="194"/>
      <c r="L923" s="173"/>
      <c r="M923" s="171"/>
      <c r="N923" s="171"/>
      <c r="O923" s="194"/>
      <c r="P923" s="195"/>
      <c r="Q923" s="171"/>
      <c r="R923" s="171"/>
      <c r="S923" s="194"/>
      <c r="T923" s="195"/>
      <c r="U923" s="171"/>
      <c r="V923" s="171"/>
      <c r="W923" s="194"/>
      <c r="X923" s="195"/>
      <c r="Y923" s="171"/>
      <c r="Z923" s="171"/>
      <c r="AA923" s="194"/>
      <c r="AB923" s="195"/>
      <c r="AC923" s="171"/>
      <c r="AD923" s="171"/>
      <c r="AE923" s="194"/>
      <c r="AF923" s="195"/>
      <c r="AG923" s="171"/>
      <c r="AH923" s="171"/>
      <c r="AI923" s="194"/>
      <c r="AJ923" s="196"/>
    </row>
    <row r="924" spans="2:36">
      <c r="B924" s="166"/>
      <c r="C924" s="167"/>
      <c r="D924" s="171"/>
      <c r="E924" s="171"/>
      <c r="F924" s="171"/>
      <c r="G924" s="172"/>
      <c r="H924" s="173"/>
      <c r="I924" s="193"/>
      <c r="J924" s="171"/>
      <c r="K924" s="194"/>
      <c r="L924" s="173"/>
      <c r="M924" s="171"/>
      <c r="N924" s="171"/>
      <c r="O924" s="194"/>
      <c r="P924" s="195"/>
      <c r="Q924" s="171"/>
      <c r="R924" s="171"/>
      <c r="S924" s="194"/>
      <c r="T924" s="195"/>
      <c r="U924" s="171"/>
      <c r="V924" s="171"/>
      <c r="W924" s="194"/>
      <c r="X924" s="195"/>
      <c r="Y924" s="171"/>
      <c r="Z924" s="171"/>
      <c r="AA924" s="194"/>
      <c r="AB924" s="195"/>
      <c r="AC924" s="171"/>
      <c r="AD924" s="171"/>
      <c r="AE924" s="194"/>
      <c r="AF924" s="195"/>
      <c r="AG924" s="171"/>
      <c r="AH924" s="171"/>
      <c r="AI924" s="194"/>
      <c r="AJ924" s="196"/>
    </row>
    <row r="925" spans="2:36">
      <c r="B925" s="166"/>
      <c r="C925" s="167"/>
      <c r="D925" s="171"/>
      <c r="E925" s="171"/>
      <c r="F925" s="171"/>
      <c r="G925" s="172"/>
      <c r="H925" s="173"/>
      <c r="I925" s="193"/>
      <c r="J925" s="171"/>
      <c r="K925" s="194"/>
      <c r="L925" s="173"/>
      <c r="M925" s="171"/>
      <c r="N925" s="171"/>
      <c r="O925" s="194"/>
      <c r="P925" s="195"/>
      <c r="Q925" s="171"/>
      <c r="R925" s="171"/>
      <c r="S925" s="194"/>
      <c r="T925" s="195"/>
      <c r="U925" s="171"/>
      <c r="V925" s="171"/>
      <c r="W925" s="194"/>
      <c r="X925" s="195"/>
      <c r="Y925" s="171"/>
      <c r="Z925" s="171"/>
      <c r="AA925" s="194"/>
      <c r="AB925" s="195"/>
      <c r="AC925" s="171"/>
      <c r="AD925" s="171"/>
      <c r="AE925" s="194"/>
      <c r="AF925" s="195"/>
      <c r="AG925" s="171"/>
      <c r="AH925" s="171"/>
      <c r="AI925" s="194"/>
      <c r="AJ925" s="196"/>
    </row>
    <row r="926" spans="2:36">
      <c r="B926" s="166"/>
      <c r="C926" s="167"/>
      <c r="D926" s="171"/>
      <c r="E926" s="171"/>
      <c r="F926" s="171"/>
      <c r="G926" s="172"/>
      <c r="H926" s="173"/>
      <c r="I926" s="193"/>
      <c r="J926" s="171"/>
      <c r="K926" s="194"/>
      <c r="L926" s="173"/>
      <c r="M926" s="171"/>
      <c r="N926" s="171"/>
      <c r="O926" s="194"/>
      <c r="P926" s="195"/>
      <c r="Q926" s="171"/>
      <c r="R926" s="171"/>
      <c r="S926" s="194"/>
      <c r="T926" s="195"/>
      <c r="U926" s="171"/>
      <c r="V926" s="171"/>
      <c r="W926" s="194"/>
      <c r="X926" s="195"/>
      <c r="Y926" s="171"/>
      <c r="Z926" s="171"/>
      <c r="AA926" s="194"/>
      <c r="AB926" s="195"/>
      <c r="AC926" s="171"/>
      <c r="AD926" s="171"/>
      <c r="AE926" s="194"/>
      <c r="AF926" s="195"/>
      <c r="AG926" s="171"/>
      <c r="AH926" s="171"/>
      <c r="AI926" s="194"/>
      <c r="AJ926" s="196"/>
    </row>
    <row r="927" spans="2:36">
      <c r="B927" s="166"/>
      <c r="C927" s="167"/>
      <c r="D927" s="171"/>
      <c r="E927" s="171"/>
      <c r="F927" s="171"/>
      <c r="G927" s="172"/>
      <c r="H927" s="173"/>
      <c r="I927" s="193"/>
      <c r="J927" s="171"/>
      <c r="K927" s="194"/>
      <c r="L927" s="173"/>
      <c r="M927" s="171"/>
      <c r="N927" s="171"/>
      <c r="O927" s="194"/>
      <c r="P927" s="195"/>
      <c r="Q927" s="171"/>
      <c r="R927" s="171"/>
      <c r="S927" s="194"/>
      <c r="T927" s="195"/>
      <c r="U927" s="171"/>
      <c r="V927" s="171"/>
      <c r="W927" s="194"/>
      <c r="X927" s="195"/>
      <c r="Y927" s="171"/>
      <c r="Z927" s="171"/>
      <c r="AA927" s="194"/>
      <c r="AB927" s="195"/>
      <c r="AC927" s="171"/>
      <c r="AD927" s="171"/>
      <c r="AE927" s="194"/>
      <c r="AF927" s="195"/>
      <c r="AG927" s="171"/>
      <c r="AH927" s="171"/>
      <c r="AI927" s="194"/>
      <c r="AJ927" s="196"/>
    </row>
    <row r="928" spans="2:36">
      <c r="B928" s="166"/>
      <c r="C928" s="167"/>
      <c r="D928" s="171"/>
      <c r="E928" s="171"/>
      <c r="F928" s="171"/>
      <c r="G928" s="172"/>
      <c r="H928" s="173"/>
      <c r="I928" s="193"/>
      <c r="J928" s="171"/>
      <c r="K928" s="194"/>
      <c r="L928" s="173"/>
      <c r="M928" s="171"/>
      <c r="N928" s="171"/>
      <c r="O928" s="194"/>
      <c r="P928" s="195"/>
      <c r="Q928" s="171"/>
      <c r="R928" s="171"/>
      <c r="S928" s="194"/>
      <c r="T928" s="195"/>
      <c r="U928" s="171"/>
      <c r="V928" s="171"/>
      <c r="W928" s="194"/>
      <c r="X928" s="195"/>
      <c r="Y928" s="171"/>
      <c r="Z928" s="171"/>
      <c r="AA928" s="194"/>
      <c r="AB928" s="195"/>
      <c r="AC928" s="171"/>
      <c r="AD928" s="171"/>
      <c r="AE928" s="194"/>
      <c r="AF928" s="195"/>
      <c r="AG928" s="171"/>
      <c r="AH928" s="171"/>
      <c r="AI928" s="194"/>
      <c r="AJ928" s="196"/>
    </row>
    <row r="929" spans="2:36">
      <c r="B929" s="166"/>
      <c r="C929" s="167"/>
      <c r="D929" s="171"/>
      <c r="E929" s="171"/>
      <c r="F929" s="171"/>
      <c r="G929" s="172"/>
      <c r="H929" s="173"/>
      <c r="I929" s="193"/>
      <c r="J929" s="171"/>
      <c r="K929" s="194"/>
      <c r="L929" s="173"/>
      <c r="M929" s="171"/>
      <c r="N929" s="171"/>
      <c r="O929" s="194"/>
      <c r="P929" s="195"/>
      <c r="Q929" s="171"/>
      <c r="R929" s="171"/>
      <c r="S929" s="194"/>
      <c r="T929" s="195"/>
      <c r="U929" s="171"/>
      <c r="V929" s="171"/>
      <c r="W929" s="194"/>
      <c r="X929" s="195"/>
      <c r="Y929" s="171"/>
      <c r="Z929" s="171"/>
      <c r="AA929" s="194"/>
      <c r="AB929" s="195"/>
      <c r="AC929" s="171"/>
      <c r="AD929" s="171"/>
      <c r="AE929" s="194"/>
      <c r="AF929" s="195"/>
      <c r="AG929" s="171"/>
      <c r="AH929" s="171"/>
      <c r="AI929" s="194"/>
      <c r="AJ929" s="196"/>
    </row>
    <row r="930" spans="2:36">
      <c r="B930" s="166"/>
      <c r="C930" s="167"/>
      <c r="D930" s="171"/>
      <c r="E930" s="171"/>
      <c r="F930" s="171"/>
      <c r="G930" s="172"/>
      <c r="H930" s="173"/>
      <c r="I930" s="193"/>
      <c r="J930" s="171"/>
      <c r="K930" s="194"/>
      <c r="L930" s="173"/>
      <c r="M930" s="171"/>
      <c r="N930" s="171"/>
      <c r="O930" s="194"/>
      <c r="P930" s="195"/>
      <c r="Q930" s="171"/>
      <c r="R930" s="171"/>
      <c r="S930" s="194"/>
      <c r="T930" s="195"/>
      <c r="U930" s="171"/>
      <c r="V930" s="171"/>
      <c r="W930" s="194"/>
      <c r="X930" s="195"/>
      <c r="Y930" s="171"/>
      <c r="Z930" s="171"/>
      <c r="AA930" s="194"/>
      <c r="AB930" s="195"/>
      <c r="AC930" s="171"/>
      <c r="AD930" s="171"/>
      <c r="AE930" s="194"/>
      <c r="AF930" s="195"/>
      <c r="AG930" s="171"/>
      <c r="AH930" s="171"/>
      <c r="AI930" s="194"/>
      <c r="AJ930" s="196"/>
    </row>
    <row r="931" spans="2:36">
      <c r="B931" s="166"/>
      <c r="C931" s="167"/>
      <c r="D931" s="171"/>
      <c r="E931" s="171"/>
      <c r="F931" s="171"/>
      <c r="G931" s="172"/>
      <c r="H931" s="173"/>
      <c r="I931" s="193"/>
      <c r="J931" s="171"/>
      <c r="K931" s="194"/>
      <c r="L931" s="173"/>
      <c r="M931" s="171"/>
      <c r="N931" s="171"/>
      <c r="O931" s="194"/>
      <c r="P931" s="195"/>
      <c r="Q931" s="171"/>
      <c r="R931" s="171"/>
      <c r="S931" s="194"/>
      <c r="T931" s="195"/>
      <c r="U931" s="171"/>
      <c r="V931" s="171"/>
      <c r="W931" s="194"/>
      <c r="X931" s="195"/>
      <c r="Y931" s="171"/>
      <c r="Z931" s="171"/>
      <c r="AA931" s="194"/>
      <c r="AB931" s="195"/>
      <c r="AC931" s="171"/>
      <c r="AD931" s="171"/>
      <c r="AE931" s="194"/>
      <c r="AF931" s="195"/>
      <c r="AG931" s="171"/>
      <c r="AH931" s="171"/>
      <c r="AI931" s="194"/>
      <c r="AJ931" s="196"/>
    </row>
    <row r="932" spans="2:36">
      <c r="B932" s="166"/>
      <c r="C932" s="167"/>
      <c r="D932" s="171"/>
      <c r="E932" s="171"/>
      <c r="F932" s="171"/>
      <c r="G932" s="172"/>
      <c r="H932" s="173"/>
      <c r="I932" s="193"/>
      <c r="J932" s="171"/>
      <c r="K932" s="194"/>
      <c r="L932" s="173"/>
      <c r="M932" s="171"/>
      <c r="N932" s="171"/>
      <c r="O932" s="194"/>
      <c r="P932" s="195"/>
      <c r="Q932" s="171"/>
      <c r="R932" s="171"/>
      <c r="S932" s="194"/>
      <c r="T932" s="195"/>
      <c r="U932" s="171"/>
      <c r="V932" s="171"/>
      <c r="W932" s="194"/>
      <c r="X932" s="195"/>
      <c r="Y932" s="171"/>
      <c r="Z932" s="171"/>
      <c r="AA932" s="194"/>
      <c r="AB932" s="195"/>
      <c r="AC932" s="171"/>
      <c r="AD932" s="171"/>
      <c r="AE932" s="194"/>
      <c r="AF932" s="195"/>
      <c r="AG932" s="171"/>
      <c r="AH932" s="171"/>
      <c r="AI932" s="194"/>
      <c r="AJ932" s="196"/>
    </row>
    <row r="933" spans="2:36">
      <c r="B933" s="166"/>
      <c r="C933" s="167"/>
      <c r="D933" s="171"/>
      <c r="E933" s="171"/>
      <c r="F933" s="171"/>
      <c r="G933" s="172"/>
      <c r="H933" s="173"/>
      <c r="I933" s="193"/>
      <c r="J933" s="171"/>
      <c r="K933" s="194"/>
      <c r="L933" s="173"/>
      <c r="M933" s="171"/>
      <c r="N933" s="171"/>
      <c r="O933" s="194"/>
      <c r="P933" s="195"/>
      <c r="Q933" s="171"/>
      <c r="R933" s="171"/>
      <c r="S933" s="194"/>
      <c r="T933" s="195"/>
      <c r="U933" s="171"/>
      <c r="V933" s="171"/>
      <c r="W933" s="194"/>
      <c r="X933" s="195"/>
      <c r="Y933" s="171"/>
      <c r="Z933" s="171"/>
      <c r="AA933" s="194"/>
      <c r="AB933" s="195"/>
      <c r="AC933" s="171"/>
      <c r="AD933" s="171"/>
      <c r="AE933" s="194"/>
      <c r="AF933" s="195"/>
      <c r="AG933" s="171"/>
      <c r="AH933" s="171"/>
      <c r="AI933" s="194"/>
      <c r="AJ933" s="196"/>
    </row>
    <row r="934" spans="2:36">
      <c r="B934" s="166"/>
      <c r="C934" s="167"/>
      <c r="D934" s="171"/>
      <c r="E934" s="171"/>
      <c r="F934" s="171"/>
      <c r="G934" s="172"/>
      <c r="H934" s="173"/>
      <c r="I934" s="193"/>
      <c r="J934" s="171"/>
      <c r="K934" s="194"/>
      <c r="L934" s="173"/>
      <c r="M934" s="171"/>
      <c r="N934" s="171"/>
      <c r="O934" s="194"/>
      <c r="P934" s="195"/>
      <c r="Q934" s="171"/>
      <c r="R934" s="171"/>
      <c r="S934" s="194"/>
      <c r="T934" s="195"/>
      <c r="U934" s="171"/>
      <c r="V934" s="171"/>
      <c r="W934" s="194"/>
      <c r="X934" s="195"/>
      <c r="Y934" s="171"/>
      <c r="Z934" s="171"/>
      <c r="AA934" s="194"/>
      <c r="AB934" s="195"/>
      <c r="AC934" s="171"/>
      <c r="AD934" s="171"/>
      <c r="AE934" s="194"/>
      <c r="AF934" s="195"/>
      <c r="AG934" s="171"/>
      <c r="AH934" s="171"/>
      <c r="AI934" s="194"/>
      <c r="AJ934" s="196"/>
    </row>
    <row r="935" spans="2:36">
      <c r="B935" s="166"/>
      <c r="C935" s="167"/>
      <c r="D935" s="171"/>
      <c r="E935" s="171"/>
      <c r="F935" s="171"/>
      <c r="G935" s="172"/>
      <c r="H935" s="173"/>
      <c r="I935" s="193"/>
      <c r="J935" s="171"/>
      <c r="K935" s="194"/>
      <c r="L935" s="173"/>
      <c r="M935" s="171"/>
      <c r="N935" s="171"/>
      <c r="O935" s="194"/>
      <c r="P935" s="195"/>
      <c r="Q935" s="171"/>
      <c r="R935" s="171"/>
      <c r="S935" s="194"/>
      <c r="T935" s="195"/>
      <c r="U935" s="171"/>
      <c r="V935" s="171"/>
      <c r="W935" s="194"/>
      <c r="X935" s="195"/>
      <c r="Y935" s="171"/>
      <c r="Z935" s="171"/>
      <c r="AA935" s="194"/>
      <c r="AB935" s="195"/>
      <c r="AC935" s="171"/>
      <c r="AD935" s="171"/>
      <c r="AE935" s="194"/>
      <c r="AF935" s="195"/>
      <c r="AG935" s="171"/>
      <c r="AH935" s="171"/>
      <c r="AI935" s="194"/>
      <c r="AJ935" s="196"/>
    </row>
    <row r="936" spans="2:36">
      <c r="B936" s="166"/>
      <c r="C936" s="167"/>
      <c r="D936" s="171"/>
      <c r="E936" s="171"/>
      <c r="F936" s="171"/>
      <c r="G936" s="172"/>
      <c r="H936" s="173"/>
      <c r="I936" s="193"/>
      <c r="J936" s="171"/>
      <c r="K936" s="194"/>
      <c r="L936" s="173"/>
      <c r="M936" s="171"/>
      <c r="N936" s="171"/>
      <c r="O936" s="194"/>
      <c r="P936" s="195"/>
      <c r="Q936" s="171"/>
      <c r="R936" s="171"/>
      <c r="S936" s="194"/>
      <c r="T936" s="195"/>
      <c r="U936" s="171"/>
      <c r="V936" s="171"/>
      <c r="W936" s="194"/>
      <c r="X936" s="195"/>
      <c r="Y936" s="171"/>
      <c r="Z936" s="171"/>
      <c r="AA936" s="194"/>
      <c r="AB936" s="195"/>
      <c r="AC936" s="171"/>
      <c r="AD936" s="171"/>
      <c r="AE936" s="194"/>
      <c r="AF936" s="195"/>
      <c r="AG936" s="171"/>
      <c r="AH936" s="171"/>
      <c r="AI936" s="194"/>
      <c r="AJ936" s="196"/>
    </row>
    <row r="937" spans="2:36">
      <c r="B937" s="166"/>
      <c r="C937" s="167"/>
      <c r="D937" s="171"/>
      <c r="E937" s="171"/>
      <c r="F937" s="171"/>
      <c r="G937" s="172"/>
      <c r="H937" s="173"/>
      <c r="I937" s="193"/>
      <c r="J937" s="171"/>
      <c r="K937" s="194"/>
      <c r="L937" s="173"/>
      <c r="M937" s="171"/>
      <c r="N937" s="171"/>
      <c r="O937" s="194"/>
      <c r="P937" s="195"/>
      <c r="Q937" s="171"/>
      <c r="R937" s="171"/>
      <c r="S937" s="194"/>
      <c r="T937" s="195"/>
      <c r="U937" s="171"/>
      <c r="V937" s="171"/>
      <c r="W937" s="194"/>
      <c r="X937" s="195"/>
      <c r="Y937" s="171"/>
      <c r="Z937" s="171"/>
      <c r="AA937" s="194"/>
      <c r="AB937" s="195"/>
      <c r="AC937" s="171"/>
      <c r="AD937" s="171"/>
      <c r="AE937" s="194"/>
      <c r="AF937" s="195"/>
      <c r="AG937" s="171"/>
      <c r="AH937" s="171"/>
      <c r="AI937" s="194"/>
      <c r="AJ937" s="196"/>
    </row>
    <row r="938" spans="2:36">
      <c r="B938" s="166"/>
      <c r="C938" s="167"/>
      <c r="D938" s="171"/>
      <c r="E938" s="171"/>
      <c r="F938" s="171"/>
      <c r="G938" s="172"/>
      <c r="H938" s="173"/>
      <c r="I938" s="193"/>
      <c r="J938" s="171"/>
      <c r="K938" s="194"/>
      <c r="L938" s="173"/>
      <c r="M938" s="171"/>
      <c r="N938" s="171"/>
      <c r="O938" s="194"/>
      <c r="P938" s="195"/>
      <c r="Q938" s="171"/>
      <c r="R938" s="171"/>
      <c r="S938" s="194"/>
      <c r="T938" s="195"/>
      <c r="U938" s="171"/>
      <c r="V938" s="171"/>
      <c r="W938" s="194"/>
      <c r="X938" s="195"/>
      <c r="Y938" s="171"/>
      <c r="Z938" s="171"/>
      <c r="AA938" s="194"/>
      <c r="AB938" s="195"/>
      <c r="AC938" s="171"/>
      <c r="AD938" s="171"/>
      <c r="AE938" s="194"/>
      <c r="AF938" s="195"/>
      <c r="AG938" s="171"/>
      <c r="AH938" s="171"/>
      <c r="AI938" s="194"/>
      <c r="AJ938" s="196"/>
    </row>
    <row r="939" spans="2:36">
      <c r="B939" s="166"/>
      <c r="C939" s="167"/>
      <c r="D939" s="171"/>
      <c r="E939" s="171"/>
      <c r="F939" s="171"/>
      <c r="G939" s="172"/>
      <c r="H939" s="173"/>
      <c r="I939" s="193"/>
      <c r="J939" s="171"/>
      <c r="K939" s="194"/>
      <c r="L939" s="173"/>
      <c r="M939" s="171"/>
      <c r="N939" s="171"/>
      <c r="O939" s="194"/>
      <c r="P939" s="195"/>
      <c r="Q939" s="171"/>
      <c r="R939" s="171"/>
      <c r="S939" s="194"/>
      <c r="T939" s="195"/>
      <c r="U939" s="171"/>
      <c r="V939" s="171"/>
      <c r="W939" s="194"/>
      <c r="X939" s="195"/>
      <c r="Y939" s="171"/>
      <c r="Z939" s="171"/>
      <c r="AA939" s="194"/>
      <c r="AB939" s="195"/>
      <c r="AC939" s="171"/>
      <c r="AD939" s="171"/>
      <c r="AE939" s="194"/>
      <c r="AF939" s="195"/>
      <c r="AG939" s="171"/>
      <c r="AH939" s="171"/>
      <c r="AI939" s="194"/>
      <c r="AJ939" s="196"/>
    </row>
    <row r="940" spans="2:36">
      <c r="B940" s="166"/>
      <c r="C940" s="167"/>
      <c r="D940" s="171"/>
      <c r="E940" s="171"/>
      <c r="F940" s="171"/>
      <c r="G940" s="172"/>
      <c r="H940" s="173"/>
      <c r="I940" s="193"/>
      <c r="J940" s="171"/>
      <c r="K940" s="194"/>
      <c r="L940" s="173"/>
      <c r="M940" s="171"/>
      <c r="N940" s="171"/>
      <c r="O940" s="194"/>
      <c r="P940" s="195"/>
      <c r="Q940" s="171"/>
      <c r="R940" s="171"/>
      <c r="S940" s="194"/>
      <c r="T940" s="195"/>
      <c r="U940" s="171"/>
      <c r="V940" s="171"/>
      <c r="W940" s="194"/>
      <c r="X940" s="195"/>
      <c r="Y940" s="171"/>
      <c r="Z940" s="171"/>
      <c r="AA940" s="194"/>
      <c r="AB940" s="195"/>
      <c r="AC940" s="171"/>
      <c r="AD940" s="171"/>
      <c r="AE940" s="194"/>
      <c r="AF940" s="195"/>
      <c r="AG940" s="171"/>
      <c r="AH940" s="171"/>
      <c r="AI940" s="194"/>
      <c r="AJ940" s="196"/>
    </row>
    <row r="941" spans="2:36">
      <c r="B941" s="166"/>
      <c r="C941" s="167"/>
      <c r="D941" s="171"/>
      <c r="E941" s="171"/>
      <c r="F941" s="171"/>
      <c r="G941" s="172"/>
      <c r="H941" s="173"/>
      <c r="I941" s="193"/>
      <c r="J941" s="171"/>
      <c r="K941" s="194"/>
      <c r="L941" s="173"/>
      <c r="M941" s="171"/>
      <c r="N941" s="171"/>
      <c r="O941" s="194"/>
      <c r="P941" s="195"/>
      <c r="Q941" s="171"/>
      <c r="R941" s="171"/>
      <c r="S941" s="194"/>
      <c r="T941" s="195"/>
      <c r="U941" s="171"/>
      <c r="V941" s="171"/>
      <c r="W941" s="194"/>
      <c r="X941" s="195"/>
      <c r="Y941" s="171"/>
      <c r="Z941" s="171"/>
      <c r="AA941" s="194"/>
      <c r="AB941" s="195"/>
      <c r="AC941" s="171"/>
      <c r="AD941" s="171"/>
      <c r="AE941" s="194"/>
      <c r="AF941" s="195"/>
      <c r="AG941" s="171"/>
      <c r="AH941" s="171"/>
      <c r="AI941" s="194"/>
      <c r="AJ941" s="196"/>
    </row>
    <row r="942" spans="2:36">
      <c r="B942" s="166"/>
      <c r="C942" s="167"/>
      <c r="D942" s="171"/>
      <c r="E942" s="171"/>
      <c r="F942" s="171"/>
      <c r="G942" s="172"/>
      <c r="H942" s="173"/>
      <c r="I942" s="193"/>
      <c r="J942" s="171"/>
      <c r="K942" s="194"/>
      <c r="L942" s="173"/>
      <c r="M942" s="171"/>
      <c r="N942" s="171"/>
      <c r="O942" s="194"/>
      <c r="P942" s="195"/>
      <c r="Q942" s="171"/>
      <c r="R942" s="171"/>
      <c r="S942" s="194"/>
      <c r="T942" s="195"/>
      <c r="U942" s="171"/>
      <c r="V942" s="171"/>
      <c r="W942" s="194"/>
      <c r="X942" s="195"/>
      <c r="Y942" s="171"/>
      <c r="Z942" s="171"/>
      <c r="AA942" s="194"/>
      <c r="AB942" s="195"/>
      <c r="AC942" s="171"/>
      <c r="AD942" s="171"/>
      <c r="AE942" s="194"/>
      <c r="AF942" s="195"/>
      <c r="AG942" s="171"/>
      <c r="AH942" s="171"/>
      <c r="AI942" s="194"/>
      <c r="AJ942" s="196"/>
    </row>
    <row r="943" spans="2:36">
      <c r="B943" s="166"/>
      <c r="C943" s="167"/>
      <c r="D943" s="171"/>
      <c r="E943" s="171"/>
      <c r="F943" s="171"/>
      <c r="G943" s="172"/>
      <c r="H943" s="173"/>
      <c r="I943" s="193"/>
      <c r="J943" s="171"/>
      <c r="K943" s="194"/>
      <c r="L943" s="173"/>
      <c r="M943" s="171"/>
      <c r="N943" s="171"/>
      <c r="O943" s="194"/>
      <c r="P943" s="195"/>
      <c r="Q943" s="171"/>
      <c r="R943" s="171"/>
      <c r="S943" s="194"/>
      <c r="T943" s="195"/>
      <c r="U943" s="171"/>
      <c r="V943" s="171"/>
      <c r="W943" s="194"/>
      <c r="X943" s="195"/>
      <c r="Y943" s="171"/>
      <c r="Z943" s="171"/>
      <c r="AA943" s="194"/>
      <c r="AB943" s="195"/>
      <c r="AC943" s="171"/>
      <c r="AD943" s="171"/>
      <c r="AE943" s="194"/>
      <c r="AF943" s="195"/>
      <c r="AG943" s="171"/>
      <c r="AH943" s="171"/>
      <c r="AI943" s="194"/>
      <c r="AJ943" s="196"/>
    </row>
    <row r="944" spans="2:36">
      <c r="B944" s="166"/>
      <c r="C944" s="167"/>
      <c r="D944" s="171"/>
      <c r="E944" s="171"/>
      <c r="F944" s="171"/>
      <c r="G944" s="172"/>
      <c r="H944" s="173"/>
      <c r="I944" s="193"/>
      <c r="J944" s="171"/>
      <c r="K944" s="194"/>
      <c r="L944" s="173"/>
      <c r="M944" s="171"/>
      <c r="N944" s="171"/>
      <c r="O944" s="194"/>
      <c r="P944" s="195"/>
      <c r="Q944" s="171"/>
      <c r="R944" s="171"/>
      <c r="S944" s="194"/>
      <c r="T944" s="195"/>
      <c r="U944" s="171"/>
      <c r="V944" s="171"/>
      <c r="W944" s="194"/>
      <c r="X944" s="195"/>
      <c r="Y944" s="171"/>
      <c r="Z944" s="171"/>
      <c r="AA944" s="194"/>
      <c r="AB944" s="195"/>
      <c r="AC944" s="171"/>
      <c r="AD944" s="171"/>
      <c r="AE944" s="194"/>
      <c r="AF944" s="195"/>
      <c r="AG944" s="171"/>
      <c r="AH944" s="171"/>
      <c r="AI944" s="194"/>
      <c r="AJ944" s="196"/>
    </row>
    <row r="945" spans="2:36">
      <c r="B945" s="166"/>
      <c r="C945" s="167"/>
      <c r="D945" s="171"/>
      <c r="E945" s="171"/>
      <c r="F945" s="171"/>
      <c r="G945" s="172"/>
      <c r="H945" s="173"/>
      <c r="I945" s="193"/>
      <c r="J945" s="171"/>
      <c r="K945" s="194"/>
      <c r="L945" s="173"/>
      <c r="M945" s="171"/>
      <c r="N945" s="171"/>
      <c r="O945" s="194"/>
      <c r="P945" s="195"/>
      <c r="Q945" s="171"/>
      <c r="R945" s="171"/>
      <c r="S945" s="194"/>
      <c r="T945" s="195"/>
      <c r="U945" s="171"/>
      <c r="V945" s="171"/>
      <c r="W945" s="194"/>
      <c r="X945" s="195"/>
      <c r="Y945" s="171"/>
      <c r="Z945" s="171"/>
      <c r="AA945" s="194"/>
      <c r="AB945" s="195"/>
      <c r="AC945" s="171"/>
      <c r="AD945" s="171"/>
      <c r="AE945" s="194"/>
      <c r="AF945" s="195"/>
      <c r="AG945" s="171"/>
      <c r="AH945" s="171"/>
      <c r="AI945" s="194"/>
      <c r="AJ945" s="196"/>
    </row>
    <row r="946" spans="2:36">
      <c r="B946" s="166"/>
      <c r="C946" s="167"/>
      <c r="D946" s="171"/>
      <c r="E946" s="171"/>
      <c r="F946" s="171"/>
      <c r="G946" s="172"/>
      <c r="H946" s="173"/>
      <c r="I946" s="193"/>
      <c r="J946" s="171"/>
      <c r="K946" s="194"/>
      <c r="L946" s="173"/>
      <c r="M946" s="171"/>
      <c r="N946" s="171"/>
      <c r="O946" s="194"/>
      <c r="P946" s="195"/>
      <c r="Q946" s="171"/>
      <c r="R946" s="171"/>
      <c r="S946" s="194"/>
      <c r="T946" s="195"/>
      <c r="U946" s="171"/>
      <c r="V946" s="171"/>
      <c r="W946" s="194"/>
      <c r="X946" s="195"/>
      <c r="Y946" s="171"/>
      <c r="Z946" s="171"/>
      <c r="AA946" s="194"/>
      <c r="AB946" s="195"/>
      <c r="AC946" s="171"/>
      <c r="AD946" s="171"/>
      <c r="AE946" s="194"/>
      <c r="AF946" s="195"/>
      <c r="AG946" s="171"/>
      <c r="AH946" s="171"/>
      <c r="AI946" s="194"/>
      <c r="AJ946" s="196"/>
    </row>
    <row r="947" spans="2:36">
      <c r="B947" s="166"/>
      <c r="C947" s="167"/>
      <c r="D947" s="171"/>
      <c r="E947" s="171"/>
      <c r="F947" s="171"/>
      <c r="G947" s="172"/>
      <c r="H947" s="173"/>
      <c r="I947" s="193"/>
      <c r="J947" s="171"/>
      <c r="K947" s="194"/>
      <c r="L947" s="173"/>
      <c r="M947" s="171"/>
      <c r="N947" s="171"/>
      <c r="O947" s="194"/>
      <c r="P947" s="195"/>
      <c r="Q947" s="171"/>
      <c r="R947" s="171"/>
      <c r="S947" s="194"/>
      <c r="T947" s="195"/>
      <c r="U947" s="171"/>
      <c r="V947" s="171"/>
      <c r="W947" s="194"/>
      <c r="X947" s="195"/>
      <c r="Y947" s="171"/>
      <c r="Z947" s="171"/>
      <c r="AA947" s="194"/>
      <c r="AB947" s="195"/>
      <c r="AC947" s="171"/>
      <c r="AD947" s="171"/>
      <c r="AE947" s="194"/>
      <c r="AF947" s="195"/>
      <c r="AG947" s="171"/>
      <c r="AH947" s="171"/>
      <c r="AI947" s="194"/>
      <c r="AJ947" s="196"/>
    </row>
    <row r="948" spans="2:36">
      <c r="B948" s="166"/>
      <c r="C948" s="167"/>
      <c r="D948" s="171"/>
      <c r="E948" s="171"/>
      <c r="F948" s="171"/>
      <c r="G948" s="172"/>
      <c r="H948" s="173"/>
      <c r="I948" s="193"/>
      <c r="J948" s="171"/>
      <c r="K948" s="194"/>
      <c r="L948" s="173"/>
      <c r="M948" s="171"/>
      <c r="N948" s="171"/>
      <c r="O948" s="194"/>
      <c r="P948" s="195"/>
      <c r="Q948" s="171"/>
      <c r="R948" s="171"/>
      <c r="S948" s="194"/>
      <c r="T948" s="195"/>
      <c r="U948" s="171"/>
      <c r="V948" s="171"/>
      <c r="W948" s="194"/>
      <c r="X948" s="195"/>
      <c r="Y948" s="171"/>
      <c r="Z948" s="171"/>
      <c r="AA948" s="194"/>
      <c r="AB948" s="195"/>
      <c r="AC948" s="171"/>
      <c r="AD948" s="171"/>
      <c r="AE948" s="194"/>
      <c r="AF948" s="195"/>
      <c r="AG948" s="171"/>
      <c r="AH948" s="171"/>
      <c r="AI948" s="194"/>
      <c r="AJ948" s="196"/>
    </row>
    <row r="949" spans="2:36">
      <c r="B949" s="166"/>
      <c r="C949" s="167"/>
      <c r="D949" s="171"/>
      <c r="E949" s="171"/>
      <c r="F949" s="171"/>
      <c r="G949" s="172"/>
      <c r="H949" s="173"/>
      <c r="I949" s="193"/>
      <c r="J949" s="171"/>
      <c r="K949" s="194"/>
      <c r="L949" s="173"/>
      <c r="M949" s="171"/>
      <c r="N949" s="171"/>
      <c r="O949" s="194"/>
      <c r="P949" s="195"/>
      <c r="Q949" s="171"/>
      <c r="R949" s="171"/>
      <c r="S949" s="194"/>
      <c r="T949" s="195"/>
      <c r="U949" s="171"/>
      <c r="V949" s="171"/>
      <c r="W949" s="194"/>
      <c r="X949" s="195"/>
      <c r="Y949" s="171"/>
      <c r="Z949" s="171"/>
      <c r="AA949" s="194"/>
      <c r="AB949" s="195"/>
      <c r="AC949" s="171"/>
      <c r="AD949" s="171"/>
      <c r="AE949" s="194"/>
      <c r="AF949" s="195"/>
      <c r="AG949" s="171"/>
      <c r="AH949" s="171"/>
      <c r="AI949" s="194"/>
      <c r="AJ949" s="196"/>
    </row>
    <row r="950" spans="2:36">
      <c r="B950" s="166"/>
      <c r="C950" s="167"/>
      <c r="D950" s="171"/>
      <c r="E950" s="171"/>
      <c r="F950" s="171"/>
      <c r="G950" s="172"/>
      <c r="H950" s="173"/>
      <c r="I950" s="193"/>
      <c r="J950" s="171"/>
      <c r="K950" s="194"/>
      <c r="L950" s="173"/>
      <c r="M950" s="171"/>
      <c r="N950" s="171"/>
      <c r="O950" s="194"/>
      <c r="P950" s="195"/>
      <c r="Q950" s="171"/>
      <c r="R950" s="171"/>
      <c r="S950" s="194"/>
      <c r="T950" s="195"/>
      <c r="U950" s="171"/>
      <c r="V950" s="171"/>
      <c r="W950" s="194"/>
      <c r="X950" s="195"/>
      <c r="Y950" s="171"/>
      <c r="Z950" s="171"/>
      <c r="AA950" s="194"/>
      <c r="AB950" s="195"/>
      <c r="AC950" s="171"/>
      <c r="AD950" s="171"/>
      <c r="AE950" s="194"/>
      <c r="AF950" s="195"/>
      <c r="AG950" s="171"/>
      <c r="AH950" s="171"/>
      <c r="AI950" s="194"/>
      <c r="AJ950" s="196"/>
    </row>
    <row r="951" spans="2:36">
      <c r="B951" s="166"/>
      <c r="C951" s="167"/>
      <c r="D951" s="171"/>
      <c r="E951" s="171"/>
      <c r="F951" s="171"/>
      <c r="G951" s="172"/>
      <c r="H951" s="173"/>
      <c r="I951" s="193"/>
      <c r="J951" s="171"/>
      <c r="K951" s="194"/>
      <c r="L951" s="173"/>
      <c r="M951" s="171"/>
      <c r="N951" s="171"/>
      <c r="O951" s="194"/>
      <c r="P951" s="195"/>
      <c r="Q951" s="171"/>
      <c r="R951" s="171"/>
      <c r="S951" s="194"/>
      <c r="T951" s="195"/>
      <c r="U951" s="171"/>
      <c r="V951" s="171"/>
      <c r="W951" s="194"/>
      <c r="X951" s="195"/>
      <c r="Y951" s="171"/>
      <c r="Z951" s="171"/>
      <c r="AA951" s="194"/>
      <c r="AB951" s="195"/>
      <c r="AC951" s="171"/>
      <c r="AD951" s="171"/>
      <c r="AE951" s="194"/>
      <c r="AF951" s="195"/>
      <c r="AG951" s="171"/>
      <c r="AH951" s="171"/>
      <c r="AI951" s="194"/>
      <c r="AJ951" s="196"/>
    </row>
    <row r="952" spans="2:36">
      <c r="B952" s="166"/>
      <c r="C952" s="167"/>
      <c r="D952" s="171"/>
      <c r="E952" s="171"/>
      <c r="F952" s="171"/>
      <c r="G952" s="172"/>
      <c r="H952" s="173"/>
      <c r="I952" s="193"/>
      <c r="J952" s="171"/>
      <c r="K952" s="194"/>
      <c r="L952" s="173"/>
      <c r="M952" s="171"/>
      <c r="N952" s="171"/>
      <c r="O952" s="194"/>
      <c r="P952" s="195"/>
      <c r="Q952" s="171"/>
      <c r="R952" s="171"/>
      <c r="S952" s="194"/>
      <c r="T952" s="195"/>
      <c r="U952" s="171"/>
      <c r="V952" s="171"/>
      <c r="W952" s="194"/>
      <c r="X952" s="195"/>
      <c r="Y952" s="171"/>
      <c r="Z952" s="171"/>
      <c r="AA952" s="194"/>
      <c r="AB952" s="195"/>
      <c r="AC952" s="171"/>
      <c r="AD952" s="171"/>
      <c r="AE952" s="194"/>
      <c r="AF952" s="195"/>
      <c r="AG952" s="171"/>
      <c r="AH952" s="171"/>
      <c r="AI952" s="194"/>
      <c r="AJ952" s="196"/>
    </row>
    <row r="953" spans="2:36">
      <c r="B953" s="166"/>
      <c r="C953" s="167"/>
      <c r="D953" s="171"/>
      <c r="E953" s="171"/>
      <c r="F953" s="171"/>
      <c r="G953" s="172"/>
      <c r="H953" s="173"/>
      <c r="I953" s="193"/>
      <c r="J953" s="171"/>
      <c r="K953" s="194"/>
      <c r="L953" s="173"/>
      <c r="M953" s="171"/>
      <c r="N953" s="171"/>
      <c r="O953" s="194"/>
      <c r="P953" s="195"/>
      <c r="Q953" s="171"/>
      <c r="R953" s="171"/>
      <c r="S953" s="194"/>
      <c r="T953" s="195"/>
      <c r="U953" s="171"/>
      <c r="V953" s="171"/>
      <c r="W953" s="194"/>
      <c r="X953" s="195"/>
      <c r="Y953" s="171"/>
      <c r="Z953" s="171"/>
      <c r="AA953" s="194"/>
      <c r="AB953" s="195"/>
      <c r="AC953" s="171"/>
      <c r="AD953" s="171"/>
      <c r="AE953" s="194"/>
      <c r="AF953" s="195"/>
      <c r="AG953" s="171"/>
      <c r="AH953" s="171"/>
      <c r="AI953" s="194"/>
      <c r="AJ953" s="196"/>
    </row>
    <row r="954" spans="2:36">
      <c r="B954" s="166"/>
      <c r="C954" s="167"/>
      <c r="D954" s="171"/>
      <c r="E954" s="171"/>
      <c r="F954" s="171"/>
      <c r="G954" s="172"/>
      <c r="H954" s="173"/>
      <c r="I954" s="193"/>
      <c r="J954" s="171"/>
      <c r="K954" s="194"/>
      <c r="L954" s="173"/>
      <c r="M954" s="171"/>
      <c r="N954" s="171"/>
      <c r="O954" s="194"/>
      <c r="P954" s="195"/>
      <c r="Q954" s="171"/>
      <c r="R954" s="171"/>
      <c r="S954" s="194"/>
      <c r="T954" s="195"/>
      <c r="U954" s="171"/>
      <c r="V954" s="171"/>
      <c r="W954" s="194"/>
      <c r="X954" s="195"/>
      <c r="Y954" s="171"/>
      <c r="Z954" s="171"/>
      <c r="AA954" s="194"/>
      <c r="AB954" s="195"/>
      <c r="AC954" s="171"/>
      <c r="AD954" s="171"/>
      <c r="AE954" s="194"/>
      <c r="AF954" s="195"/>
      <c r="AG954" s="171"/>
      <c r="AH954" s="171"/>
      <c r="AI954" s="194"/>
      <c r="AJ954" s="196"/>
    </row>
    <row r="955" spans="2:36">
      <c r="B955" s="166"/>
      <c r="C955" s="167"/>
      <c r="D955" s="171"/>
      <c r="E955" s="171"/>
      <c r="F955" s="171"/>
      <c r="G955" s="172"/>
      <c r="H955" s="173"/>
      <c r="I955" s="193"/>
      <c r="J955" s="171"/>
      <c r="K955" s="194"/>
      <c r="L955" s="173"/>
      <c r="M955" s="171"/>
      <c r="N955" s="171"/>
      <c r="O955" s="194"/>
      <c r="P955" s="195"/>
      <c r="Q955" s="171"/>
      <c r="R955" s="171"/>
      <c r="S955" s="194"/>
      <c r="T955" s="195"/>
      <c r="U955" s="171"/>
      <c r="V955" s="171"/>
      <c r="W955" s="194"/>
      <c r="X955" s="195"/>
      <c r="Y955" s="171"/>
      <c r="Z955" s="171"/>
      <c r="AA955" s="194"/>
      <c r="AB955" s="195"/>
      <c r="AC955" s="171"/>
      <c r="AD955" s="171"/>
      <c r="AE955" s="194"/>
      <c r="AF955" s="195"/>
      <c r="AG955" s="171"/>
      <c r="AH955" s="171"/>
      <c r="AI955" s="194"/>
      <c r="AJ955" s="196"/>
    </row>
    <row r="956" spans="2:36">
      <c r="B956" s="166"/>
      <c r="C956" s="167"/>
      <c r="D956" s="171"/>
      <c r="E956" s="171"/>
      <c r="F956" s="171"/>
      <c r="G956" s="172"/>
      <c r="H956" s="173"/>
      <c r="I956" s="193"/>
      <c r="J956" s="171"/>
      <c r="K956" s="194"/>
      <c r="L956" s="173"/>
      <c r="M956" s="171"/>
      <c r="N956" s="171"/>
      <c r="O956" s="194"/>
      <c r="P956" s="195"/>
      <c r="Q956" s="171"/>
      <c r="R956" s="171"/>
      <c r="S956" s="194"/>
      <c r="T956" s="195"/>
      <c r="U956" s="171"/>
      <c r="V956" s="171"/>
      <c r="W956" s="194"/>
      <c r="X956" s="195"/>
      <c r="Y956" s="171"/>
      <c r="Z956" s="171"/>
      <c r="AA956" s="194"/>
      <c r="AB956" s="195"/>
      <c r="AC956" s="171"/>
      <c r="AD956" s="171"/>
      <c r="AE956" s="194"/>
      <c r="AF956" s="195"/>
      <c r="AG956" s="171"/>
      <c r="AH956" s="171"/>
      <c r="AI956" s="194"/>
      <c r="AJ956" s="196"/>
    </row>
    <row r="957" spans="2:36">
      <c r="B957" s="166"/>
      <c r="C957" s="167"/>
      <c r="D957" s="171"/>
      <c r="E957" s="171"/>
      <c r="F957" s="171"/>
      <c r="G957" s="172"/>
      <c r="H957" s="173"/>
      <c r="I957" s="193"/>
      <c r="J957" s="171"/>
      <c r="K957" s="194"/>
      <c r="L957" s="173"/>
      <c r="M957" s="171"/>
      <c r="N957" s="171"/>
      <c r="O957" s="194"/>
      <c r="P957" s="195"/>
      <c r="Q957" s="171"/>
      <c r="R957" s="171"/>
      <c r="S957" s="194"/>
      <c r="T957" s="195"/>
      <c r="U957" s="171"/>
      <c r="V957" s="171"/>
      <c r="W957" s="194"/>
      <c r="X957" s="195"/>
      <c r="Y957" s="171"/>
      <c r="Z957" s="171"/>
      <c r="AA957" s="194"/>
      <c r="AB957" s="195"/>
      <c r="AC957" s="171"/>
      <c r="AD957" s="171"/>
      <c r="AE957" s="194"/>
      <c r="AF957" s="195"/>
      <c r="AG957" s="171"/>
      <c r="AH957" s="171"/>
      <c r="AI957" s="194"/>
      <c r="AJ957" s="196"/>
    </row>
    <row r="958" spans="2:36">
      <c r="B958" s="166"/>
      <c r="C958" s="167"/>
      <c r="D958" s="171"/>
      <c r="E958" s="171"/>
      <c r="F958" s="171"/>
      <c r="G958" s="172"/>
      <c r="H958" s="173"/>
      <c r="I958" s="193"/>
      <c r="J958" s="171"/>
      <c r="K958" s="194"/>
      <c r="L958" s="173"/>
      <c r="M958" s="171"/>
      <c r="N958" s="171"/>
      <c r="O958" s="194"/>
      <c r="P958" s="195"/>
      <c r="Q958" s="171"/>
      <c r="R958" s="171"/>
      <c r="S958" s="194"/>
      <c r="T958" s="195"/>
      <c r="U958" s="171"/>
      <c r="V958" s="171"/>
      <c r="W958" s="194"/>
      <c r="X958" s="195"/>
      <c r="Y958" s="171"/>
      <c r="Z958" s="171"/>
      <c r="AA958" s="194"/>
      <c r="AB958" s="195"/>
      <c r="AC958" s="171"/>
      <c r="AD958" s="171"/>
      <c r="AE958" s="194"/>
      <c r="AF958" s="195"/>
      <c r="AG958" s="171"/>
      <c r="AH958" s="171"/>
      <c r="AI958" s="194"/>
      <c r="AJ958" s="196"/>
    </row>
    <row r="959" spans="2:36">
      <c r="B959" s="166"/>
      <c r="C959" s="167"/>
      <c r="D959" s="171"/>
      <c r="E959" s="171"/>
      <c r="F959" s="171"/>
      <c r="G959" s="172"/>
      <c r="H959" s="173"/>
      <c r="I959" s="193"/>
      <c r="J959" s="171"/>
      <c r="K959" s="194"/>
      <c r="L959" s="173"/>
      <c r="M959" s="171"/>
      <c r="N959" s="171"/>
      <c r="O959" s="194"/>
      <c r="P959" s="195"/>
      <c r="Q959" s="171"/>
      <c r="R959" s="171"/>
      <c r="S959" s="194"/>
      <c r="T959" s="195"/>
      <c r="U959" s="171"/>
      <c r="V959" s="171"/>
      <c r="W959" s="194"/>
      <c r="X959" s="195"/>
      <c r="Y959" s="171"/>
      <c r="Z959" s="171"/>
      <c r="AA959" s="194"/>
      <c r="AB959" s="195"/>
      <c r="AC959" s="171"/>
      <c r="AD959" s="171"/>
      <c r="AE959" s="194"/>
      <c r="AF959" s="195"/>
      <c r="AG959" s="171"/>
      <c r="AH959" s="171"/>
      <c r="AI959" s="194"/>
      <c r="AJ959" s="196"/>
    </row>
    <row r="960" spans="2:36">
      <c r="B960" s="166"/>
      <c r="C960" s="167"/>
      <c r="D960" s="171"/>
      <c r="E960" s="171"/>
      <c r="F960" s="171"/>
      <c r="G960" s="172"/>
      <c r="H960" s="173"/>
      <c r="I960" s="193"/>
      <c r="J960" s="171"/>
      <c r="K960" s="194"/>
      <c r="L960" s="173"/>
      <c r="M960" s="171"/>
      <c r="N960" s="171"/>
      <c r="O960" s="194"/>
      <c r="P960" s="195"/>
      <c r="Q960" s="171"/>
      <c r="R960" s="171"/>
      <c r="S960" s="194"/>
      <c r="T960" s="195"/>
      <c r="U960" s="171"/>
      <c r="V960" s="171"/>
      <c r="W960" s="194"/>
      <c r="X960" s="195"/>
      <c r="Y960" s="171"/>
      <c r="Z960" s="171"/>
      <c r="AA960" s="194"/>
      <c r="AB960" s="195"/>
      <c r="AC960" s="171"/>
      <c r="AD960" s="171"/>
      <c r="AE960" s="194"/>
      <c r="AF960" s="195"/>
      <c r="AG960" s="171"/>
      <c r="AH960" s="171"/>
      <c r="AI960" s="194"/>
      <c r="AJ960" s="196"/>
    </row>
    <row r="961" spans="2:36">
      <c r="B961" s="166"/>
      <c r="C961" s="167"/>
      <c r="D961" s="171"/>
      <c r="E961" s="171"/>
      <c r="F961" s="171"/>
      <c r="G961" s="172"/>
      <c r="H961" s="173"/>
      <c r="I961" s="193"/>
      <c r="J961" s="171"/>
      <c r="K961" s="194"/>
      <c r="L961" s="173"/>
      <c r="M961" s="171"/>
      <c r="N961" s="171"/>
      <c r="O961" s="194"/>
      <c r="P961" s="195"/>
      <c r="Q961" s="171"/>
      <c r="R961" s="171"/>
      <c r="S961" s="194"/>
      <c r="T961" s="195"/>
      <c r="U961" s="171"/>
      <c r="V961" s="171"/>
      <c r="W961" s="194"/>
      <c r="X961" s="195"/>
      <c r="Y961" s="171"/>
      <c r="Z961" s="171"/>
      <c r="AA961" s="194"/>
      <c r="AB961" s="195"/>
      <c r="AC961" s="171"/>
      <c r="AD961" s="171"/>
      <c r="AE961" s="194"/>
      <c r="AF961" s="195"/>
      <c r="AG961" s="171"/>
      <c r="AH961" s="171"/>
      <c r="AI961" s="194"/>
      <c r="AJ961" s="196"/>
    </row>
    <row r="962" spans="2:36">
      <c r="B962" s="166"/>
      <c r="C962" s="167"/>
      <c r="D962" s="171"/>
      <c r="E962" s="171"/>
      <c r="F962" s="171"/>
      <c r="G962" s="172"/>
      <c r="H962" s="173"/>
      <c r="I962" s="193"/>
      <c r="J962" s="171"/>
      <c r="K962" s="194"/>
      <c r="L962" s="173"/>
      <c r="M962" s="171"/>
      <c r="N962" s="171"/>
      <c r="O962" s="194"/>
      <c r="P962" s="195"/>
      <c r="Q962" s="171"/>
      <c r="R962" s="171"/>
      <c r="S962" s="194"/>
      <c r="T962" s="195"/>
      <c r="U962" s="171"/>
      <c r="V962" s="171"/>
      <c r="W962" s="194"/>
      <c r="X962" s="195"/>
      <c r="Y962" s="171"/>
      <c r="Z962" s="171"/>
      <c r="AA962" s="194"/>
      <c r="AB962" s="195"/>
      <c r="AC962" s="171"/>
      <c r="AD962" s="171"/>
      <c r="AE962" s="194"/>
      <c r="AF962" s="195"/>
      <c r="AG962" s="171"/>
      <c r="AH962" s="171"/>
      <c r="AI962" s="194"/>
      <c r="AJ962" s="196"/>
    </row>
    <row r="963" spans="2:36">
      <c r="B963" s="166"/>
      <c r="C963" s="167"/>
      <c r="D963" s="171"/>
      <c r="E963" s="171"/>
      <c r="F963" s="171"/>
      <c r="G963" s="172"/>
      <c r="H963" s="173"/>
      <c r="I963" s="193"/>
      <c r="J963" s="171"/>
      <c r="K963" s="194"/>
      <c r="L963" s="173"/>
      <c r="M963" s="171"/>
      <c r="N963" s="171"/>
      <c r="O963" s="194"/>
      <c r="P963" s="195"/>
      <c r="Q963" s="171"/>
      <c r="R963" s="171"/>
      <c r="S963" s="194"/>
      <c r="T963" s="195"/>
      <c r="U963" s="171"/>
      <c r="V963" s="171"/>
      <c r="W963" s="194"/>
      <c r="X963" s="195"/>
      <c r="Y963" s="171"/>
      <c r="Z963" s="171"/>
      <c r="AA963" s="194"/>
      <c r="AB963" s="195"/>
      <c r="AC963" s="171"/>
      <c r="AD963" s="171"/>
      <c r="AE963" s="194"/>
      <c r="AF963" s="195"/>
      <c r="AG963" s="171"/>
      <c r="AH963" s="171"/>
      <c r="AI963" s="194"/>
      <c r="AJ963" s="196"/>
    </row>
    <row r="964" spans="2:36">
      <c r="B964" s="166"/>
      <c r="C964" s="167"/>
      <c r="D964" s="171"/>
      <c r="E964" s="171"/>
      <c r="F964" s="171"/>
      <c r="G964" s="172"/>
      <c r="H964" s="173"/>
      <c r="I964" s="193"/>
      <c r="J964" s="171"/>
      <c r="K964" s="194"/>
      <c r="L964" s="173"/>
      <c r="M964" s="171"/>
      <c r="N964" s="171"/>
      <c r="O964" s="194"/>
      <c r="P964" s="195"/>
      <c r="Q964" s="171"/>
      <c r="R964" s="171"/>
      <c r="S964" s="194"/>
      <c r="T964" s="195"/>
      <c r="U964" s="171"/>
      <c r="V964" s="171"/>
      <c r="W964" s="194"/>
      <c r="X964" s="195"/>
      <c r="Y964" s="171"/>
      <c r="Z964" s="171"/>
      <c r="AA964" s="194"/>
      <c r="AB964" s="195"/>
      <c r="AC964" s="171"/>
      <c r="AD964" s="171"/>
      <c r="AE964" s="194"/>
      <c r="AF964" s="195"/>
      <c r="AG964" s="171"/>
      <c r="AH964" s="171"/>
      <c r="AI964" s="194"/>
      <c r="AJ964" s="196"/>
    </row>
    <row r="965" spans="2:36">
      <c r="B965" s="166"/>
      <c r="C965" s="167"/>
      <c r="D965" s="171"/>
      <c r="E965" s="171"/>
      <c r="F965" s="171"/>
      <c r="G965" s="172"/>
      <c r="H965" s="173"/>
      <c r="I965" s="193"/>
      <c r="J965" s="171"/>
      <c r="K965" s="194"/>
      <c r="L965" s="173"/>
      <c r="M965" s="171"/>
      <c r="N965" s="171"/>
      <c r="O965" s="194"/>
      <c r="P965" s="195"/>
      <c r="Q965" s="171"/>
      <c r="R965" s="171"/>
      <c r="S965" s="194"/>
      <c r="T965" s="195"/>
      <c r="U965" s="171"/>
      <c r="V965" s="171"/>
      <c r="W965" s="194"/>
      <c r="X965" s="195"/>
      <c r="Y965" s="171"/>
      <c r="Z965" s="171"/>
      <c r="AA965" s="194"/>
      <c r="AB965" s="195"/>
      <c r="AC965" s="171"/>
      <c r="AD965" s="171"/>
      <c r="AE965" s="194"/>
      <c r="AF965" s="195"/>
      <c r="AG965" s="171"/>
      <c r="AH965" s="171"/>
      <c r="AI965" s="194"/>
      <c r="AJ965" s="196"/>
    </row>
    <row r="966" spans="2:36">
      <c r="B966" s="166"/>
      <c r="C966" s="167"/>
      <c r="D966" s="171"/>
      <c r="E966" s="171"/>
      <c r="F966" s="171"/>
      <c r="G966" s="172"/>
      <c r="H966" s="173"/>
      <c r="I966" s="193"/>
      <c r="J966" s="171"/>
      <c r="K966" s="194"/>
      <c r="L966" s="173"/>
      <c r="M966" s="171"/>
      <c r="N966" s="171"/>
      <c r="O966" s="194"/>
      <c r="P966" s="195"/>
      <c r="Q966" s="171"/>
      <c r="R966" s="171"/>
      <c r="S966" s="194"/>
      <c r="T966" s="195"/>
      <c r="U966" s="171"/>
      <c r="V966" s="171"/>
      <c r="W966" s="194"/>
      <c r="X966" s="195"/>
      <c r="Y966" s="171"/>
      <c r="Z966" s="171"/>
      <c r="AA966" s="194"/>
      <c r="AB966" s="195"/>
      <c r="AC966" s="171"/>
      <c r="AD966" s="171"/>
      <c r="AE966" s="194"/>
      <c r="AF966" s="195"/>
      <c r="AG966" s="171"/>
      <c r="AH966" s="171"/>
      <c r="AI966" s="194"/>
      <c r="AJ966" s="196"/>
    </row>
    <row r="967" spans="2:36">
      <c r="B967" s="166"/>
      <c r="C967" s="167"/>
      <c r="D967" s="171"/>
      <c r="E967" s="171"/>
      <c r="F967" s="171"/>
      <c r="G967" s="172"/>
      <c r="H967" s="173"/>
      <c r="I967" s="193"/>
      <c r="J967" s="171"/>
      <c r="K967" s="194"/>
      <c r="L967" s="173"/>
      <c r="M967" s="171"/>
      <c r="N967" s="171"/>
      <c r="O967" s="194"/>
      <c r="P967" s="195"/>
      <c r="Q967" s="171"/>
      <c r="R967" s="171"/>
      <c r="S967" s="194"/>
      <c r="T967" s="195"/>
      <c r="U967" s="171"/>
      <c r="V967" s="171"/>
      <c r="W967" s="194"/>
      <c r="X967" s="195"/>
      <c r="Y967" s="171"/>
      <c r="Z967" s="171"/>
      <c r="AA967" s="194"/>
      <c r="AB967" s="195"/>
      <c r="AC967" s="171"/>
      <c r="AD967" s="171"/>
      <c r="AE967" s="194"/>
      <c r="AF967" s="195"/>
      <c r="AG967" s="171"/>
      <c r="AH967" s="171"/>
      <c r="AI967" s="194"/>
      <c r="AJ967" s="196"/>
    </row>
    <row r="968" spans="2:36">
      <c r="B968" s="166"/>
      <c r="C968" s="167"/>
      <c r="D968" s="171"/>
      <c r="E968" s="171"/>
      <c r="F968" s="171"/>
      <c r="G968" s="172"/>
      <c r="H968" s="173"/>
      <c r="I968" s="193"/>
      <c r="J968" s="171"/>
      <c r="K968" s="194"/>
      <c r="L968" s="173"/>
      <c r="M968" s="171"/>
      <c r="N968" s="171"/>
      <c r="O968" s="194"/>
      <c r="P968" s="195"/>
      <c r="Q968" s="171"/>
      <c r="R968" s="171"/>
      <c r="S968" s="194"/>
      <c r="T968" s="195"/>
      <c r="U968" s="171"/>
      <c r="V968" s="171"/>
      <c r="W968" s="194"/>
      <c r="X968" s="195"/>
      <c r="Y968" s="171"/>
      <c r="Z968" s="171"/>
      <c r="AA968" s="194"/>
      <c r="AB968" s="195"/>
      <c r="AC968" s="171"/>
      <c r="AD968" s="171"/>
      <c r="AE968" s="194"/>
      <c r="AF968" s="195"/>
      <c r="AG968" s="171"/>
      <c r="AH968" s="171"/>
      <c r="AI968" s="194"/>
      <c r="AJ968" s="196"/>
    </row>
    <row r="969" spans="2:36">
      <c r="B969" s="166"/>
      <c r="C969" s="167"/>
      <c r="D969" s="171"/>
      <c r="E969" s="171"/>
      <c r="F969" s="171"/>
      <c r="G969" s="172"/>
      <c r="H969" s="173"/>
      <c r="I969" s="193"/>
      <c r="J969" s="171"/>
      <c r="K969" s="194"/>
      <c r="L969" s="173"/>
      <c r="M969" s="171"/>
      <c r="N969" s="171"/>
      <c r="O969" s="194"/>
      <c r="P969" s="195"/>
      <c r="Q969" s="171"/>
      <c r="R969" s="171"/>
      <c r="S969" s="194"/>
      <c r="T969" s="195"/>
      <c r="U969" s="171"/>
      <c r="V969" s="171"/>
      <c r="W969" s="194"/>
      <c r="X969" s="195"/>
      <c r="Y969" s="171"/>
      <c r="Z969" s="171"/>
      <c r="AA969" s="194"/>
      <c r="AB969" s="195"/>
      <c r="AC969" s="171"/>
      <c r="AD969" s="171"/>
      <c r="AE969" s="194"/>
      <c r="AF969" s="195"/>
      <c r="AG969" s="171"/>
      <c r="AH969" s="171"/>
      <c r="AI969" s="194"/>
      <c r="AJ969" s="196"/>
    </row>
    <row r="970" spans="2:36">
      <c r="B970" s="166"/>
      <c r="C970" s="167"/>
      <c r="D970" s="171"/>
      <c r="E970" s="171"/>
      <c r="F970" s="171"/>
      <c r="G970" s="172"/>
      <c r="H970" s="173"/>
      <c r="I970" s="193"/>
      <c r="J970" s="171"/>
      <c r="K970" s="194"/>
      <c r="L970" s="173"/>
      <c r="M970" s="171"/>
      <c r="N970" s="171"/>
      <c r="O970" s="194"/>
      <c r="P970" s="195"/>
      <c r="Q970" s="171"/>
      <c r="R970" s="171"/>
      <c r="S970" s="194"/>
      <c r="T970" s="195"/>
      <c r="U970" s="171"/>
      <c r="V970" s="171"/>
      <c r="W970" s="194"/>
      <c r="X970" s="195"/>
      <c r="Y970" s="171"/>
      <c r="Z970" s="171"/>
      <c r="AA970" s="194"/>
      <c r="AB970" s="195"/>
      <c r="AC970" s="171"/>
      <c r="AD970" s="171"/>
      <c r="AE970" s="194"/>
      <c r="AF970" s="195"/>
      <c r="AG970" s="171"/>
      <c r="AH970" s="171"/>
      <c r="AI970" s="194"/>
      <c r="AJ970" s="196"/>
    </row>
    <row r="971" spans="2:36">
      <c r="B971" s="166"/>
      <c r="C971" s="167"/>
      <c r="D971" s="171"/>
      <c r="E971" s="171"/>
      <c r="F971" s="171"/>
      <c r="G971" s="172"/>
      <c r="H971" s="173"/>
      <c r="I971" s="193"/>
      <c r="J971" s="171"/>
      <c r="K971" s="194"/>
      <c r="L971" s="173"/>
      <c r="M971" s="171"/>
      <c r="N971" s="171"/>
      <c r="O971" s="194"/>
      <c r="P971" s="195"/>
      <c r="Q971" s="171"/>
      <c r="R971" s="171"/>
      <c r="S971" s="194"/>
      <c r="T971" s="195"/>
      <c r="U971" s="171"/>
      <c r="V971" s="171"/>
      <c r="W971" s="194"/>
      <c r="X971" s="195"/>
      <c r="Y971" s="171"/>
      <c r="Z971" s="171"/>
      <c r="AA971" s="194"/>
      <c r="AB971" s="195"/>
      <c r="AC971" s="171"/>
      <c r="AD971" s="171"/>
      <c r="AE971" s="194"/>
      <c r="AF971" s="195"/>
      <c r="AG971" s="171"/>
      <c r="AH971" s="171"/>
      <c r="AI971" s="194"/>
      <c r="AJ971" s="196"/>
    </row>
    <row r="972" spans="2:36">
      <c r="B972" s="166"/>
      <c r="C972" s="167"/>
      <c r="D972" s="171"/>
      <c r="E972" s="171"/>
      <c r="F972" s="171"/>
      <c r="G972" s="172"/>
      <c r="H972" s="173"/>
      <c r="I972" s="193"/>
      <c r="J972" s="171"/>
      <c r="K972" s="194"/>
      <c r="L972" s="173"/>
      <c r="M972" s="171"/>
      <c r="N972" s="171"/>
      <c r="O972" s="194"/>
      <c r="P972" s="195"/>
      <c r="Q972" s="171"/>
      <c r="R972" s="171"/>
      <c r="S972" s="194"/>
      <c r="T972" s="195"/>
      <c r="U972" s="171"/>
      <c r="V972" s="171"/>
      <c r="W972" s="194"/>
      <c r="X972" s="195"/>
      <c r="Y972" s="171"/>
      <c r="Z972" s="171"/>
      <c r="AA972" s="194"/>
      <c r="AB972" s="195"/>
      <c r="AC972" s="171"/>
      <c r="AD972" s="171"/>
      <c r="AE972" s="194"/>
      <c r="AF972" s="195"/>
      <c r="AG972" s="171"/>
      <c r="AH972" s="171"/>
      <c r="AI972" s="194"/>
      <c r="AJ972" s="196"/>
    </row>
    <row r="973" spans="2:36">
      <c r="B973" s="166"/>
      <c r="C973" s="167"/>
      <c r="D973" s="171"/>
      <c r="E973" s="171"/>
      <c r="F973" s="171"/>
      <c r="G973" s="172"/>
      <c r="H973" s="173"/>
      <c r="I973" s="193"/>
      <c r="J973" s="171"/>
      <c r="K973" s="194"/>
      <c r="L973" s="173"/>
      <c r="M973" s="171"/>
      <c r="N973" s="171"/>
      <c r="O973" s="194"/>
      <c r="P973" s="195"/>
      <c r="Q973" s="171"/>
      <c r="R973" s="171"/>
      <c r="S973" s="194"/>
      <c r="T973" s="195"/>
      <c r="U973" s="171"/>
      <c r="V973" s="171"/>
      <c r="W973" s="194"/>
      <c r="X973" s="195"/>
      <c r="Y973" s="171"/>
      <c r="Z973" s="171"/>
      <c r="AA973" s="194"/>
      <c r="AB973" s="195"/>
      <c r="AC973" s="171"/>
      <c r="AD973" s="171"/>
      <c r="AE973" s="194"/>
      <c r="AF973" s="195"/>
      <c r="AG973" s="171"/>
      <c r="AH973" s="171"/>
      <c r="AI973" s="194"/>
      <c r="AJ973" s="196"/>
    </row>
    <row r="974" spans="2:36">
      <c r="B974" s="166"/>
      <c r="C974" s="167"/>
      <c r="D974" s="171"/>
      <c r="E974" s="171"/>
      <c r="F974" s="171"/>
      <c r="G974" s="172"/>
      <c r="H974" s="173"/>
      <c r="I974" s="193"/>
      <c r="J974" s="171"/>
      <c r="K974" s="194"/>
      <c r="L974" s="173"/>
      <c r="M974" s="171"/>
      <c r="N974" s="171"/>
      <c r="O974" s="194"/>
      <c r="P974" s="195"/>
      <c r="Q974" s="171"/>
      <c r="R974" s="171"/>
      <c r="S974" s="194"/>
      <c r="T974" s="195"/>
      <c r="U974" s="171"/>
      <c r="V974" s="171"/>
      <c r="W974" s="194"/>
      <c r="X974" s="195"/>
      <c r="Y974" s="171"/>
      <c r="Z974" s="171"/>
      <c r="AA974" s="194"/>
      <c r="AB974" s="195"/>
      <c r="AC974" s="171"/>
      <c r="AD974" s="171"/>
      <c r="AE974" s="194"/>
      <c r="AF974" s="195"/>
      <c r="AG974" s="171"/>
      <c r="AH974" s="171"/>
      <c r="AI974" s="194"/>
      <c r="AJ974" s="196"/>
    </row>
    <row r="975" spans="2:36">
      <c r="B975" s="166"/>
      <c r="C975" s="167"/>
      <c r="D975" s="171"/>
      <c r="E975" s="171"/>
      <c r="F975" s="171"/>
      <c r="G975" s="172"/>
      <c r="H975" s="173"/>
      <c r="I975" s="193"/>
      <c r="J975" s="171"/>
      <c r="K975" s="194"/>
      <c r="L975" s="173"/>
      <c r="M975" s="171"/>
      <c r="N975" s="171"/>
      <c r="O975" s="194"/>
      <c r="P975" s="195"/>
      <c r="Q975" s="171"/>
      <c r="R975" s="171"/>
      <c r="S975" s="194"/>
      <c r="T975" s="195"/>
      <c r="U975" s="171"/>
      <c r="V975" s="171"/>
      <c r="W975" s="194"/>
      <c r="X975" s="195"/>
      <c r="Y975" s="171"/>
      <c r="Z975" s="171"/>
      <c r="AA975" s="194"/>
      <c r="AB975" s="195"/>
      <c r="AC975" s="171"/>
      <c r="AD975" s="171"/>
      <c r="AE975" s="194"/>
      <c r="AF975" s="195"/>
      <c r="AG975" s="171"/>
      <c r="AH975" s="171"/>
      <c r="AI975" s="194"/>
      <c r="AJ975" s="196"/>
    </row>
    <row r="976" spans="2:36">
      <c r="B976" s="166"/>
      <c r="C976" s="167"/>
      <c r="D976" s="171"/>
      <c r="E976" s="171"/>
      <c r="F976" s="171"/>
      <c r="G976" s="172"/>
      <c r="H976" s="173"/>
      <c r="I976" s="193"/>
      <c r="J976" s="171"/>
      <c r="K976" s="194"/>
      <c r="L976" s="173"/>
      <c r="M976" s="171"/>
      <c r="N976" s="171"/>
      <c r="O976" s="194"/>
      <c r="P976" s="195"/>
      <c r="Q976" s="171"/>
      <c r="R976" s="171"/>
      <c r="S976" s="194"/>
      <c r="T976" s="195"/>
      <c r="U976" s="171"/>
      <c r="V976" s="171"/>
      <c r="W976" s="194"/>
      <c r="X976" s="195"/>
      <c r="Y976" s="171"/>
      <c r="Z976" s="171"/>
      <c r="AA976" s="194"/>
      <c r="AB976" s="195"/>
      <c r="AC976" s="171"/>
      <c r="AD976" s="171"/>
      <c r="AE976" s="194"/>
      <c r="AF976" s="195"/>
      <c r="AG976" s="171"/>
      <c r="AH976" s="171"/>
      <c r="AI976" s="194"/>
      <c r="AJ976" s="196"/>
    </row>
    <row r="977" spans="2:36">
      <c r="B977" s="166"/>
      <c r="C977" s="167"/>
      <c r="D977" s="171"/>
      <c r="E977" s="171"/>
      <c r="F977" s="171"/>
      <c r="G977" s="172"/>
      <c r="H977" s="173"/>
      <c r="I977" s="193"/>
      <c r="J977" s="171"/>
      <c r="K977" s="194"/>
      <c r="L977" s="173"/>
      <c r="M977" s="171"/>
      <c r="N977" s="171"/>
      <c r="O977" s="194"/>
      <c r="P977" s="195"/>
      <c r="Q977" s="171"/>
      <c r="R977" s="171"/>
      <c r="S977" s="194"/>
      <c r="T977" s="195"/>
      <c r="U977" s="171"/>
      <c r="V977" s="171"/>
      <c r="W977" s="194"/>
      <c r="X977" s="195"/>
      <c r="Y977" s="171"/>
      <c r="Z977" s="171"/>
      <c r="AA977" s="194"/>
      <c r="AB977" s="195"/>
      <c r="AC977" s="171"/>
      <c r="AD977" s="171"/>
      <c r="AE977" s="194"/>
      <c r="AF977" s="195"/>
      <c r="AG977" s="171"/>
      <c r="AH977" s="171"/>
      <c r="AI977" s="194"/>
      <c r="AJ977" s="196"/>
    </row>
    <row r="978" spans="2:36">
      <c r="B978" s="166"/>
      <c r="C978" s="167"/>
      <c r="D978" s="171"/>
      <c r="E978" s="171"/>
      <c r="F978" s="171"/>
      <c r="G978" s="172"/>
      <c r="H978" s="173"/>
      <c r="I978" s="193"/>
      <c r="J978" s="171"/>
      <c r="K978" s="194"/>
      <c r="L978" s="173"/>
      <c r="M978" s="171"/>
      <c r="N978" s="171"/>
      <c r="O978" s="194"/>
      <c r="P978" s="195"/>
      <c r="Q978" s="171"/>
      <c r="R978" s="171"/>
      <c r="S978" s="194"/>
      <c r="T978" s="195"/>
      <c r="U978" s="171"/>
      <c r="V978" s="171"/>
      <c r="W978" s="194"/>
      <c r="X978" s="195"/>
      <c r="Y978" s="171"/>
      <c r="Z978" s="171"/>
      <c r="AA978" s="194"/>
      <c r="AB978" s="195"/>
      <c r="AC978" s="171"/>
      <c r="AD978" s="171"/>
      <c r="AE978" s="194"/>
      <c r="AF978" s="195"/>
      <c r="AG978" s="171"/>
      <c r="AH978" s="171"/>
      <c r="AI978" s="194"/>
      <c r="AJ978" s="196"/>
    </row>
    <row r="979" spans="2:36">
      <c r="B979" s="166"/>
      <c r="C979" s="167"/>
      <c r="D979" s="171"/>
      <c r="E979" s="171"/>
      <c r="F979" s="171"/>
      <c r="G979" s="172"/>
      <c r="H979" s="173"/>
      <c r="I979" s="193"/>
      <c r="J979" s="171"/>
      <c r="K979" s="194"/>
      <c r="L979" s="173"/>
      <c r="M979" s="171"/>
      <c r="N979" s="171"/>
      <c r="O979" s="194"/>
      <c r="P979" s="195"/>
      <c r="Q979" s="171"/>
      <c r="R979" s="171"/>
      <c r="S979" s="194"/>
      <c r="T979" s="195"/>
      <c r="U979" s="171"/>
      <c r="V979" s="171"/>
      <c r="W979" s="194"/>
      <c r="X979" s="195"/>
      <c r="Y979" s="171"/>
      <c r="Z979" s="171"/>
      <c r="AA979" s="194"/>
      <c r="AB979" s="195"/>
      <c r="AC979" s="171"/>
      <c r="AD979" s="171"/>
      <c r="AE979" s="194"/>
      <c r="AF979" s="195"/>
      <c r="AG979" s="171"/>
      <c r="AH979" s="171"/>
      <c r="AI979" s="194"/>
      <c r="AJ979" s="196"/>
    </row>
    <row r="980" spans="2:36">
      <c r="B980" s="166"/>
      <c r="C980" s="167"/>
      <c r="D980" s="171"/>
      <c r="E980" s="171"/>
      <c r="F980" s="171"/>
      <c r="G980" s="172"/>
      <c r="H980" s="173"/>
      <c r="I980" s="193"/>
      <c r="J980" s="171"/>
      <c r="K980" s="194"/>
      <c r="L980" s="173"/>
      <c r="M980" s="171"/>
      <c r="N980" s="171"/>
      <c r="O980" s="194"/>
      <c r="P980" s="195"/>
      <c r="Q980" s="171"/>
      <c r="R980" s="171"/>
      <c r="S980" s="194"/>
      <c r="T980" s="195"/>
      <c r="U980" s="171"/>
      <c r="V980" s="171"/>
      <c r="W980" s="194"/>
      <c r="X980" s="195"/>
      <c r="Y980" s="171"/>
      <c r="Z980" s="171"/>
      <c r="AA980" s="194"/>
      <c r="AB980" s="195"/>
      <c r="AC980" s="171"/>
      <c r="AD980" s="171"/>
      <c r="AE980" s="194"/>
      <c r="AF980" s="195"/>
      <c r="AG980" s="171"/>
      <c r="AH980" s="171"/>
      <c r="AI980" s="194"/>
      <c r="AJ980" s="196"/>
    </row>
    <row r="981" spans="2:36">
      <c r="B981" s="166"/>
      <c r="C981" s="167"/>
      <c r="D981" s="171"/>
      <c r="E981" s="171"/>
      <c r="F981" s="171"/>
      <c r="G981" s="172"/>
      <c r="H981" s="173"/>
      <c r="I981" s="193"/>
      <c r="J981" s="171"/>
      <c r="K981" s="194"/>
      <c r="L981" s="173"/>
      <c r="M981" s="171"/>
      <c r="N981" s="171"/>
      <c r="O981" s="194"/>
      <c r="P981" s="195"/>
      <c r="Q981" s="171"/>
      <c r="R981" s="171"/>
      <c r="S981" s="194"/>
      <c r="T981" s="195"/>
      <c r="U981" s="171"/>
      <c r="V981" s="171"/>
      <c r="W981" s="194"/>
      <c r="X981" s="195"/>
      <c r="Y981" s="171"/>
      <c r="Z981" s="171"/>
      <c r="AA981" s="194"/>
      <c r="AB981" s="195"/>
      <c r="AC981" s="171"/>
      <c r="AD981" s="171"/>
      <c r="AE981" s="194"/>
      <c r="AF981" s="195"/>
      <c r="AG981" s="171"/>
      <c r="AH981" s="171"/>
      <c r="AI981" s="194"/>
      <c r="AJ981" s="196"/>
    </row>
    <row r="982" spans="2:36">
      <c r="B982" s="166"/>
      <c r="C982" s="167"/>
      <c r="D982" s="171"/>
      <c r="E982" s="171"/>
      <c r="F982" s="171"/>
      <c r="G982" s="172"/>
      <c r="H982" s="173"/>
      <c r="I982" s="193"/>
      <c r="J982" s="171"/>
      <c r="K982" s="194"/>
      <c r="L982" s="173"/>
      <c r="M982" s="171"/>
      <c r="N982" s="171"/>
      <c r="O982" s="194"/>
      <c r="P982" s="195"/>
      <c r="Q982" s="171"/>
      <c r="R982" s="171"/>
      <c r="S982" s="194"/>
      <c r="T982" s="195"/>
      <c r="U982" s="171"/>
      <c r="V982" s="171"/>
      <c r="W982" s="194"/>
      <c r="X982" s="195"/>
      <c r="Y982" s="171"/>
      <c r="Z982" s="171"/>
      <c r="AA982" s="194"/>
      <c r="AB982" s="195"/>
      <c r="AC982" s="171"/>
      <c r="AD982" s="171"/>
      <c r="AE982" s="194"/>
      <c r="AF982" s="195"/>
      <c r="AG982" s="171"/>
      <c r="AH982" s="171"/>
      <c r="AI982" s="194"/>
      <c r="AJ982" s="196"/>
    </row>
    <row r="983" spans="2:36">
      <c r="B983" s="166"/>
      <c r="C983" s="167"/>
      <c r="D983" s="171"/>
      <c r="E983" s="171"/>
      <c r="F983" s="171"/>
      <c r="G983" s="172"/>
      <c r="H983" s="173"/>
      <c r="I983" s="193"/>
      <c r="J983" s="171"/>
      <c r="K983" s="194"/>
      <c r="L983" s="173"/>
      <c r="M983" s="171"/>
      <c r="N983" s="171"/>
      <c r="O983" s="194"/>
      <c r="P983" s="195"/>
      <c r="Q983" s="171"/>
      <c r="R983" s="171"/>
      <c r="S983" s="194"/>
      <c r="T983" s="195"/>
      <c r="U983" s="171"/>
      <c r="V983" s="171"/>
      <c r="W983" s="194"/>
      <c r="X983" s="195"/>
      <c r="Y983" s="171"/>
      <c r="Z983" s="171"/>
      <c r="AA983" s="194"/>
      <c r="AB983" s="195"/>
      <c r="AC983" s="171"/>
      <c r="AD983" s="171"/>
      <c r="AE983" s="194"/>
      <c r="AF983" s="195"/>
      <c r="AG983" s="171"/>
      <c r="AH983" s="171"/>
      <c r="AI983" s="194"/>
      <c r="AJ983" s="196"/>
    </row>
    <row r="984" spans="2:36">
      <c r="B984" s="166"/>
      <c r="C984" s="167"/>
      <c r="D984" s="171"/>
      <c r="E984" s="171"/>
      <c r="F984" s="171"/>
      <c r="G984" s="172"/>
      <c r="H984" s="173"/>
      <c r="I984" s="193"/>
      <c r="J984" s="171"/>
      <c r="K984" s="194"/>
      <c r="L984" s="173"/>
      <c r="M984" s="171"/>
      <c r="N984" s="171"/>
      <c r="O984" s="194"/>
      <c r="P984" s="195"/>
      <c r="Q984" s="171"/>
      <c r="R984" s="171"/>
      <c r="S984" s="194"/>
      <c r="T984" s="195"/>
      <c r="U984" s="171"/>
      <c r="V984" s="171"/>
      <c r="W984" s="194"/>
      <c r="X984" s="195"/>
      <c r="Y984" s="171"/>
      <c r="Z984" s="171"/>
      <c r="AA984" s="194"/>
      <c r="AB984" s="195"/>
      <c r="AC984" s="171"/>
      <c r="AD984" s="171"/>
      <c r="AE984" s="194"/>
      <c r="AF984" s="195"/>
      <c r="AG984" s="171"/>
      <c r="AH984" s="171"/>
      <c r="AI984" s="194"/>
      <c r="AJ984" s="196"/>
    </row>
    <row r="985" spans="2:36">
      <c r="B985" s="166"/>
      <c r="C985" s="167"/>
      <c r="D985" s="171"/>
      <c r="E985" s="171"/>
      <c r="F985" s="171"/>
      <c r="G985" s="172"/>
      <c r="H985" s="173"/>
      <c r="I985" s="193"/>
      <c r="J985" s="171"/>
      <c r="K985" s="194"/>
      <c r="L985" s="173"/>
      <c r="M985" s="171"/>
      <c r="N985" s="171"/>
      <c r="O985" s="194"/>
      <c r="P985" s="195"/>
      <c r="Q985" s="171"/>
      <c r="R985" s="171"/>
      <c r="S985" s="194"/>
      <c r="T985" s="195"/>
      <c r="U985" s="171"/>
      <c r="V985" s="171"/>
      <c r="W985" s="194"/>
      <c r="X985" s="195"/>
      <c r="Y985" s="171"/>
      <c r="Z985" s="171"/>
      <c r="AA985" s="194"/>
      <c r="AB985" s="195"/>
      <c r="AC985" s="171"/>
      <c r="AD985" s="171"/>
      <c r="AE985" s="194"/>
      <c r="AF985" s="195"/>
      <c r="AG985" s="171"/>
      <c r="AH985" s="171"/>
      <c r="AI985" s="194"/>
      <c r="AJ985" s="196"/>
    </row>
    <row r="986" spans="2:36">
      <c r="B986" s="166"/>
      <c r="C986" s="167"/>
      <c r="D986" s="171"/>
      <c r="E986" s="171"/>
      <c r="F986" s="171"/>
      <c r="G986" s="172"/>
      <c r="H986" s="173"/>
      <c r="I986" s="193"/>
      <c r="J986" s="171"/>
      <c r="K986" s="194"/>
      <c r="L986" s="173"/>
      <c r="M986" s="171"/>
      <c r="N986" s="171"/>
      <c r="O986" s="194"/>
      <c r="P986" s="195"/>
      <c r="Q986" s="171"/>
      <c r="R986" s="171"/>
      <c r="S986" s="194"/>
      <c r="T986" s="195"/>
      <c r="U986" s="171"/>
      <c r="V986" s="171"/>
      <c r="W986" s="194"/>
      <c r="X986" s="195"/>
      <c r="Y986" s="171"/>
      <c r="Z986" s="171"/>
      <c r="AA986" s="194"/>
      <c r="AB986" s="195"/>
      <c r="AC986" s="171"/>
      <c r="AD986" s="171"/>
      <c r="AE986" s="194"/>
      <c r="AF986" s="195"/>
      <c r="AG986" s="171"/>
      <c r="AH986" s="171"/>
      <c r="AI986" s="194"/>
      <c r="AJ986" s="196"/>
    </row>
    <row r="987" spans="2:36">
      <c r="B987" s="166"/>
      <c r="C987" s="167"/>
      <c r="D987" s="171"/>
      <c r="E987" s="171"/>
      <c r="F987" s="171"/>
      <c r="G987" s="172"/>
      <c r="H987" s="173"/>
      <c r="I987" s="193"/>
      <c r="J987" s="171"/>
      <c r="K987" s="194"/>
      <c r="L987" s="173"/>
      <c r="M987" s="171"/>
      <c r="N987" s="171"/>
      <c r="O987" s="194"/>
      <c r="P987" s="195"/>
      <c r="Q987" s="171"/>
      <c r="R987" s="171"/>
      <c r="S987" s="194"/>
      <c r="T987" s="195"/>
      <c r="U987" s="171"/>
      <c r="V987" s="171"/>
      <c r="W987" s="194"/>
      <c r="X987" s="195"/>
      <c r="Y987" s="171"/>
      <c r="Z987" s="171"/>
      <c r="AA987" s="194"/>
      <c r="AB987" s="195"/>
      <c r="AC987" s="171"/>
      <c r="AD987" s="171"/>
      <c r="AE987" s="194"/>
      <c r="AF987" s="195"/>
      <c r="AG987" s="171"/>
      <c r="AH987" s="171"/>
      <c r="AI987" s="194"/>
      <c r="AJ987" s="196"/>
    </row>
    <row r="988" spans="2:36">
      <c r="B988" s="166"/>
      <c r="C988" s="167"/>
      <c r="D988" s="171"/>
      <c r="E988" s="171"/>
      <c r="F988" s="171"/>
      <c r="G988" s="172"/>
      <c r="H988" s="173"/>
      <c r="I988" s="193"/>
      <c r="J988" s="171"/>
      <c r="K988" s="194"/>
      <c r="L988" s="173"/>
      <c r="M988" s="171"/>
      <c r="N988" s="171"/>
      <c r="O988" s="194"/>
      <c r="P988" s="195"/>
      <c r="Q988" s="171"/>
      <c r="R988" s="171"/>
      <c r="S988" s="194"/>
      <c r="T988" s="195"/>
      <c r="U988" s="171"/>
      <c r="V988" s="171"/>
      <c r="W988" s="194"/>
      <c r="X988" s="195"/>
      <c r="Y988" s="171"/>
      <c r="Z988" s="171"/>
      <c r="AA988" s="194"/>
      <c r="AB988" s="195"/>
      <c r="AC988" s="171"/>
      <c r="AD988" s="171"/>
      <c r="AE988" s="194"/>
      <c r="AF988" s="195"/>
      <c r="AG988" s="171"/>
      <c r="AH988" s="171"/>
      <c r="AI988" s="194"/>
      <c r="AJ988" s="196"/>
    </row>
    <row r="989" spans="2:36">
      <c r="B989" s="166"/>
      <c r="C989" s="167"/>
      <c r="D989" s="171"/>
      <c r="E989" s="171"/>
      <c r="F989" s="171"/>
      <c r="G989" s="172"/>
      <c r="H989" s="173"/>
      <c r="I989" s="193"/>
      <c r="J989" s="171"/>
      <c r="K989" s="194"/>
      <c r="L989" s="173"/>
      <c r="M989" s="171"/>
      <c r="N989" s="171"/>
      <c r="O989" s="194"/>
      <c r="P989" s="195"/>
      <c r="Q989" s="171"/>
      <c r="R989" s="171"/>
      <c r="S989" s="194"/>
      <c r="T989" s="195"/>
      <c r="U989" s="171"/>
      <c r="V989" s="171"/>
      <c r="W989" s="194"/>
      <c r="X989" s="195"/>
      <c r="Y989" s="171"/>
      <c r="Z989" s="171"/>
      <c r="AA989" s="194"/>
      <c r="AB989" s="195"/>
      <c r="AC989" s="171"/>
      <c r="AD989" s="171"/>
      <c r="AE989" s="194"/>
      <c r="AF989" s="195"/>
      <c r="AG989" s="171"/>
      <c r="AH989" s="171"/>
      <c r="AI989" s="194"/>
      <c r="AJ989" s="196"/>
    </row>
    <row r="990" spans="2:36">
      <c r="B990" s="166"/>
      <c r="C990" s="167"/>
      <c r="D990" s="171"/>
      <c r="E990" s="171"/>
      <c r="F990" s="171"/>
      <c r="G990" s="172"/>
      <c r="H990" s="173"/>
      <c r="I990" s="193"/>
      <c r="J990" s="171"/>
      <c r="K990" s="194"/>
      <c r="L990" s="173"/>
      <c r="M990" s="171"/>
      <c r="N990" s="171"/>
      <c r="O990" s="194"/>
      <c r="P990" s="195"/>
      <c r="Q990" s="171"/>
      <c r="R990" s="171"/>
      <c r="S990" s="194"/>
      <c r="T990" s="195"/>
      <c r="U990" s="171"/>
      <c r="V990" s="171"/>
      <c r="W990" s="194"/>
      <c r="X990" s="195"/>
      <c r="Y990" s="171"/>
      <c r="Z990" s="171"/>
      <c r="AA990" s="194"/>
      <c r="AB990" s="195"/>
      <c r="AC990" s="171"/>
      <c r="AD990" s="171"/>
      <c r="AE990" s="194"/>
      <c r="AF990" s="195"/>
      <c r="AG990" s="171"/>
      <c r="AH990" s="171"/>
      <c r="AI990" s="194"/>
      <c r="AJ990" s="196"/>
    </row>
    <row r="991" spans="2:36">
      <c r="B991" s="166"/>
      <c r="C991" s="167"/>
      <c r="D991" s="171"/>
      <c r="E991" s="171"/>
      <c r="F991" s="171"/>
      <c r="G991" s="172"/>
      <c r="H991" s="173"/>
      <c r="I991" s="193"/>
      <c r="J991" s="171"/>
      <c r="K991" s="194"/>
      <c r="L991" s="173"/>
      <c r="M991" s="171"/>
      <c r="N991" s="171"/>
      <c r="O991" s="194"/>
      <c r="P991" s="195"/>
      <c r="Q991" s="171"/>
      <c r="R991" s="171"/>
      <c r="S991" s="194"/>
      <c r="T991" s="195"/>
      <c r="U991" s="171"/>
      <c r="V991" s="171"/>
      <c r="W991" s="194"/>
      <c r="X991" s="195"/>
      <c r="Y991" s="171"/>
      <c r="Z991" s="171"/>
      <c r="AA991" s="194"/>
      <c r="AB991" s="195"/>
      <c r="AC991" s="171"/>
      <c r="AD991" s="171"/>
      <c r="AE991" s="194"/>
      <c r="AF991" s="195"/>
      <c r="AG991" s="171"/>
      <c r="AH991" s="171"/>
      <c r="AI991" s="194"/>
      <c r="AJ991" s="196"/>
    </row>
    <row r="992" spans="2:36">
      <c r="B992" s="166"/>
      <c r="C992" s="167"/>
      <c r="D992" s="171"/>
      <c r="E992" s="171"/>
      <c r="F992" s="171"/>
      <c r="G992" s="172"/>
      <c r="H992" s="173"/>
      <c r="I992" s="193"/>
      <c r="J992" s="171"/>
      <c r="K992" s="194"/>
      <c r="L992" s="173"/>
      <c r="M992" s="171"/>
      <c r="N992" s="171"/>
      <c r="O992" s="194"/>
      <c r="P992" s="195"/>
      <c r="Q992" s="171"/>
      <c r="R992" s="171"/>
      <c r="S992" s="194"/>
      <c r="T992" s="195"/>
      <c r="U992" s="171"/>
      <c r="V992" s="171"/>
      <c r="W992" s="194"/>
      <c r="X992" s="195"/>
      <c r="Y992" s="171"/>
      <c r="Z992" s="171"/>
      <c r="AA992" s="194"/>
      <c r="AB992" s="195"/>
      <c r="AC992" s="171"/>
      <c r="AD992" s="171"/>
      <c r="AE992" s="194"/>
      <c r="AF992" s="195"/>
      <c r="AG992" s="171"/>
      <c r="AH992" s="171"/>
      <c r="AI992" s="194"/>
      <c r="AJ992" s="196"/>
    </row>
    <row r="993" spans="2:36">
      <c r="B993" s="166"/>
      <c r="C993" s="167"/>
      <c r="D993" s="171"/>
      <c r="E993" s="171"/>
      <c r="F993" s="171"/>
      <c r="G993" s="172"/>
      <c r="H993" s="173"/>
      <c r="I993" s="193"/>
      <c r="J993" s="171"/>
      <c r="K993" s="194"/>
      <c r="L993" s="173"/>
      <c r="M993" s="171"/>
      <c r="N993" s="171"/>
      <c r="O993" s="194"/>
      <c r="P993" s="195"/>
      <c r="Q993" s="171"/>
      <c r="R993" s="171"/>
      <c r="S993" s="194"/>
      <c r="T993" s="195"/>
      <c r="U993" s="171"/>
      <c r="V993" s="171"/>
      <c r="W993" s="194"/>
      <c r="X993" s="195"/>
      <c r="Y993" s="171"/>
      <c r="Z993" s="171"/>
      <c r="AA993" s="194"/>
      <c r="AB993" s="195"/>
      <c r="AC993" s="171"/>
      <c r="AD993" s="171"/>
      <c r="AE993" s="194"/>
      <c r="AF993" s="195"/>
      <c r="AG993" s="171"/>
      <c r="AH993" s="171"/>
      <c r="AI993" s="194"/>
      <c r="AJ993" s="196"/>
    </row>
    <row r="994" spans="2:36">
      <c r="B994" s="166"/>
      <c r="C994" s="167"/>
      <c r="D994" s="171"/>
      <c r="E994" s="171"/>
      <c r="F994" s="171"/>
      <c r="G994" s="172"/>
      <c r="H994" s="173"/>
      <c r="I994" s="193"/>
      <c r="J994" s="171"/>
      <c r="K994" s="194"/>
      <c r="L994" s="173"/>
      <c r="M994" s="171"/>
      <c r="N994" s="171"/>
      <c r="O994" s="194"/>
      <c r="P994" s="195"/>
      <c r="Q994" s="171"/>
      <c r="R994" s="171"/>
      <c r="S994" s="194"/>
      <c r="T994" s="195"/>
      <c r="U994" s="171"/>
      <c r="V994" s="171"/>
      <c r="W994" s="194"/>
      <c r="X994" s="195"/>
      <c r="Y994" s="171"/>
      <c r="Z994" s="171"/>
      <c r="AA994" s="194"/>
      <c r="AB994" s="195"/>
      <c r="AC994" s="171"/>
      <c r="AD994" s="171"/>
      <c r="AE994" s="194"/>
      <c r="AF994" s="195"/>
      <c r="AG994" s="171"/>
      <c r="AH994" s="171"/>
      <c r="AI994" s="194"/>
      <c r="AJ994" s="196"/>
    </row>
    <row r="995" spans="2:36">
      <c r="B995" s="166"/>
      <c r="C995" s="167"/>
      <c r="D995" s="171"/>
      <c r="E995" s="171"/>
      <c r="F995" s="171"/>
      <c r="G995" s="172"/>
      <c r="H995" s="173"/>
      <c r="I995" s="193"/>
      <c r="J995" s="171"/>
      <c r="K995" s="194"/>
      <c r="L995" s="173"/>
      <c r="M995" s="171"/>
      <c r="N995" s="171"/>
      <c r="O995" s="194"/>
      <c r="P995" s="195"/>
      <c r="Q995" s="171"/>
      <c r="R995" s="171"/>
      <c r="S995" s="194"/>
      <c r="T995" s="195"/>
      <c r="U995" s="171"/>
      <c r="V995" s="171"/>
      <c r="W995" s="194"/>
      <c r="X995" s="195"/>
      <c r="Y995" s="171"/>
      <c r="Z995" s="171"/>
      <c r="AA995" s="194"/>
      <c r="AB995" s="195"/>
      <c r="AC995" s="171"/>
      <c r="AD995" s="171"/>
      <c r="AE995" s="194"/>
      <c r="AF995" s="195"/>
      <c r="AG995" s="171"/>
      <c r="AH995" s="171"/>
      <c r="AI995" s="194"/>
      <c r="AJ995" s="196"/>
    </row>
    <row r="996" spans="2:36">
      <c r="B996" s="166"/>
      <c r="C996" s="167"/>
      <c r="D996" s="171"/>
      <c r="E996" s="171"/>
      <c r="F996" s="171"/>
      <c r="G996" s="172"/>
      <c r="H996" s="173"/>
      <c r="I996" s="193"/>
      <c r="J996" s="171"/>
      <c r="K996" s="194"/>
      <c r="L996" s="173"/>
      <c r="M996" s="171"/>
      <c r="N996" s="171"/>
      <c r="O996" s="194"/>
      <c r="P996" s="195"/>
      <c r="Q996" s="171"/>
      <c r="R996" s="171"/>
      <c r="S996" s="194"/>
      <c r="T996" s="195"/>
      <c r="U996" s="171"/>
      <c r="V996" s="171"/>
      <c r="W996" s="194"/>
      <c r="X996" s="195"/>
      <c r="Y996" s="171"/>
      <c r="Z996" s="171"/>
      <c r="AA996" s="194"/>
      <c r="AB996" s="195"/>
      <c r="AC996" s="171"/>
      <c r="AD996" s="171"/>
      <c r="AE996" s="194"/>
      <c r="AF996" s="195"/>
      <c r="AG996" s="171"/>
      <c r="AH996" s="171"/>
      <c r="AI996" s="194"/>
      <c r="AJ996" s="196"/>
    </row>
    <row r="997" spans="2:36">
      <c r="B997" s="166"/>
      <c r="C997" s="167"/>
      <c r="D997" s="171"/>
      <c r="E997" s="171"/>
      <c r="F997" s="171"/>
      <c r="G997" s="172"/>
      <c r="H997" s="173"/>
      <c r="I997" s="193"/>
      <c r="J997" s="171"/>
      <c r="K997" s="194"/>
      <c r="L997" s="173"/>
      <c r="M997" s="171"/>
      <c r="N997" s="171"/>
      <c r="O997" s="194"/>
      <c r="P997" s="195"/>
      <c r="Q997" s="171"/>
      <c r="R997" s="171"/>
      <c r="S997" s="194"/>
      <c r="T997" s="195"/>
      <c r="U997" s="171"/>
      <c r="V997" s="171"/>
      <c r="W997" s="194"/>
      <c r="X997" s="195"/>
      <c r="Y997" s="171"/>
      <c r="Z997" s="171"/>
      <c r="AA997" s="194"/>
      <c r="AB997" s="195"/>
      <c r="AC997" s="171"/>
      <c r="AD997" s="171"/>
      <c r="AE997" s="194"/>
      <c r="AF997" s="195"/>
      <c r="AG997" s="171"/>
      <c r="AH997" s="171"/>
      <c r="AI997" s="194"/>
      <c r="AJ997" s="196"/>
    </row>
    <row r="998" spans="2:36">
      <c r="B998" s="166"/>
      <c r="C998" s="167"/>
      <c r="D998" s="171"/>
      <c r="E998" s="171"/>
      <c r="F998" s="171"/>
      <c r="G998" s="172"/>
      <c r="H998" s="173"/>
      <c r="I998" s="193"/>
      <c r="J998" s="171"/>
      <c r="K998" s="194"/>
      <c r="L998" s="173"/>
      <c r="M998" s="171"/>
      <c r="N998" s="171"/>
      <c r="O998" s="194"/>
      <c r="P998" s="195"/>
      <c r="Q998" s="171"/>
      <c r="R998" s="171"/>
      <c r="S998" s="194"/>
      <c r="T998" s="195"/>
      <c r="U998" s="171"/>
      <c r="V998" s="171"/>
      <c r="W998" s="194"/>
      <c r="X998" s="195"/>
      <c r="Y998" s="171"/>
      <c r="Z998" s="171"/>
      <c r="AA998" s="194"/>
      <c r="AB998" s="195"/>
      <c r="AC998" s="171"/>
      <c r="AD998" s="171"/>
      <c r="AE998" s="194"/>
      <c r="AF998" s="195"/>
      <c r="AG998" s="171"/>
      <c r="AH998" s="171"/>
      <c r="AI998" s="194"/>
      <c r="AJ998" s="196"/>
    </row>
    <row r="999" spans="2:36">
      <c r="B999" s="166"/>
      <c r="C999" s="167"/>
      <c r="D999" s="171"/>
      <c r="E999" s="171"/>
      <c r="F999" s="171"/>
      <c r="G999" s="172"/>
      <c r="H999" s="173"/>
      <c r="I999" s="193"/>
      <c r="J999" s="171"/>
      <c r="K999" s="194"/>
      <c r="L999" s="173"/>
      <c r="M999" s="171"/>
      <c r="N999" s="171"/>
      <c r="O999" s="194"/>
      <c r="P999" s="195"/>
      <c r="Q999" s="171"/>
      <c r="R999" s="171"/>
      <c r="S999" s="194"/>
      <c r="T999" s="195"/>
      <c r="U999" s="171"/>
      <c r="V999" s="171"/>
      <c r="W999" s="194"/>
      <c r="X999" s="195"/>
      <c r="Y999" s="171"/>
      <c r="Z999" s="171"/>
      <c r="AA999" s="194"/>
      <c r="AB999" s="195"/>
      <c r="AC999" s="171"/>
      <c r="AD999" s="171"/>
      <c r="AE999" s="194"/>
      <c r="AF999" s="195"/>
      <c r="AG999" s="171"/>
      <c r="AH999" s="171"/>
      <c r="AI999" s="194"/>
      <c r="AJ999" s="196"/>
    </row>
    <row r="1000" spans="2:36">
      <c r="B1000" s="166"/>
      <c r="C1000" s="167"/>
      <c r="D1000" s="171"/>
      <c r="E1000" s="171"/>
      <c r="F1000" s="171"/>
      <c r="G1000" s="172"/>
      <c r="H1000" s="173"/>
      <c r="I1000" s="193"/>
      <c r="J1000" s="171"/>
      <c r="K1000" s="194"/>
      <c r="L1000" s="173"/>
      <c r="M1000" s="171"/>
      <c r="N1000" s="171"/>
      <c r="O1000" s="194"/>
      <c r="P1000" s="195"/>
      <c r="Q1000" s="171"/>
      <c r="R1000" s="171"/>
      <c r="S1000" s="194"/>
      <c r="T1000" s="195"/>
      <c r="U1000" s="171"/>
      <c r="V1000" s="171"/>
      <c r="W1000" s="194"/>
      <c r="X1000" s="195"/>
      <c r="Y1000" s="171"/>
      <c r="Z1000" s="171"/>
      <c r="AA1000" s="194"/>
      <c r="AB1000" s="195"/>
      <c r="AC1000" s="171"/>
      <c r="AD1000" s="171"/>
      <c r="AE1000" s="194"/>
      <c r="AF1000" s="195"/>
      <c r="AG1000" s="171"/>
      <c r="AH1000" s="171"/>
      <c r="AI1000" s="194"/>
      <c r="AJ1000" s="196"/>
    </row>
    <row r="1001" spans="2:36">
      <c r="B1001" s="166"/>
      <c r="C1001" s="167"/>
      <c r="D1001" s="171"/>
      <c r="E1001" s="171"/>
      <c r="F1001" s="171"/>
      <c r="G1001" s="172"/>
      <c r="H1001" s="173"/>
      <c r="I1001" s="193"/>
      <c r="J1001" s="171"/>
      <c r="K1001" s="194"/>
      <c r="L1001" s="173"/>
      <c r="M1001" s="171"/>
      <c r="N1001" s="171"/>
      <c r="O1001" s="194"/>
      <c r="P1001" s="195"/>
      <c r="Q1001" s="171"/>
      <c r="R1001" s="171"/>
      <c r="S1001" s="194"/>
      <c r="T1001" s="195"/>
      <c r="U1001" s="171"/>
      <c r="V1001" s="171"/>
      <c r="W1001" s="194"/>
      <c r="X1001" s="195"/>
      <c r="Y1001" s="171"/>
      <c r="Z1001" s="171"/>
      <c r="AA1001" s="194"/>
      <c r="AB1001" s="195"/>
      <c r="AC1001" s="171"/>
      <c r="AD1001" s="171"/>
      <c r="AE1001" s="194"/>
      <c r="AF1001" s="195"/>
      <c r="AG1001" s="171"/>
      <c r="AH1001" s="171"/>
      <c r="AI1001" s="194"/>
      <c r="AJ1001" s="196"/>
    </row>
    <row r="1002" spans="2:36">
      <c r="B1002" s="166"/>
      <c r="C1002" s="167"/>
      <c r="D1002" s="171"/>
      <c r="E1002" s="171"/>
      <c r="F1002" s="171"/>
      <c r="G1002" s="172"/>
      <c r="H1002" s="173"/>
      <c r="I1002" s="193"/>
      <c r="J1002" s="171"/>
      <c r="K1002" s="194"/>
      <c r="L1002" s="173"/>
      <c r="M1002" s="171"/>
      <c r="N1002" s="171"/>
      <c r="O1002" s="194"/>
      <c r="P1002" s="195"/>
      <c r="Q1002" s="171"/>
      <c r="R1002" s="171"/>
      <c r="S1002" s="194"/>
      <c r="T1002" s="195"/>
      <c r="U1002" s="171"/>
      <c r="V1002" s="171"/>
      <c r="W1002" s="194"/>
      <c r="X1002" s="195"/>
      <c r="Y1002" s="171"/>
      <c r="Z1002" s="171"/>
      <c r="AA1002" s="194"/>
      <c r="AB1002" s="195"/>
      <c r="AC1002" s="171"/>
      <c r="AD1002" s="171"/>
      <c r="AE1002" s="194"/>
      <c r="AF1002" s="195"/>
      <c r="AG1002" s="171"/>
      <c r="AH1002" s="171"/>
      <c r="AI1002" s="194"/>
      <c r="AJ1002" s="196"/>
    </row>
    <row r="1003" spans="2:36">
      <c r="B1003" s="166"/>
      <c r="C1003" s="167"/>
      <c r="D1003" s="171"/>
      <c r="E1003" s="171"/>
      <c r="F1003" s="171"/>
      <c r="G1003" s="172"/>
      <c r="H1003" s="173"/>
      <c r="I1003" s="193"/>
      <c r="J1003" s="171"/>
      <c r="K1003" s="194"/>
      <c r="L1003" s="173"/>
      <c r="M1003" s="171"/>
      <c r="N1003" s="171"/>
      <c r="O1003" s="194"/>
      <c r="P1003" s="195"/>
      <c r="Q1003" s="171"/>
      <c r="R1003" s="171"/>
      <c r="S1003" s="194"/>
      <c r="T1003" s="195"/>
      <c r="U1003" s="171"/>
      <c r="V1003" s="171"/>
      <c r="W1003" s="194"/>
      <c r="X1003" s="195"/>
      <c r="Y1003" s="171"/>
      <c r="Z1003" s="171"/>
      <c r="AA1003" s="194"/>
      <c r="AB1003" s="195"/>
      <c r="AC1003" s="171"/>
      <c r="AD1003" s="171"/>
      <c r="AE1003" s="194"/>
      <c r="AF1003" s="195"/>
      <c r="AG1003" s="171"/>
      <c r="AH1003" s="171"/>
      <c r="AI1003" s="194"/>
      <c r="AJ1003" s="196"/>
    </row>
    <row r="1004" spans="2:36">
      <c r="B1004" s="166"/>
      <c r="C1004" s="167"/>
      <c r="D1004" s="171"/>
      <c r="E1004" s="171"/>
      <c r="F1004" s="171"/>
      <c r="G1004" s="172"/>
      <c r="H1004" s="173"/>
      <c r="I1004" s="193"/>
      <c r="J1004" s="171"/>
      <c r="K1004" s="194"/>
      <c r="L1004" s="173"/>
      <c r="M1004" s="171"/>
      <c r="N1004" s="171"/>
      <c r="O1004" s="194"/>
      <c r="P1004" s="195"/>
      <c r="Q1004" s="171"/>
      <c r="R1004" s="171"/>
      <c r="S1004" s="194"/>
      <c r="T1004" s="195"/>
      <c r="U1004" s="171"/>
      <c r="V1004" s="171"/>
      <c r="W1004" s="194"/>
      <c r="X1004" s="195"/>
      <c r="Y1004" s="171"/>
      <c r="Z1004" s="171"/>
      <c r="AA1004" s="194"/>
      <c r="AB1004" s="195"/>
      <c r="AC1004" s="171"/>
      <c r="AD1004" s="171"/>
      <c r="AE1004" s="194"/>
      <c r="AF1004" s="195"/>
      <c r="AG1004" s="171"/>
      <c r="AH1004" s="171"/>
      <c r="AI1004" s="194"/>
      <c r="AJ1004" s="196"/>
    </row>
    <row r="1005" spans="2:36">
      <c r="B1005" s="166"/>
      <c r="C1005" s="167"/>
      <c r="D1005" s="171"/>
      <c r="E1005" s="171"/>
      <c r="F1005" s="171"/>
      <c r="G1005" s="172"/>
      <c r="H1005" s="173"/>
      <c r="I1005" s="193"/>
      <c r="J1005" s="171"/>
      <c r="K1005" s="194"/>
      <c r="L1005" s="173"/>
      <c r="M1005" s="171"/>
      <c r="N1005" s="171"/>
      <c r="O1005" s="194"/>
      <c r="P1005" s="195"/>
      <c r="Q1005" s="171"/>
      <c r="R1005" s="171"/>
      <c r="S1005" s="194"/>
      <c r="T1005" s="195"/>
      <c r="U1005" s="171"/>
      <c r="V1005" s="171"/>
      <c r="W1005" s="194"/>
      <c r="X1005" s="195"/>
      <c r="Y1005" s="171"/>
      <c r="Z1005" s="171"/>
      <c r="AA1005" s="194"/>
      <c r="AB1005" s="195"/>
      <c r="AC1005" s="171"/>
      <c r="AD1005" s="171"/>
      <c r="AE1005" s="194"/>
      <c r="AF1005" s="195"/>
      <c r="AG1005" s="171"/>
      <c r="AH1005" s="171"/>
      <c r="AI1005" s="194"/>
      <c r="AJ1005" s="196"/>
    </row>
    <row r="1006" spans="2:36">
      <c r="B1006" s="166"/>
      <c r="C1006" s="167"/>
      <c r="D1006" s="171"/>
      <c r="E1006" s="171"/>
      <c r="F1006" s="171"/>
      <c r="G1006" s="172"/>
      <c r="H1006" s="173"/>
      <c r="I1006" s="193"/>
      <c r="J1006" s="171"/>
      <c r="K1006" s="194"/>
      <c r="L1006" s="173"/>
      <c r="M1006" s="171"/>
      <c r="N1006" s="171"/>
      <c r="O1006" s="194"/>
      <c r="P1006" s="195"/>
      <c r="Q1006" s="171"/>
      <c r="R1006" s="171"/>
      <c r="S1006" s="194"/>
      <c r="T1006" s="195"/>
      <c r="U1006" s="171"/>
      <c r="V1006" s="171"/>
      <c r="W1006" s="194"/>
      <c r="X1006" s="195"/>
      <c r="Y1006" s="171"/>
      <c r="Z1006" s="171"/>
      <c r="AA1006" s="194"/>
      <c r="AB1006" s="195"/>
      <c r="AC1006" s="171"/>
      <c r="AD1006" s="171"/>
      <c r="AE1006" s="194"/>
      <c r="AF1006" s="195"/>
      <c r="AG1006" s="171"/>
      <c r="AH1006" s="171"/>
      <c r="AI1006" s="194"/>
      <c r="AJ1006" s="196"/>
    </row>
    <row r="1007" spans="2:36">
      <c r="B1007" s="166"/>
      <c r="C1007" s="167"/>
      <c r="D1007" s="171"/>
      <c r="E1007" s="171"/>
      <c r="F1007" s="171"/>
      <c r="G1007" s="172"/>
      <c r="H1007" s="173"/>
      <c r="I1007" s="193"/>
      <c r="J1007" s="171"/>
      <c r="K1007" s="194"/>
      <c r="L1007" s="173"/>
      <c r="M1007" s="171"/>
      <c r="N1007" s="171"/>
      <c r="O1007" s="194"/>
      <c r="P1007" s="195"/>
      <c r="Q1007" s="171"/>
      <c r="R1007" s="171"/>
      <c r="S1007" s="194"/>
      <c r="T1007" s="195"/>
      <c r="U1007" s="171"/>
      <c r="V1007" s="171"/>
      <c r="W1007" s="194"/>
      <c r="X1007" s="195"/>
      <c r="Y1007" s="171"/>
      <c r="Z1007" s="171"/>
      <c r="AA1007" s="194"/>
      <c r="AB1007" s="195"/>
      <c r="AC1007" s="171"/>
      <c r="AD1007" s="171"/>
      <c r="AE1007" s="194"/>
      <c r="AF1007" s="195"/>
      <c r="AG1007" s="171"/>
      <c r="AH1007" s="171"/>
      <c r="AI1007" s="194"/>
      <c r="AJ1007" s="196"/>
    </row>
    <row r="1008" spans="2:36">
      <c r="B1008" s="166"/>
      <c r="C1008" s="167"/>
      <c r="D1008" s="171"/>
      <c r="E1008" s="171"/>
      <c r="F1008" s="171"/>
      <c r="G1008" s="172"/>
      <c r="H1008" s="173"/>
      <c r="I1008" s="193"/>
      <c r="J1008" s="171"/>
      <c r="K1008" s="194"/>
      <c r="L1008" s="173"/>
      <c r="M1008" s="171"/>
      <c r="N1008" s="171"/>
      <c r="O1008" s="194"/>
      <c r="P1008" s="195"/>
      <c r="Q1008" s="171"/>
      <c r="R1008" s="171"/>
      <c r="S1008" s="194"/>
      <c r="T1008" s="195"/>
      <c r="U1008" s="171"/>
      <c r="V1008" s="171"/>
      <c r="W1008" s="194"/>
      <c r="X1008" s="195"/>
      <c r="Y1008" s="171"/>
      <c r="Z1008" s="171"/>
      <c r="AA1008" s="194"/>
      <c r="AB1008" s="195"/>
      <c r="AC1008" s="171"/>
      <c r="AD1008" s="171"/>
      <c r="AE1008" s="194"/>
      <c r="AF1008" s="195"/>
      <c r="AG1008" s="171"/>
      <c r="AH1008" s="171"/>
      <c r="AI1008" s="194"/>
      <c r="AJ1008" s="196"/>
    </row>
    <row r="1009" spans="2:36">
      <c r="B1009" s="166"/>
      <c r="C1009" s="167"/>
      <c r="D1009" s="171"/>
      <c r="E1009" s="171"/>
      <c r="F1009" s="171"/>
      <c r="G1009" s="172"/>
      <c r="H1009" s="173"/>
      <c r="I1009" s="193"/>
      <c r="J1009" s="171"/>
      <c r="K1009" s="194"/>
      <c r="L1009" s="173"/>
      <c r="M1009" s="171"/>
      <c r="N1009" s="171"/>
      <c r="O1009" s="194"/>
      <c r="P1009" s="195"/>
      <c r="Q1009" s="171"/>
      <c r="R1009" s="171"/>
      <c r="S1009" s="194"/>
      <c r="T1009" s="195"/>
      <c r="U1009" s="171"/>
      <c r="V1009" s="171"/>
      <c r="W1009" s="194"/>
      <c r="X1009" s="195"/>
      <c r="Y1009" s="171"/>
      <c r="Z1009" s="171"/>
      <c r="AA1009" s="194"/>
      <c r="AB1009" s="195"/>
      <c r="AC1009" s="171"/>
      <c r="AD1009" s="171"/>
      <c r="AE1009" s="194"/>
      <c r="AF1009" s="195"/>
      <c r="AG1009" s="171"/>
      <c r="AH1009" s="171"/>
      <c r="AI1009" s="194"/>
      <c r="AJ1009" s="196"/>
    </row>
    <row r="1010" spans="2:36">
      <c r="B1010" s="166"/>
      <c r="C1010" s="167"/>
      <c r="D1010" s="171"/>
      <c r="E1010" s="171"/>
      <c r="F1010" s="171"/>
      <c r="G1010" s="172"/>
      <c r="H1010" s="173"/>
      <c r="I1010" s="193"/>
      <c r="J1010" s="171"/>
      <c r="K1010" s="194"/>
      <c r="L1010" s="173"/>
      <c r="M1010" s="171"/>
      <c r="N1010" s="171"/>
      <c r="O1010" s="194"/>
      <c r="P1010" s="195"/>
      <c r="Q1010" s="171"/>
      <c r="R1010" s="171"/>
      <c r="S1010" s="194"/>
      <c r="T1010" s="195"/>
      <c r="U1010" s="171"/>
      <c r="V1010" s="171"/>
      <c r="W1010" s="194"/>
      <c r="X1010" s="195"/>
      <c r="Y1010" s="171"/>
      <c r="Z1010" s="171"/>
      <c r="AA1010" s="194"/>
      <c r="AB1010" s="195"/>
      <c r="AC1010" s="171"/>
      <c r="AD1010" s="171"/>
      <c r="AE1010" s="194"/>
      <c r="AF1010" s="195"/>
      <c r="AG1010" s="171"/>
      <c r="AH1010" s="171"/>
      <c r="AI1010" s="194"/>
      <c r="AJ1010" s="196"/>
    </row>
    <row r="1011" spans="2:36">
      <c r="B1011" s="166"/>
      <c r="C1011" s="167"/>
      <c r="D1011" s="171"/>
      <c r="E1011" s="171"/>
      <c r="F1011" s="171"/>
      <c r="G1011" s="172"/>
      <c r="H1011" s="173"/>
      <c r="I1011" s="193"/>
      <c r="J1011" s="171"/>
      <c r="K1011" s="194"/>
      <c r="L1011" s="173"/>
      <c r="M1011" s="171"/>
      <c r="N1011" s="171"/>
      <c r="O1011" s="194"/>
      <c r="P1011" s="195"/>
      <c r="Q1011" s="171"/>
      <c r="R1011" s="171"/>
      <c r="S1011" s="194"/>
      <c r="T1011" s="195"/>
      <c r="U1011" s="171"/>
      <c r="V1011" s="171"/>
      <c r="W1011" s="194"/>
      <c r="X1011" s="195"/>
      <c r="Y1011" s="171"/>
      <c r="Z1011" s="171"/>
      <c r="AA1011" s="194"/>
      <c r="AB1011" s="195"/>
      <c r="AC1011" s="171"/>
      <c r="AD1011" s="171"/>
      <c r="AE1011" s="194"/>
      <c r="AF1011" s="195"/>
      <c r="AG1011" s="171"/>
      <c r="AH1011" s="171"/>
      <c r="AI1011" s="194"/>
      <c r="AJ1011" s="196"/>
    </row>
    <row r="1012" spans="2:36">
      <c r="B1012" s="166"/>
      <c r="C1012" s="167"/>
      <c r="D1012" s="171"/>
      <c r="E1012" s="171"/>
      <c r="F1012" s="171"/>
      <c r="G1012" s="172"/>
      <c r="H1012" s="173"/>
      <c r="I1012" s="193"/>
      <c r="J1012" s="171"/>
      <c r="K1012" s="194"/>
      <c r="L1012" s="173"/>
      <c r="M1012" s="171"/>
      <c r="N1012" s="171"/>
      <c r="O1012" s="194"/>
      <c r="P1012" s="195"/>
      <c r="Q1012" s="171"/>
      <c r="R1012" s="171"/>
      <c r="S1012" s="194"/>
      <c r="T1012" s="195"/>
      <c r="U1012" s="171"/>
      <c r="V1012" s="171"/>
      <c r="W1012" s="194"/>
      <c r="X1012" s="195"/>
      <c r="Y1012" s="171"/>
      <c r="Z1012" s="171"/>
      <c r="AA1012" s="194"/>
      <c r="AB1012" s="195"/>
      <c r="AC1012" s="171"/>
      <c r="AD1012" s="171"/>
      <c r="AE1012" s="194"/>
      <c r="AF1012" s="195"/>
      <c r="AG1012" s="171"/>
      <c r="AH1012" s="171"/>
      <c r="AI1012" s="194"/>
      <c r="AJ1012" s="196"/>
    </row>
    <row r="1013" spans="2:36">
      <c r="B1013" s="166"/>
      <c r="C1013" s="167"/>
      <c r="D1013" s="171"/>
      <c r="E1013" s="171"/>
      <c r="F1013" s="171"/>
      <c r="G1013" s="172"/>
      <c r="H1013" s="173"/>
      <c r="I1013" s="193"/>
      <c r="J1013" s="171"/>
      <c r="K1013" s="194"/>
      <c r="L1013" s="173"/>
      <c r="M1013" s="171"/>
      <c r="N1013" s="171"/>
      <c r="O1013" s="194"/>
      <c r="P1013" s="195"/>
      <c r="Q1013" s="171"/>
      <c r="R1013" s="171"/>
      <c r="S1013" s="194"/>
      <c r="T1013" s="195"/>
      <c r="U1013" s="171"/>
      <c r="V1013" s="171"/>
      <c r="W1013" s="194"/>
      <c r="X1013" s="195"/>
      <c r="Y1013" s="171"/>
      <c r="Z1013" s="171"/>
      <c r="AA1013" s="194"/>
      <c r="AB1013" s="195"/>
      <c r="AC1013" s="171"/>
      <c r="AD1013" s="171"/>
      <c r="AE1013" s="194"/>
      <c r="AF1013" s="195"/>
      <c r="AG1013" s="171"/>
      <c r="AH1013" s="171"/>
      <c r="AI1013" s="194"/>
      <c r="AJ1013" s="196"/>
    </row>
    <row r="1014" spans="2:36">
      <c r="B1014" s="166"/>
      <c r="C1014" s="167"/>
      <c r="D1014" s="171"/>
      <c r="E1014" s="171"/>
      <c r="F1014" s="171"/>
      <c r="G1014" s="172"/>
      <c r="H1014" s="173"/>
      <c r="I1014" s="193"/>
      <c r="J1014" s="171"/>
      <c r="K1014" s="194"/>
      <c r="L1014" s="173"/>
      <c r="M1014" s="171"/>
      <c r="N1014" s="171"/>
      <c r="O1014" s="194"/>
      <c r="P1014" s="195"/>
      <c r="Q1014" s="171"/>
      <c r="R1014" s="171"/>
      <c r="S1014" s="194"/>
      <c r="T1014" s="195"/>
      <c r="U1014" s="171"/>
      <c r="V1014" s="171"/>
      <c r="W1014" s="194"/>
      <c r="X1014" s="195"/>
      <c r="Y1014" s="171"/>
      <c r="Z1014" s="171"/>
      <c r="AA1014" s="194"/>
      <c r="AB1014" s="195"/>
      <c r="AC1014" s="171"/>
      <c r="AD1014" s="171"/>
      <c r="AE1014" s="194"/>
      <c r="AF1014" s="195"/>
      <c r="AG1014" s="171"/>
      <c r="AH1014" s="171"/>
      <c r="AI1014" s="194"/>
      <c r="AJ1014" s="196"/>
    </row>
    <row r="1015" spans="2:36">
      <c r="B1015" s="166"/>
      <c r="C1015" s="167"/>
      <c r="D1015" s="171"/>
      <c r="E1015" s="171"/>
      <c r="F1015" s="171"/>
      <c r="G1015" s="172"/>
      <c r="H1015" s="173"/>
      <c r="I1015" s="193"/>
      <c r="J1015" s="171"/>
      <c r="K1015" s="194"/>
      <c r="L1015" s="173"/>
      <c r="M1015" s="171"/>
      <c r="N1015" s="171"/>
      <c r="O1015" s="194"/>
      <c r="P1015" s="195"/>
      <c r="Q1015" s="171"/>
      <c r="R1015" s="171"/>
      <c r="S1015" s="194"/>
      <c r="T1015" s="195"/>
      <c r="U1015" s="171"/>
      <c r="V1015" s="171"/>
      <c r="W1015" s="194"/>
      <c r="X1015" s="195"/>
      <c r="Y1015" s="171"/>
      <c r="Z1015" s="171"/>
      <c r="AA1015" s="194"/>
      <c r="AB1015" s="195"/>
      <c r="AC1015" s="171"/>
      <c r="AD1015" s="171"/>
      <c r="AE1015" s="194"/>
      <c r="AF1015" s="195"/>
      <c r="AG1015" s="171"/>
      <c r="AH1015" s="171"/>
      <c r="AI1015" s="194"/>
      <c r="AJ1015" s="196"/>
    </row>
    <row r="1016" spans="2:36">
      <c r="B1016" s="166"/>
      <c r="C1016" s="167"/>
      <c r="D1016" s="171"/>
      <c r="E1016" s="171"/>
      <c r="F1016" s="171"/>
      <c r="G1016" s="172"/>
      <c r="H1016" s="173"/>
      <c r="I1016" s="193"/>
      <c r="J1016" s="171"/>
      <c r="K1016" s="194"/>
      <c r="L1016" s="173"/>
      <c r="M1016" s="171"/>
      <c r="N1016" s="171"/>
      <c r="O1016" s="194"/>
      <c r="P1016" s="195"/>
      <c r="Q1016" s="171"/>
      <c r="R1016" s="171"/>
      <c r="S1016" s="194"/>
      <c r="T1016" s="195"/>
      <c r="U1016" s="171"/>
      <c r="V1016" s="171"/>
      <c r="W1016" s="194"/>
      <c r="X1016" s="195"/>
      <c r="Y1016" s="171"/>
      <c r="Z1016" s="171"/>
      <c r="AA1016" s="194"/>
      <c r="AB1016" s="195"/>
      <c r="AC1016" s="171"/>
      <c r="AD1016" s="171"/>
      <c r="AE1016" s="194"/>
      <c r="AF1016" s="195"/>
      <c r="AG1016" s="171"/>
      <c r="AH1016" s="171"/>
      <c r="AI1016" s="194"/>
      <c r="AJ1016" s="196"/>
    </row>
    <row r="1017" spans="2:36">
      <c r="B1017" s="166"/>
      <c r="C1017" s="167"/>
      <c r="D1017" s="171"/>
      <c r="E1017" s="171"/>
      <c r="F1017" s="171"/>
      <c r="G1017" s="172"/>
      <c r="H1017" s="173"/>
      <c r="I1017" s="193"/>
      <c r="J1017" s="171"/>
      <c r="K1017" s="194"/>
      <c r="L1017" s="173"/>
      <c r="M1017" s="171"/>
      <c r="N1017" s="171"/>
      <c r="O1017" s="194"/>
      <c r="P1017" s="195"/>
      <c r="Q1017" s="171"/>
      <c r="R1017" s="171"/>
      <c r="S1017" s="194"/>
      <c r="T1017" s="195"/>
      <c r="U1017" s="171"/>
      <c r="V1017" s="171"/>
      <c r="W1017" s="194"/>
      <c r="X1017" s="195"/>
      <c r="Y1017" s="171"/>
      <c r="Z1017" s="171"/>
      <c r="AA1017" s="194"/>
      <c r="AB1017" s="195"/>
      <c r="AC1017" s="171"/>
      <c r="AD1017" s="171"/>
      <c r="AE1017" s="194"/>
      <c r="AF1017" s="195"/>
      <c r="AG1017" s="171"/>
      <c r="AH1017" s="171"/>
      <c r="AI1017" s="194"/>
      <c r="AJ1017" s="196"/>
    </row>
    <row r="1018" spans="2:36">
      <c r="B1018" s="166"/>
      <c r="C1018" s="167"/>
      <c r="D1018" s="171"/>
      <c r="E1018" s="171"/>
      <c r="F1018" s="171"/>
      <c r="G1018" s="172"/>
      <c r="H1018" s="173"/>
      <c r="I1018" s="193"/>
      <c r="J1018" s="171"/>
      <c r="K1018" s="194"/>
      <c r="L1018" s="173"/>
      <c r="M1018" s="171"/>
      <c r="N1018" s="171"/>
      <c r="O1018" s="194"/>
      <c r="P1018" s="195"/>
      <c r="Q1018" s="171"/>
      <c r="R1018" s="171"/>
      <c r="S1018" s="194"/>
      <c r="T1018" s="195"/>
      <c r="U1018" s="171"/>
      <c r="V1018" s="171"/>
      <c r="W1018" s="194"/>
      <c r="X1018" s="195"/>
      <c r="Y1018" s="171"/>
      <c r="Z1018" s="171"/>
      <c r="AA1018" s="194"/>
      <c r="AB1018" s="195"/>
      <c r="AC1018" s="171"/>
      <c r="AD1018" s="171"/>
      <c r="AE1018" s="194"/>
      <c r="AF1018" s="195"/>
      <c r="AG1018" s="171"/>
      <c r="AH1018" s="171"/>
      <c r="AI1018" s="194"/>
      <c r="AJ1018" s="196"/>
    </row>
    <row r="1019" spans="2:36">
      <c r="B1019" s="166"/>
      <c r="C1019" s="167"/>
      <c r="D1019" s="171"/>
      <c r="E1019" s="171"/>
      <c r="F1019" s="171"/>
      <c r="G1019" s="172"/>
      <c r="H1019" s="173"/>
      <c r="I1019" s="193"/>
      <c r="J1019" s="171"/>
      <c r="K1019" s="194"/>
      <c r="L1019" s="173"/>
      <c r="M1019" s="171"/>
      <c r="N1019" s="171"/>
      <c r="O1019" s="194"/>
      <c r="P1019" s="195"/>
      <c r="Q1019" s="171"/>
      <c r="R1019" s="171"/>
      <c r="S1019" s="194"/>
      <c r="T1019" s="195"/>
      <c r="U1019" s="171"/>
      <c r="V1019" s="171"/>
      <c r="W1019" s="194"/>
      <c r="X1019" s="195"/>
      <c r="Y1019" s="171"/>
      <c r="Z1019" s="171"/>
      <c r="AA1019" s="194"/>
      <c r="AB1019" s="195"/>
      <c r="AC1019" s="171"/>
      <c r="AD1019" s="171"/>
      <c r="AE1019" s="194"/>
      <c r="AF1019" s="195"/>
      <c r="AG1019" s="171"/>
      <c r="AH1019" s="171"/>
      <c r="AI1019" s="194"/>
      <c r="AJ1019" s="196"/>
    </row>
    <row r="1020" spans="2:36">
      <c r="B1020" s="166"/>
      <c r="C1020" s="167"/>
      <c r="D1020" s="171"/>
      <c r="E1020" s="171"/>
      <c r="F1020" s="171"/>
      <c r="G1020" s="172"/>
      <c r="H1020" s="173"/>
      <c r="I1020" s="193"/>
      <c r="J1020" s="171"/>
      <c r="K1020" s="194"/>
      <c r="L1020" s="173"/>
      <c r="M1020" s="171"/>
      <c r="N1020" s="171"/>
      <c r="O1020" s="194"/>
      <c r="P1020" s="195"/>
      <c r="Q1020" s="171"/>
      <c r="R1020" s="171"/>
      <c r="S1020" s="194"/>
      <c r="T1020" s="195"/>
      <c r="U1020" s="171"/>
      <c r="V1020" s="171"/>
      <c r="W1020" s="194"/>
      <c r="X1020" s="195"/>
      <c r="Y1020" s="171"/>
      <c r="Z1020" s="171"/>
      <c r="AA1020" s="194"/>
      <c r="AB1020" s="195"/>
      <c r="AC1020" s="171"/>
      <c r="AD1020" s="171"/>
      <c r="AE1020" s="194"/>
      <c r="AF1020" s="195"/>
      <c r="AG1020" s="171"/>
      <c r="AH1020" s="171"/>
      <c r="AI1020" s="194"/>
      <c r="AJ1020" s="196"/>
    </row>
    <row r="1021" spans="2:36">
      <c r="B1021" s="166"/>
      <c r="C1021" s="167"/>
      <c r="D1021" s="171"/>
      <c r="E1021" s="171"/>
      <c r="F1021" s="171"/>
      <c r="G1021" s="172"/>
      <c r="H1021" s="173"/>
      <c r="I1021" s="193"/>
      <c r="J1021" s="171"/>
      <c r="K1021" s="194"/>
      <c r="L1021" s="173"/>
      <c r="M1021" s="171"/>
      <c r="N1021" s="171"/>
      <c r="O1021" s="194"/>
      <c r="P1021" s="195"/>
      <c r="Q1021" s="171"/>
      <c r="R1021" s="171"/>
      <c r="S1021" s="194"/>
      <c r="T1021" s="195"/>
      <c r="U1021" s="171"/>
      <c r="V1021" s="171"/>
      <c r="W1021" s="194"/>
      <c r="X1021" s="195"/>
      <c r="Y1021" s="171"/>
      <c r="Z1021" s="171"/>
      <c r="AA1021" s="194"/>
      <c r="AB1021" s="195"/>
      <c r="AC1021" s="171"/>
      <c r="AD1021" s="171"/>
      <c r="AE1021" s="194"/>
      <c r="AF1021" s="195"/>
      <c r="AG1021" s="171"/>
      <c r="AH1021" s="171"/>
      <c r="AI1021" s="194"/>
      <c r="AJ1021" s="196"/>
    </row>
    <row r="1022" spans="2:36">
      <c r="B1022" s="166"/>
      <c r="C1022" s="167"/>
      <c r="D1022" s="171"/>
      <c r="E1022" s="171"/>
      <c r="F1022" s="171"/>
      <c r="G1022" s="172"/>
      <c r="H1022" s="173"/>
      <c r="I1022" s="193"/>
      <c r="J1022" s="171"/>
      <c r="K1022" s="194"/>
      <c r="L1022" s="173"/>
      <c r="M1022" s="171"/>
      <c r="N1022" s="171"/>
      <c r="O1022" s="194"/>
      <c r="P1022" s="195"/>
      <c r="Q1022" s="171"/>
      <c r="R1022" s="171"/>
      <c r="S1022" s="194"/>
      <c r="T1022" s="195"/>
      <c r="U1022" s="171"/>
      <c r="V1022" s="171"/>
      <c r="W1022" s="194"/>
      <c r="X1022" s="195"/>
      <c r="Y1022" s="171"/>
      <c r="Z1022" s="171"/>
      <c r="AA1022" s="194"/>
      <c r="AB1022" s="195"/>
      <c r="AC1022" s="171"/>
      <c r="AD1022" s="171"/>
      <c r="AE1022" s="194"/>
      <c r="AF1022" s="195"/>
      <c r="AG1022" s="171"/>
      <c r="AH1022" s="171"/>
      <c r="AI1022" s="194"/>
      <c r="AJ1022" s="196"/>
    </row>
    <row r="1023" spans="2:36">
      <c r="B1023" s="166"/>
      <c r="C1023" s="167"/>
      <c r="D1023" s="171"/>
      <c r="E1023" s="171"/>
      <c r="F1023" s="171"/>
      <c r="G1023" s="172"/>
      <c r="H1023" s="173"/>
      <c r="I1023" s="193"/>
      <c r="J1023" s="171"/>
      <c r="K1023" s="194"/>
      <c r="L1023" s="173"/>
      <c r="M1023" s="171"/>
      <c r="N1023" s="171"/>
      <c r="O1023" s="194"/>
      <c r="P1023" s="195"/>
      <c r="Q1023" s="171"/>
      <c r="R1023" s="171"/>
      <c r="S1023" s="194"/>
      <c r="T1023" s="195"/>
      <c r="U1023" s="171"/>
      <c r="V1023" s="171"/>
      <c r="W1023" s="194"/>
      <c r="X1023" s="195"/>
      <c r="Y1023" s="171"/>
      <c r="Z1023" s="171"/>
      <c r="AA1023" s="194"/>
      <c r="AB1023" s="195"/>
      <c r="AC1023" s="171"/>
      <c r="AD1023" s="171"/>
      <c r="AE1023" s="194"/>
      <c r="AF1023" s="195"/>
      <c r="AG1023" s="171"/>
      <c r="AH1023" s="171"/>
      <c r="AI1023" s="194"/>
      <c r="AJ1023" s="196"/>
    </row>
    <row r="1024" spans="2:36">
      <c r="B1024" s="166"/>
      <c r="C1024" s="167"/>
      <c r="D1024" s="171"/>
      <c r="E1024" s="171"/>
      <c r="F1024" s="171"/>
      <c r="G1024" s="172"/>
      <c r="H1024" s="173"/>
      <c r="I1024" s="193"/>
      <c r="J1024" s="171"/>
      <c r="K1024" s="194"/>
      <c r="L1024" s="173"/>
      <c r="M1024" s="171"/>
      <c r="N1024" s="171"/>
      <c r="O1024" s="194"/>
      <c r="P1024" s="195"/>
      <c r="Q1024" s="171"/>
      <c r="R1024" s="171"/>
      <c r="S1024" s="194"/>
      <c r="T1024" s="195"/>
      <c r="U1024" s="171"/>
      <c r="V1024" s="171"/>
      <c r="W1024" s="194"/>
      <c r="X1024" s="195"/>
      <c r="Y1024" s="171"/>
      <c r="Z1024" s="171"/>
      <c r="AA1024" s="194"/>
      <c r="AB1024" s="195"/>
      <c r="AC1024" s="171"/>
      <c r="AD1024" s="171"/>
      <c r="AE1024" s="194"/>
      <c r="AF1024" s="195"/>
      <c r="AG1024" s="171"/>
      <c r="AH1024" s="171"/>
      <c r="AI1024" s="194"/>
      <c r="AJ1024" s="196"/>
    </row>
    <row r="1025" spans="2:36">
      <c r="B1025" s="166"/>
      <c r="C1025" s="167"/>
      <c r="D1025" s="171"/>
      <c r="E1025" s="171"/>
      <c r="F1025" s="171"/>
      <c r="G1025" s="172"/>
      <c r="H1025" s="173"/>
      <c r="I1025" s="193"/>
      <c r="J1025" s="171"/>
      <c r="K1025" s="194"/>
      <c r="L1025" s="173"/>
      <c r="M1025" s="171"/>
      <c r="N1025" s="171"/>
      <c r="O1025" s="194"/>
      <c r="P1025" s="195"/>
      <c r="Q1025" s="171"/>
      <c r="R1025" s="171"/>
      <c r="S1025" s="194"/>
      <c r="T1025" s="195"/>
      <c r="U1025" s="171"/>
      <c r="V1025" s="171"/>
      <c r="W1025" s="194"/>
      <c r="X1025" s="195"/>
      <c r="Y1025" s="171"/>
      <c r="Z1025" s="171"/>
      <c r="AA1025" s="194"/>
      <c r="AB1025" s="195"/>
      <c r="AC1025" s="171"/>
      <c r="AD1025" s="171"/>
      <c r="AE1025" s="194"/>
      <c r="AF1025" s="195"/>
      <c r="AG1025" s="171"/>
      <c r="AH1025" s="171"/>
      <c r="AI1025" s="194"/>
      <c r="AJ1025" s="196"/>
    </row>
    <row r="1026" spans="2:36">
      <c r="B1026" s="166"/>
      <c r="C1026" s="167"/>
      <c r="D1026" s="171"/>
      <c r="E1026" s="171"/>
      <c r="F1026" s="171"/>
      <c r="G1026" s="172"/>
      <c r="H1026" s="173"/>
      <c r="I1026" s="193"/>
      <c r="J1026" s="171"/>
      <c r="K1026" s="194"/>
      <c r="L1026" s="173"/>
      <c r="M1026" s="171"/>
      <c r="N1026" s="171"/>
      <c r="O1026" s="194"/>
      <c r="P1026" s="195"/>
      <c r="Q1026" s="171"/>
      <c r="R1026" s="171"/>
      <c r="S1026" s="194"/>
      <c r="T1026" s="195"/>
      <c r="U1026" s="171"/>
      <c r="V1026" s="171"/>
      <c r="W1026" s="194"/>
      <c r="X1026" s="195"/>
      <c r="Y1026" s="171"/>
      <c r="Z1026" s="171"/>
      <c r="AA1026" s="194"/>
      <c r="AB1026" s="195"/>
      <c r="AC1026" s="171"/>
      <c r="AD1026" s="171"/>
      <c r="AE1026" s="194"/>
      <c r="AF1026" s="195"/>
      <c r="AG1026" s="171"/>
      <c r="AH1026" s="171"/>
      <c r="AI1026" s="194"/>
      <c r="AJ1026" s="196"/>
    </row>
    <row r="1027" spans="2:36">
      <c r="B1027" s="166"/>
      <c r="C1027" s="167"/>
      <c r="D1027" s="171"/>
      <c r="E1027" s="171"/>
      <c r="F1027" s="171"/>
      <c r="G1027" s="172"/>
      <c r="H1027" s="173"/>
      <c r="I1027" s="193"/>
      <c r="J1027" s="171"/>
      <c r="K1027" s="194"/>
      <c r="L1027" s="173"/>
      <c r="M1027" s="171"/>
      <c r="N1027" s="171"/>
      <c r="O1027" s="194"/>
      <c r="P1027" s="195"/>
      <c r="Q1027" s="171"/>
      <c r="R1027" s="171"/>
      <c r="S1027" s="194"/>
      <c r="T1027" s="195"/>
      <c r="U1027" s="171"/>
      <c r="V1027" s="171"/>
      <c r="W1027" s="194"/>
      <c r="X1027" s="195"/>
      <c r="Y1027" s="171"/>
      <c r="Z1027" s="171"/>
      <c r="AA1027" s="194"/>
      <c r="AB1027" s="195"/>
      <c r="AC1027" s="171"/>
      <c r="AD1027" s="171"/>
      <c r="AE1027" s="194"/>
      <c r="AF1027" s="195"/>
      <c r="AG1027" s="171"/>
      <c r="AH1027" s="171"/>
      <c r="AI1027" s="194"/>
      <c r="AJ1027" s="196"/>
    </row>
    <row r="1028" spans="2:36">
      <c r="B1028" s="166"/>
      <c r="C1028" s="167"/>
      <c r="D1028" s="171"/>
      <c r="E1028" s="171"/>
      <c r="F1028" s="171"/>
      <c r="G1028" s="172"/>
      <c r="H1028" s="173"/>
      <c r="I1028" s="193"/>
      <c r="J1028" s="171"/>
      <c r="K1028" s="194"/>
      <c r="L1028" s="173"/>
      <c r="M1028" s="171"/>
      <c r="N1028" s="171"/>
      <c r="O1028" s="194"/>
      <c r="P1028" s="195"/>
      <c r="Q1028" s="171"/>
      <c r="R1028" s="171"/>
      <c r="S1028" s="194"/>
      <c r="T1028" s="195"/>
      <c r="U1028" s="171"/>
      <c r="V1028" s="171"/>
      <c r="W1028" s="194"/>
      <c r="X1028" s="195"/>
      <c r="Y1028" s="171"/>
      <c r="Z1028" s="171"/>
      <c r="AA1028" s="194"/>
      <c r="AB1028" s="195"/>
      <c r="AC1028" s="171"/>
      <c r="AD1028" s="171"/>
      <c r="AE1028" s="194"/>
      <c r="AF1028" s="195"/>
      <c r="AG1028" s="171"/>
      <c r="AH1028" s="171"/>
      <c r="AI1028" s="194"/>
      <c r="AJ1028" s="196"/>
    </row>
    <row r="1029" spans="2:36">
      <c r="B1029" s="166"/>
      <c r="C1029" s="167"/>
      <c r="D1029" s="171"/>
      <c r="E1029" s="171"/>
      <c r="F1029" s="171"/>
      <c r="G1029" s="172"/>
      <c r="H1029" s="173"/>
      <c r="I1029" s="193"/>
      <c r="J1029" s="171"/>
      <c r="K1029" s="194"/>
      <c r="L1029" s="173"/>
      <c r="M1029" s="171"/>
      <c r="N1029" s="171"/>
      <c r="O1029" s="194"/>
      <c r="P1029" s="195"/>
      <c r="Q1029" s="171"/>
      <c r="R1029" s="171"/>
      <c r="S1029" s="194"/>
      <c r="T1029" s="195"/>
      <c r="U1029" s="171"/>
      <c r="V1029" s="171"/>
      <c r="W1029" s="194"/>
      <c r="X1029" s="195"/>
      <c r="Y1029" s="171"/>
      <c r="Z1029" s="171"/>
      <c r="AA1029" s="194"/>
      <c r="AB1029" s="195"/>
      <c r="AC1029" s="171"/>
      <c r="AD1029" s="171"/>
      <c r="AE1029" s="194"/>
      <c r="AF1029" s="195"/>
      <c r="AG1029" s="171"/>
      <c r="AH1029" s="171"/>
      <c r="AI1029" s="194"/>
      <c r="AJ1029" s="196"/>
    </row>
    <row r="1030" spans="2:36">
      <c r="B1030" s="166"/>
      <c r="C1030" s="167"/>
      <c r="D1030" s="171"/>
      <c r="E1030" s="171"/>
      <c r="F1030" s="171"/>
      <c r="G1030" s="172"/>
      <c r="H1030" s="173"/>
      <c r="I1030" s="193"/>
      <c r="J1030" s="171"/>
      <c r="K1030" s="194"/>
      <c r="L1030" s="173"/>
      <c r="M1030" s="171"/>
      <c r="N1030" s="171"/>
      <c r="O1030" s="194"/>
      <c r="P1030" s="195"/>
      <c r="Q1030" s="171"/>
      <c r="R1030" s="171"/>
      <c r="S1030" s="194"/>
      <c r="T1030" s="195"/>
      <c r="U1030" s="171"/>
      <c r="V1030" s="171"/>
      <c r="W1030" s="194"/>
      <c r="X1030" s="195"/>
      <c r="Y1030" s="171"/>
      <c r="Z1030" s="171"/>
      <c r="AA1030" s="194"/>
      <c r="AB1030" s="195"/>
      <c r="AC1030" s="171"/>
      <c r="AD1030" s="171"/>
      <c r="AE1030" s="194"/>
      <c r="AF1030" s="195"/>
      <c r="AG1030" s="171"/>
      <c r="AH1030" s="171"/>
      <c r="AI1030" s="194"/>
      <c r="AJ1030" s="196"/>
    </row>
    <row r="1031" spans="2:36">
      <c r="B1031" s="166"/>
      <c r="C1031" s="167"/>
      <c r="D1031" s="171"/>
      <c r="E1031" s="171"/>
      <c r="F1031" s="171"/>
      <c r="G1031" s="172"/>
      <c r="H1031" s="173"/>
      <c r="I1031" s="193"/>
      <c r="J1031" s="171"/>
      <c r="K1031" s="194"/>
      <c r="L1031" s="173"/>
      <c r="M1031" s="171"/>
      <c r="N1031" s="171"/>
      <c r="O1031" s="194"/>
      <c r="P1031" s="195"/>
      <c r="Q1031" s="171"/>
      <c r="R1031" s="171"/>
      <c r="S1031" s="194"/>
      <c r="T1031" s="195"/>
      <c r="U1031" s="171"/>
      <c r="V1031" s="171"/>
      <c r="W1031" s="194"/>
      <c r="X1031" s="195"/>
      <c r="Y1031" s="171"/>
      <c r="Z1031" s="171"/>
      <c r="AA1031" s="194"/>
      <c r="AB1031" s="195"/>
      <c r="AC1031" s="171"/>
      <c r="AD1031" s="171"/>
      <c r="AE1031" s="194"/>
      <c r="AF1031" s="195"/>
      <c r="AG1031" s="171"/>
      <c r="AH1031" s="171"/>
      <c r="AI1031" s="194"/>
      <c r="AJ1031" s="196"/>
    </row>
    <row r="1032" spans="2:36">
      <c r="B1032" s="166"/>
      <c r="C1032" s="167"/>
      <c r="D1032" s="171"/>
      <c r="E1032" s="171"/>
      <c r="F1032" s="171"/>
      <c r="G1032" s="172"/>
      <c r="H1032" s="173"/>
      <c r="I1032" s="193"/>
      <c r="J1032" s="171"/>
      <c r="K1032" s="194"/>
      <c r="L1032" s="173"/>
      <c r="M1032" s="171"/>
      <c r="N1032" s="171"/>
      <c r="O1032" s="194"/>
      <c r="P1032" s="195"/>
      <c r="Q1032" s="171"/>
      <c r="R1032" s="171"/>
      <c r="S1032" s="194"/>
      <c r="T1032" s="195"/>
      <c r="U1032" s="171"/>
      <c r="V1032" s="171"/>
      <c r="W1032" s="194"/>
      <c r="X1032" s="195"/>
      <c r="Y1032" s="171"/>
      <c r="Z1032" s="171"/>
      <c r="AA1032" s="194"/>
      <c r="AB1032" s="195"/>
      <c r="AC1032" s="171"/>
      <c r="AD1032" s="171"/>
      <c r="AE1032" s="194"/>
      <c r="AF1032" s="195"/>
      <c r="AG1032" s="171"/>
      <c r="AH1032" s="171"/>
      <c r="AI1032" s="194"/>
      <c r="AJ1032" s="196"/>
    </row>
    <row r="1033" spans="2:36">
      <c r="B1033" s="166"/>
      <c r="C1033" s="167"/>
      <c r="D1033" s="171"/>
      <c r="E1033" s="171"/>
      <c r="F1033" s="171"/>
      <c r="G1033" s="172"/>
      <c r="H1033" s="173"/>
      <c r="I1033" s="193"/>
      <c r="J1033" s="171"/>
      <c r="K1033" s="194"/>
      <c r="L1033" s="173"/>
      <c r="M1033" s="171"/>
      <c r="N1033" s="171"/>
      <c r="O1033" s="194"/>
      <c r="P1033" s="195"/>
      <c r="Q1033" s="171"/>
      <c r="R1033" s="171"/>
      <c r="S1033" s="194"/>
      <c r="T1033" s="195"/>
      <c r="U1033" s="171"/>
      <c r="V1033" s="171"/>
      <c r="W1033" s="194"/>
      <c r="X1033" s="195"/>
      <c r="Y1033" s="171"/>
      <c r="Z1033" s="171"/>
      <c r="AA1033" s="194"/>
      <c r="AB1033" s="195"/>
      <c r="AC1033" s="171"/>
      <c r="AD1033" s="171"/>
      <c r="AE1033" s="194"/>
      <c r="AF1033" s="195"/>
      <c r="AG1033" s="171"/>
      <c r="AH1033" s="171"/>
      <c r="AI1033" s="194"/>
      <c r="AJ1033" s="196"/>
    </row>
    <row r="1034" spans="2:36">
      <c r="B1034" s="166"/>
      <c r="C1034" s="167"/>
      <c r="D1034" s="171"/>
      <c r="E1034" s="171"/>
      <c r="F1034" s="171"/>
      <c r="G1034" s="172"/>
      <c r="H1034" s="173"/>
      <c r="I1034" s="193"/>
      <c r="J1034" s="171"/>
      <c r="K1034" s="194"/>
      <c r="L1034" s="173"/>
      <c r="M1034" s="171"/>
      <c r="N1034" s="171"/>
      <c r="O1034" s="194"/>
      <c r="P1034" s="195"/>
      <c r="Q1034" s="171"/>
      <c r="R1034" s="171"/>
      <c r="S1034" s="194"/>
      <c r="T1034" s="195"/>
      <c r="U1034" s="171"/>
      <c r="V1034" s="171"/>
      <c r="W1034" s="194"/>
      <c r="X1034" s="195"/>
      <c r="Y1034" s="171"/>
      <c r="Z1034" s="171"/>
      <c r="AA1034" s="194"/>
      <c r="AB1034" s="195"/>
      <c r="AC1034" s="171"/>
      <c r="AD1034" s="171"/>
      <c r="AE1034" s="194"/>
      <c r="AF1034" s="195"/>
      <c r="AG1034" s="171"/>
      <c r="AH1034" s="171"/>
      <c r="AI1034" s="194"/>
      <c r="AJ1034" s="196"/>
    </row>
    <row r="1035" spans="2:36">
      <c r="B1035" s="166"/>
      <c r="C1035" s="167"/>
      <c r="D1035" s="171"/>
      <c r="E1035" s="171"/>
      <c r="F1035" s="171"/>
      <c r="G1035" s="172"/>
      <c r="H1035" s="173"/>
      <c r="I1035" s="193"/>
      <c r="J1035" s="171"/>
      <c r="K1035" s="194"/>
      <c r="L1035" s="173"/>
      <c r="M1035" s="171"/>
      <c r="N1035" s="171"/>
      <c r="O1035" s="194"/>
      <c r="P1035" s="195"/>
      <c r="Q1035" s="171"/>
      <c r="R1035" s="171"/>
      <c r="S1035" s="194"/>
      <c r="T1035" s="195"/>
      <c r="U1035" s="171"/>
      <c r="V1035" s="171"/>
      <c r="W1035" s="194"/>
      <c r="X1035" s="195"/>
      <c r="Y1035" s="171"/>
      <c r="Z1035" s="171"/>
      <c r="AA1035" s="194"/>
      <c r="AB1035" s="195"/>
      <c r="AC1035" s="171"/>
      <c r="AD1035" s="171"/>
      <c r="AE1035" s="194"/>
      <c r="AF1035" s="195"/>
      <c r="AG1035" s="171"/>
      <c r="AH1035" s="171"/>
      <c r="AI1035" s="194"/>
      <c r="AJ1035" s="196"/>
    </row>
    <row r="1036" spans="2:36">
      <c r="B1036" s="166"/>
      <c r="C1036" s="167"/>
      <c r="D1036" s="171"/>
      <c r="E1036" s="171"/>
      <c r="F1036" s="171"/>
      <c r="G1036" s="172"/>
      <c r="H1036" s="173"/>
      <c r="I1036" s="193"/>
      <c r="J1036" s="171"/>
      <c r="K1036" s="194"/>
      <c r="L1036" s="173"/>
      <c r="M1036" s="171"/>
      <c r="N1036" s="171"/>
      <c r="O1036" s="194"/>
      <c r="P1036" s="195"/>
      <c r="Q1036" s="171"/>
      <c r="R1036" s="171"/>
      <c r="S1036" s="194"/>
      <c r="T1036" s="195"/>
      <c r="U1036" s="171"/>
      <c r="V1036" s="171"/>
      <c r="W1036" s="194"/>
      <c r="X1036" s="195"/>
      <c r="Y1036" s="171"/>
      <c r="Z1036" s="171"/>
      <c r="AA1036" s="194"/>
      <c r="AB1036" s="195"/>
      <c r="AC1036" s="171"/>
      <c r="AD1036" s="171"/>
      <c r="AE1036" s="194"/>
      <c r="AF1036" s="195"/>
      <c r="AG1036" s="171"/>
      <c r="AH1036" s="171"/>
      <c r="AI1036" s="194"/>
      <c r="AJ1036" s="196"/>
    </row>
    <row r="1037" spans="2:36">
      <c r="B1037" s="166"/>
      <c r="C1037" s="167"/>
      <c r="D1037" s="171"/>
      <c r="E1037" s="171"/>
      <c r="F1037" s="171"/>
      <c r="G1037" s="172"/>
      <c r="H1037" s="173"/>
      <c r="I1037" s="193"/>
      <c r="J1037" s="171"/>
      <c r="K1037" s="194"/>
      <c r="L1037" s="173"/>
      <c r="M1037" s="171"/>
      <c r="N1037" s="171"/>
      <c r="O1037" s="194"/>
      <c r="P1037" s="195"/>
      <c r="Q1037" s="171"/>
      <c r="R1037" s="171"/>
      <c r="S1037" s="194"/>
      <c r="T1037" s="195"/>
      <c r="U1037" s="171"/>
      <c r="V1037" s="171"/>
      <c r="W1037" s="194"/>
      <c r="X1037" s="195"/>
      <c r="Y1037" s="171"/>
      <c r="Z1037" s="171"/>
      <c r="AA1037" s="194"/>
      <c r="AB1037" s="195"/>
      <c r="AC1037" s="171"/>
      <c r="AD1037" s="171"/>
      <c r="AE1037" s="194"/>
      <c r="AF1037" s="195"/>
      <c r="AG1037" s="171"/>
      <c r="AH1037" s="171"/>
      <c r="AI1037" s="194"/>
      <c r="AJ1037" s="196"/>
    </row>
    <row r="1038" spans="2:36">
      <c r="B1038" s="166"/>
      <c r="C1038" s="167"/>
      <c r="D1038" s="171"/>
      <c r="E1038" s="171"/>
      <c r="F1038" s="171"/>
      <c r="G1038" s="172"/>
      <c r="H1038" s="173"/>
      <c r="I1038" s="193"/>
      <c r="J1038" s="171"/>
      <c r="K1038" s="194"/>
      <c r="L1038" s="173"/>
      <c r="M1038" s="171"/>
      <c r="N1038" s="171"/>
      <c r="O1038" s="194"/>
      <c r="P1038" s="195"/>
      <c r="Q1038" s="171"/>
      <c r="R1038" s="171"/>
      <c r="S1038" s="194"/>
      <c r="T1038" s="195"/>
      <c r="U1038" s="171"/>
      <c r="V1038" s="171"/>
      <c r="W1038" s="194"/>
      <c r="X1038" s="195"/>
      <c r="Y1038" s="171"/>
      <c r="Z1038" s="171"/>
      <c r="AA1038" s="194"/>
      <c r="AB1038" s="195"/>
      <c r="AC1038" s="171"/>
      <c r="AD1038" s="171"/>
      <c r="AE1038" s="194"/>
      <c r="AF1038" s="195"/>
      <c r="AG1038" s="171"/>
      <c r="AH1038" s="171"/>
      <c r="AI1038" s="194"/>
      <c r="AJ1038" s="196"/>
    </row>
    <row r="1039" spans="2:36">
      <c r="B1039" s="166"/>
      <c r="C1039" s="167"/>
      <c r="D1039" s="171"/>
      <c r="E1039" s="171"/>
      <c r="F1039" s="171"/>
      <c r="G1039" s="172"/>
      <c r="H1039" s="173"/>
      <c r="I1039" s="193"/>
      <c r="J1039" s="171"/>
      <c r="K1039" s="194"/>
      <c r="L1039" s="173"/>
      <c r="M1039" s="171"/>
      <c r="N1039" s="171"/>
      <c r="O1039" s="194"/>
      <c r="P1039" s="195"/>
      <c r="Q1039" s="171"/>
      <c r="R1039" s="171"/>
      <c r="S1039" s="194"/>
      <c r="T1039" s="195"/>
      <c r="U1039" s="171"/>
      <c r="V1039" s="171"/>
      <c r="W1039" s="194"/>
      <c r="X1039" s="195"/>
      <c r="Y1039" s="171"/>
      <c r="Z1039" s="171"/>
      <c r="AA1039" s="194"/>
      <c r="AB1039" s="195"/>
      <c r="AC1039" s="171"/>
      <c r="AD1039" s="171"/>
      <c r="AE1039" s="194"/>
      <c r="AF1039" s="195"/>
      <c r="AG1039" s="171"/>
      <c r="AH1039" s="171"/>
      <c r="AI1039" s="194"/>
      <c r="AJ1039" s="196"/>
    </row>
    <row r="1040" spans="2:36">
      <c r="B1040" s="166"/>
      <c r="C1040" s="167"/>
      <c r="D1040" s="171"/>
      <c r="E1040" s="171"/>
      <c r="F1040" s="171"/>
      <c r="G1040" s="172"/>
      <c r="H1040" s="173"/>
      <c r="I1040" s="193"/>
      <c r="J1040" s="171"/>
      <c r="K1040" s="194"/>
      <c r="L1040" s="173"/>
      <c r="M1040" s="171"/>
      <c r="N1040" s="171"/>
      <c r="O1040" s="194"/>
      <c r="P1040" s="195"/>
      <c r="Q1040" s="171"/>
      <c r="R1040" s="171"/>
      <c r="S1040" s="194"/>
      <c r="T1040" s="195"/>
      <c r="U1040" s="171"/>
      <c r="V1040" s="171"/>
      <c r="W1040" s="194"/>
      <c r="X1040" s="195"/>
      <c r="Y1040" s="171"/>
      <c r="Z1040" s="171"/>
      <c r="AA1040" s="194"/>
      <c r="AB1040" s="195"/>
      <c r="AC1040" s="171"/>
      <c r="AD1040" s="171"/>
      <c r="AE1040" s="194"/>
      <c r="AF1040" s="195"/>
      <c r="AG1040" s="171"/>
      <c r="AH1040" s="171"/>
      <c r="AI1040" s="194"/>
      <c r="AJ1040" s="196"/>
    </row>
    <row r="1041" spans="2:36">
      <c r="B1041" s="166"/>
      <c r="C1041" s="167"/>
      <c r="D1041" s="171"/>
      <c r="E1041" s="171"/>
      <c r="F1041" s="171"/>
      <c r="G1041" s="172"/>
      <c r="H1041" s="173"/>
      <c r="I1041" s="193"/>
      <c r="J1041" s="171"/>
      <c r="K1041" s="194"/>
      <c r="L1041" s="173"/>
      <c r="M1041" s="171"/>
      <c r="N1041" s="171"/>
      <c r="O1041" s="194"/>
      <c r="P1041" s="195"/>
      <c r="Q1041" s="171"/>
      <c r="R1041" s="171"/>
      <c r="S1041" s="194"/>
      <c r="T1041" s="195"/>
      <c r="U1041" s="171"/>
      <c r="V1041" s="171"/>
      <c r="W1041" s="194"/>
      <c r="X1041" s="195"/>
      <c r="Y1041" s="171"/>
      <c r="Z1041" s="171"/>
      <c r="AA1041" s="194"/>
      <c r="AB1041" s="195"/>
      <c r="AC1041" s="171"/>
      <c r="AD1041" s="171"/>
      <c r="AE1041" s="194"/>
      <c r="AF1041" s="195"/>
      <c r="AG1041" s="171"/>
      <c r="AH1041" s="171"/>
      <c r="AI1041" s="194"/>
      <c r="AJ1041" s="196"/>
    </row>
    <row r="1042" spans="2:36">
      <c r="B1042" s="166"/>
      <c r="C1042" s="167"/>
      <c r="D1042" s="171"/>
      <c r="E1042" s="171"/>
      <c r="F1042" s="171"/>
      <c r="G1042" s="172"/>
      <c r="H1042" s="173"/>
      <c r="I1042" s="193"/>
      <c r="J1042" s="171"/>
      <c r="K1042" s="194"/>
      <c r="L1042" s="173"/>
      <c r="M1042" s="171"/>
      <c r="N1042" s="171"/>
      <c r="O1042" s="194"/>
      <c r="P1042" s="195"/>
      <c r="Q1042" s="171"/>
      <c r="R1042" s="171"/>
      <c r="S1042" s="194"/>
      <c r="T1042" s="195"/>
      <c r="U1042" s="171"/>
      <c r="V1042" s="171"/>
      <c r="W1042" s="194"/>
      <c r="X1042" s="195"/>
      <c r="Y1042" s="171"/>
      <c r="Z1042" s="171"/>
      <c r="AA1042" s="194"/>
      <c r="AB1042" s="195"/>
      <c r="AC1042" s="171"/>
      <c r="AD1042" s="171"/>
      <c r="AE1042" s="194"/>
      <c r="AF1042" s="195"/>
      <c r="AG1042" s="171"/>
      <c r="AH1042" s="171"/>
      <c r="AI1042" s="194"/>
      <c r="AJ1042" s="196"/>
    </row>
    <row r="1043" spans="2:36">
      <c r="B1043" s="166"/>
      <c r="C1043" s="167"/>
      <c r="D1043" s="171"/>
      <c r="E1043" s="171"/>
      <c r="F1043" s="171"/>
      <c r="G1043" s="172"/>
      <c r="H1043" s="173"/>
      <c r="I1043" s="193"/>
      <c r="J1043" s="171"/>
      <c r="K1043" s="194"/>
      <c r="L1043" s="173"/>
      <c r="M1043" s="171"/>
      <c r="N1043" s="171"/>
      <c r="O1043" s="194"/>
      <c r="P1043" s="195"/>
      <c r="Q1043" s="171"/>
      <c r="R1043" s="171"/>
      <c r="S1043" s="194"/>
      <c r="T1043" s="195"/>
      <c r="U1043" s="171"/>
      <c r="V1043" s="171"/>
      <c r="W1043" s="194"/>
      <c r="X1043" s="195"/>
      <c r="Y1043" s="171"/>
      <c r="Z1043" s="171"/>
      <c r="AA1043" s="194"/>
      <c r="AB1043" s="195"/>
      <c r="AC1043" s="171"/>
      <c r="AD1043" s="171"/>
      <c r="AE1043" s="194"/>
      <c r="AF1043" s="195"/>
      <c r="AG1043" s="171"/>
      <c r="AH1043" s="171"/>
      <c r="AI1043" s="194"/>
      <c r="AJ1043" s="196"/>
    </row>
    <row r="1044" spans="2:36">
      <c r="B1044" s="166"/>
      <c r="C1044" s="167"/>
      <c r="D1044" s="171"/>
      <c r="E1044" s="171"/>
      <c r="F1044" s="171"/>
      <c r="G1044" s="172"/>
      <c r="H1044" s="173"/>
      <c r="I1044" s="193"/>
      <c r="J1044" s="171"/>
      <c r="K1044" s="194"/>
      <c r="L1044" s="173"/>
      <c r="M1044" s="171"/>
      <c r="N1044" s="171"/>
      <c r="O1044" s="194"/>
      <c r="P1044" s="195"/>
      <c r="Q1044" s="171"/>
      <c r="R1044" s="171"/>
      <c r="S1044" s="194"/>
      <c r="T1044" s="195"/>
      <c r="U1044" s="171"/>
      <c r="V1044" s="171"/>
      <c r="W1044" s="194"/>
      <c r="X1044" s="195"/>
      <c r="Y1044" s="171"/>
      <c r="Z1044" s="171"/>
      <c r="AA1044" s="194"/>
      <c r="AB1044" s="195"/>
      <c r="AC1044" s="171"/>
      <c r="AD1044" s="171"/>
      <c r="AE1044" s="194"/>
      <c r="AF1044" s="195"/>
      <c r="AG1044" s="171"/>
      <c r="AH1044" s="171"/>
      <c r="AI1044" s="194"/>
      <c r="AJ1044" s="196"/>
    </row>
    <row r="1045" spans="2:36">
      <c r="B1045" s="166"/>
      <c r="C1045" s="167"/>
      <c r="D1045" s="171"/>
      <c r="E1045" s="171"/>
      <c r="F1045" s="171"/>
      <c r="G1045" s="172"/>
      <c r="H1045" s="173"/>
      <c r="I1045" s="193"/>
      <c r="J1045" s="171"/>
      <c r="K1045" s="194"/>
      <c r="L1045" s="173"/>
      <c r="M1045" s="171"/>
      <c r="N1045" s="171"/>
      <c r="O1045" s="194"/>
      <c r="P1045" s="195"/>
      <c r="Q1045" s="171"/>
      <c r="R1045" s="171"/>
      <c r="S1045" s="194"/>
      <c r="T1045" s="195"/>
      <c r="U1045" s="171"/>
      <c r="V1045" s="171"/>
      <c r="W1045" s="194"/>
      <c r="X1045" s="195"/>
      <c r="Y1045" s="171"/>
      <c r="Z1045" s="171"/>
      <c r="AA1045" s="194"/>
      <c r="AB1045" s="195"/>
      <c r="AC1045" s="171"/>
      <c r="AD1045" s="171"/>
      <c r="AE1045" s="194"/>
      <c r="AF1045" s="195"/>
      <c r="AG1045" s="171"/>
      <c r="AH1045" s="171"/>
      <c r="AI1045" s="194"/>
      <c r="AJ1045" s="196"/>
    </row>
    <row r="1046" spans="2:36">
      <c r="B1046" s="166"/>
      <c r="C1046" s="167"/>
      <c r="D1046" s="171"/>
      <c r="E1046" s="171"/>
      <c r="F1046" s="171"/>
      <c r="G1046" s="172"/>
      <c r="H1046" s="173"/>
      <c r="I1046" s="193"/>
      <c r="J1046" s="171"/>
      <c r="K1046" s="194"/>
      <c r="L1046" s="173"/>
      <c r="M1046" s="171"/>
      <c r="N1046" s="171"/>
      <c r="O1046" s="194"/>
      <c r="P1046" s="195"/>
      <c r="Q1046" s="171"/>
      <c r="R1046" s="171"/>
      <c r="S1046" s="194"/>
      <c r="T1046" s="195"/>
      <c r="U1046" s="171"/>
      <c r="V1046" s="171"/>
      <c r="W1046" s="194"/>
      <c r="X1046" s="195"/>
      <c r="Y1046" s="171"/>
      <c r="Z1046" s="171"/>
      <c r="AA1046" s="194"/>
      <c r="AB1046" s="195"/>
      <c r="AC1046" s="171"/>
      <c r="AD1046" s="171"/>
      <c r="AE1046" s="194"/>
      <c r="AF1046" s="195"/>
      <c r="AG1046" s="171"/>
      <c r="AH1046" s="171"/>
      <c r="AI1046" s="194"/>
      <c r="AJ1046" s="196"/>
    </row>
    <row r="1047" spans="2:36">
      <c r="B1047" s="166"/>
      <c r="C1047" s="167"/>
      <c r="D1047" s="171"/>
      <c r="E1047" s="171"/>
      <c r="F1047" s="171"/>
      <c r="G1047" s="172"/>
      <c r="H1047" s="173"/>
      <c r="I1047" s="193"/>
      <c r="J1047" s="171"/>
      <c r="K1047" s="194"/>
      <c r="L1047" s="173"/>
      <c r="M1047" s="171"/>
      <c r="N1047" s="171"/>
      <c r="O1047" s="194"/>
      <c r="P1047" s="195"/>
      <c r="Q1047" s="171"/>
      <c r="R1047" s="171"/>
      <c r="S1047" s="194"/>
      <c r="T1047" s="195"/>
      <c r="U1047" s="171"/>
      <c r="V1047" s="171"/>
      <c r="W1047" s="194"/>
      <c r="X1047" s="195"/>
      <c r="Y1047" s="171"/>
      <c r="Z1047" s="171"/>
      <c r="AA1047" s="194"/>
      <c r="AB1047" s="195"/>
      <c r="AC1047" s="171"/>
      <c r="AD1047" s="171"/>
      <c r="AE1047" s="194"/>
      <c r="AF1047" s="195"/>
      <c r="AG1047" s="171"/>
      <c r="AH1047" s="171"/>
      <c r="AI1047" s="194"/>
      <c r="AJ1047" s="196"/>
    </row>
    <row r="1048" spans="2:36">
      <c r="B1048" s="166"/>
      <c r="C1048" s="167"/>
      <c r="D1048" s="171"/>
      <c r="E1048" s="171"/>
      <c r="F1048" s="171"/>
      <c r="G1048" s="172"/>
      <c r="H1048" s="173"/>
      <c r="I1048" s="193"/>
      <c r="J1048" s="171"/>
      <c r="K1048" s="194"/>
      <c r="L1048" s="173"/>
      <c r="M1048" s="171"/>
      <c r="N1048" s="171"/>
      <c r="O1048" s="194"/>
      <c r="P1048" s="195"/>
      <c r="Q1048" s="171"/>
      <c r="R1048" s="171"/>
      <c r="S1048" s="194"/>
      <c r="T1048" s="195"/>
      <c r="U1048" s="171"/>
      <c r="V1048" s="171"/>
      <c r="W1048" s="194"/>
      <c r="X1048" s="195"/>
      <c r="Y1048" s="171"/>
      <c r="Z1048" s="171"/>
      <c r="AA1048" s="194"/>
      <c r="AB1048" s="195"/>
      <c r="AC1048" s="171"/>
      <c r="AD1048" s="171"/>
      <c r="AE1048" s="194"/>
      <c r="AF1048" s="195"/>
      <c r="AG1048" s="171"/>
      <c r="AH1048" s="171"/>
      <c r="AI1048" s="194"/>
      <c r="AJ1048" s="196"/>
    </row>
    <row r="1049" spans="2:36">
      <c r="B1049" s="166"/>
      <c r="C1049" s="167"/>
      <c r="D1049" s="171"/>
      <c r="E1049" s="171"/>
      <c r="F1049" s="171"/>
      <c r="G1049" s="172"/>
      <c r="H1049" s="173"/>
      <c r="I1049" s="193"/>
      <c r="J1049" s="171"/>
      <c r="K1049" s="194"/>
      <c r="L1049" s="173"/>
      <c r="M1049" s="171"/>
      <c r="N1049" s="171"/>
      <c r="O1049" s="194"/>
      <c r="P1049" s="195"/>
      <c r="Q1049" s="171"/>
      <c r="R1049" s="171"/>
      <c r="S1049" s="194"/>
      <c r="T1049" s="195"/>
      <c r="U1049" s="171"/>
      <c r="V1049" s="171"/>
      <c r="W1049" s="194"/>
      <c r="X1049" s="195"/>
      <c r="Y1049" s="171"/>
      <c r="Z1049" s="171"/>
      <c r="AA1049" s="194"/>
      <c r="AB1049" s="195"/>
      <c r="AC1049" s="171"/>
      <c r="AD1049" s="171"/>
      <c r="AE1049" s="194"/>
      <c r="AF1049" s="195"/>
      <c r="AG1049" s="171"/>
      <c r="AH1049" s="171"/>
      <c r="AI1049" s="194"/>
      <c r="AJ1049" s="196"/>
    </row>
    <row r="1050" spans="2:36">
      <c r="B1050" s="166"/>
      <c r="C1050" s="167"/>
      <c r="D1050" s="171"/>
      <c r="E1050" s="171"/>
      <c r="F1050" s="171"/>
      <c r="G1050" s="172"/>
      <c r="H1050" s="173"/>
      <c r="I1050" s="193"/>
      <c r="J1050" s="171"/>
      <c r="K1050" s="194"/>
      <c r="L1050" s="173"/>
      <c r="M1050" s="171"/>
      <c r="N1050" s="171"/>
      <c r="O1050" s="194"/>
      <c r="P1050" s="195"/>
      <c r="Q1050" s="171"/>
      <c r="R1050" s="171"/>
      <c r="S1050" s="194"/>
      <c r="T1050" s="195"/>
      <c r="U1050" s="171"/>
      <c r="V1050" s="171"/>
      <c r="W1050" s="194"/>
      <c r="X1050" s="195"/>
      <c r="Y1050" s="171"/>
      <c r="Z1050" s="171"/>
      <c r="AA1050" s="194"/>
      <c r="AB1050" s="195"/>
      <c r="AC1050" s="171"/>
      <c r="AD1050" s="171"/>
      <c r="AE1050" s="194"/>
      <c r="AF1050" s="195"/>
      <c r="AG1050" s="171"/>
      <c r="AH1050" s="171"/>
      <c r="AI1050" s="194"/>
      <c r="AJ1050" s="196"/>
    </row>
    <row r="1051" spans="2:36">
      <c r="B1051" s="166"/>
      <c r="C1051" s="167"/>
      <c r="D1051" s="171"/>
      <c r="E1051" s="171"/>
      <c r="F1051" s="171"/>
      <c r="G1051" s="172"/>
      <c r="H1051" s="173"/>
      <c r="I1051" s="193"/>
      <c r="J1051" s="171"/>
      <c r="K1051" s="194"/>
      <c r="L1051" s="173"/>
      <c r="M1051" s="171"/>
      <c r="N1051" s="171"/>
      <c r="O1051" s="194"/>
      <c r="P1051" s="195"/>
      <c r="Q1051" s="171"/>
      <c r="R1051" s="171"/>
      <c r="S1051" s="194"/>
      <c r="T1051" s="195"/>
      <c r="U1051" s="171"/>
      <c r="V1051" s="171"/>
      <c r="W1051" s="194"/>
      <c r="X1051" s="195"/>
      <c r="Y1051" s="171"/>
      <c r="Z1051" s="171"/>
      <c r="AA1051" s="194"/>
      <c r="AB1051" s="195"/>
      <c r="AC1051" s="171"/>
      <c r="AD1051" s="171"/>
      <c r="AE1051" s="194"/>
      <c r="AF1051" s="195"/>
      <c r="AG1051" s="171"/>
      <c r="AH1051" s="171"/>
      <c r="AI1051" s="194"/>
      <c r="AJ1051" s="196"/>
    </row>
    <row r="1052" spans="2:36">
      <c r="B1052" s="166"/>
      <c r="C1052" s="167"/>
      <c r="D1052" s="171"/>
      <c r="E1052" s="171"/>
      <c r="F1052" s="171"/>
      <c r="G1052" s="172"/>
      <c r="H1052" s="173"/>
      <c r="I1052" s="193"/>
      <c r="J1052" s="171"/>
      <c r="K1052" s="194"/>
      <c r="L1052" s="173"/>
      <c r="M1052" s="171"/>
      <c r="N1052" s="171"/>
      <c r="O1052" s="194"/>
      <c r="P1052" s="195"/>
      <c r="Q1052" s="171"/>
      <c r="R1052" s="171"/>
      <c r="S1052" s="194"/>
      <c r="T1052" s="195"/>
      <c r="U1052" s="171"/>
      <c r="V1052" s="171"/>
      <c r="W1052" s="194"/>
      <c r="X1052" s="195"/>
      <c r="Y1052" s="171"/>
      <c r="Z1052" s="171"/>
      <c r="AA1052" s="194"/>
      <c r="AB1052" s="195"/>
      <c r="AC1052" s="171"/>
      <c r="AD1052" s="171"/>
      <c r="AE1052" s="194"/>
      <c r="AF1052" s="195"/>
      <c r="AG1052" s="171"/>
      <c r="AH1052" s="171"/>
      <c r="AI1052" s="194"/>
      <c r="AJ1052" s="196"/>
    </row>
    <row r="1053" spans="2:36">
      <c r="B1053" s="166"/>
      <c r="C1053" s="167"/>
      <c r="D1053" s="171"/>
      <c r="E1053" s="171"/>
      <c r="F1053" s="171"/>
      <c r="G1053" s="172"/>
      <c r="H1053" s="173"/>
      <c r="I1053" s="193"/>
      <c r="J1053" s="171"/>
      <c r="K1053" s="194"/>
      <c r="L1053" s="173"/>
      <c r="M1053" s="171"/>
      <c r="N1053" s="171"/>
      <c r="O1053" s="194"/>
      <c r="P1053" s="195"/>
      <c r="Q1053" s="171"/>
      <c r="R1053" s="171"/>
      <c r="S1053" s="194"/>
      <c r="T1053" s="195"/>
      <c r="U1053" s="171"/>
      <c r="V1053" s="171"/>
      <c r="W1053" s="194"/>
      <c r="X1053" s="195"/>
      <c r="Y1053" s="171"/>
      <c r="Z1053" s="171"/>
      <c r="AA1053" s="194"/>
      <c r="AB1053" s="195"/>
      <c r="AC1053" s="171"/>
      <c r="AD1053" s="171"/>
      <c r="AE1053" s="194"/>
      <c r="AF1053" s="195"/>
      <c r="AG1053" s="171"/>
      <c r="AH1053" s="171"/>
      <c r="AI1053" s="194"/>
      <c r="AJ1053" s="196"/>
    </row>
    <row r="1054" spans="2:36">
      <c r="B1054" s="166"/>
      <c r="C1054" s="167"/>
      <c r="D1054" s="171"/>
      <c r="E1054" s="171"/>
      <c r="F1054" s="171"/>
      <c r="G1054" s="172"/>
      <c r="H1054" s="173"/>
      <c r="I1054" s="193"/>
      <c r="J1054" s="171"/>
      <c r="K1054" s="194"/>
      <c r="L1054" s="173"/>
      <c r="M1054" s="171"/>
      <c r="N1054" s="171"/>
      <c r="O1054" s="194"/>
      <c r="P1054" s="195"/>
      <c r="Q1054" s="171"/>
      <c r="R1054" s="171"/>
      <c r="S1054" s="194"/>
      <c r="T1054" s="195"/>
      <c r="U1054" s="171"/>
      <c r="V1054" s="171"/>
      <c r="W1054" s="194"/>
      <c r="X1054" s="195"/>
      <c r="Y1054" s="171"/>
      <c r="Z1054" s="171"/>
      <c r="AA1054" s="194"/>
      <c r="AB1054" s="195"/>
      <c r="AC1054" s="171"/>
      <c r="AD1054" s="171"/>
      <c r="AE1054" s="194"/>
      <c r="AF1054" s="195"/>
      <c r="AG1054" s="171"/>
      <c r="AH1054" s="171"/>
      <c r="AI1054" s="194"/>
      <c r="AJ1054" s="196"/>
    </row>
    <row r="1055" spans="2:36">
      <c r="B1055" s="166"/>
      <c r="C1055" s="167"/>
      <c r="D1055" s="171"/>
      <c r="E1055" s="171"/>
      <c r="F1055" s="171"/>
      <c r="G1055" s="172"/>
      <c r="H1055" s="173"/>
      <c r="I1055" s="193"/>
      <c r="J1055" s="171"/>
      <c r="K1055" s="194"/>
      <c r="L1055" s="173"/>
      <c r="M1055" s="171"/>
      <c r="N1055" s="171"/>
      <c r="O1055" s="194"/>
      <c r="P1055" s="195"/>
      <c r="Q1055" s="171"/>
      <c r="R1055" s="171"/>
      <c r="S1055" s="194"/>
      <c r="T1055" s="195"/>
      <c r="U1055" s="171"/>
      <c r="V1055" s="171"/>
      <c r="W1055" s="194"/>
      <c r="X1055" s="195"/>
      <c r="Y1055" s="171"/>
      <c r="Z1055" s="171"/>
      <c r="AA1055" s="194"/>
      <c r="AB1055" s="195"/>
      <c r="AC1055" s="171"/>
      <c r="AD1055" s="171"/>
      <c r="AE1055" s="194"/>
      <c r="AF1055" s="195"/>
      <c r="AG1055" s="171"/>
      <c r="AH1055" s="171"/>
      <c r="AI1055" s="194"/>
      <c r="AJ1055" s="196"/>
    </row>
    <row r="1056" spans="2:36">
      <c r="B1056" s="166"/>
      <c r="C1056" s="167"/>
      <c r="D1056" s="171"/>
      <c r="E1056" s="171"/>
      <c r="F1056" s="171"/>
      <c r="G1056" s="172"/>
      <c r="H1056" s="173"/>
      <c r="I1056" s="193"/>
      <c r="J1056" s="171"/>
      <c r="K1056" s="194"/>
      <c r="L1056" s="173"/>
      <c r="M1056" s="171"/>
      <c r="N1056" s="171"/>
      <c r="O1056" s="194"/>
      <c r="P1056" s="195"/>
      <c r="Q1056" s="171"/>
      <c r="R1056" s="171"/>
      <c r="S1056" s="194"/>
      <c r="T1056" s="195"/>
      <c r="U1056" s="171"/>
      <c r="V1056" s="171"/>
      <c r="W1056" s="194"/>
      <c r="X1056" s="195"/>
      <c r="Y1056" s="171"/>
      <c r="Z1056" s="171"/>
      <c r="AA1056" s="194"/>
      <c r="AB1056" s="195"/>
      <c r="AC1056" s="171"/>
      <c r="AD1056" s="171"/>
      <c r="AE1056" s="194"/>
      <c r="AF1056" s="195"/>
      <c r="AG1056" s="171"/>
      <c r="AH1056" s="171"/>
      <c r="AI1056" s="194"/>
      <c r="AJ1056" s="196"/>
    </row>
    <row r="1057" spans="2:36">
      <c r="B1057" s="166"/>
      <c r="C1057" s="167"/>
      <c r="D1057" s="171"/>
      <c r="E1057" s="171"/>
      <c r="F1057" s="171"/>
      <c r="G1057" s="172"/>
      <c r="H1057" s="173"/>
      <c r="I1057" s="193"/>
      <c r="J1057" s="171"/>
      <c r="K1057" s="194"/>
      <c r="L1057" s="173"/>
      <c r="M1057" s="171"/>
      <c r="N1057" s="171"/>
      <c r="O1057" s="194"/>
      <c r="P1057" s="195"/>
      <c r="Q1057" s="171"/>
      <c r="R1057" s="171"/>
      <c r="S1057" s="194"/>
      <c r="T1057" s="195"/>
      <c r="U1057" s="171"/>
      <c r="V1057" s="171"/>
      <c r="W1057" s="194"/>
      <c r="X1057" s="195"/>
      <c r="Y1057" s="171"/>
      <c r="Z1057" s="171"/>
      <c r="AA1057" s="194"/>
      <c r="AB1057" s="195"/>
      <c r="AC1057" s="171"/>
      <c r="AD1057" s="171"/>
      <c r="AE1057" s="194"/>
      <c r="AF1057" s="195"/>
      <c r="AG1057" s="171"/>
      <c r="AH1057" s="171"/>
      <c r="AI1057" s="194"/>
      <c r="AJ1057" s="196"/>
    </row>
    <row r="1058" spans="2:36">
      <c r="B1058" s="166"/>
      <c r="C1058" s="167"/>
      <c r="D1058" s="171"/>
      <c r="E1058" s="171"/>
      <c r="F1058" s="171"/>
      <c r="G1058" s="172"/>
      <c r="H1058" s="173"/>
      <c r="I1058" s="193"/>
      <c r="J1058" s="171"/>
      <c r="K1058" s="194"/>
      <c r="L1058" s="173"/>
      <c r="M1058" s="171"/>
      <c r="N1058" s="171"/>
      <c r="O1058" s="194"/>
      <c r="P1058" s="195"/>
      <c r="Q1058" s="171"/>
      <c r="R1058" s="171"/>
      <c r="S1058" s="194"/>
      <c r="T1058" s="195"/>
      <c r="U1058" s="171"/>
      <c r="V1058" s="171"/>
      <c r="W1058" s="194"/>
      <c r="X1058" s="195"/>
      <c r="Y1058" s="171"/>
      <c r="Z1058" s="171"/>
      <c r="AA1058" s="194"/>
      <c r="AB1058" s="195"/>
      <c r="AC1058" s="171"/>
      <c r="AD1058" s="171"/>
      <c r="AE1058" s="194"/>
      <c r="AF1058" s="195"/>
      <c r="AG1058" s="171"/>
      <c r="AH1058" s="171"/>
      <c r="AI1058" s="194"/>
      <c r="AJ1058" s="196"/>
    </row>
    <row r="1059" spans="2:36">
      <c r="B1059" s="166"/>
      <c r="C1059" s="167"/>
      <c r="D1059" s="171"/>
      <c r="E1059" s="171"/>
      <c r="F1059" s="171"/>
      <c r="G1059" s="172"/>
      <c r="H1059" s="173"/>
      <c r="I1059" s="193"/>
      <c r="J1059" s="171"/>
      <c r="K1059" s="194"/>
      <c r="L1059" s="173"/>
      <c r="M1059" s="171"/>
      <c r="N1059" s="171"/>
      <c r="O1059" s="194"/>
      <c r="P1059" s="195"/>
      <c r="Q1059" s="171"/>
      <c r="R1059" s="171"/>
      <c r="S1059" s="194"/>
      <c r="T1059" s="195"/>
      <c r="U1059" s="171"/>
      <c r="V1059" s="171"/>
      <c r="W1059" s="194"/>
      <c r="X1059" s="195"/>
      <c r="Y1059" s="171"/>
      <c r="Z1059" s="171"/>
      <c r="AA1059" s="194"/>
      <c r="AB1059" s="195"/>
      <c r="AC1059" s="171"/>
      <c r="AD1059" s="171"/>
      <c r="AE1059" s="194"/>
      <c r="AF1059" s="195"/>
      <c r="AG1059" s="171"/>
      <c r="AH1059" s="171"/>
      <c r="AI1059" s="194"/>
      <c r="AJ1059" s="196"/>
    </row>
    <row r="1060" spans="2:36">
      <c r="B1060" s="166"/>
      <c r="C1060" s="167"/>
      <c r="D1060" s="171"/>
      <c r="E1060" s="171"/>
      <c r="F1060" s="171"/>
      <c r="G1060" s="172"/>
      <c r="H1060" s="173"/>
      <c r="I1060" s="193"/>
      <c r="J1060" s="171"/>
      <c r="K1060" s="194"/>
      <c r="L1060" s="173"/>
      <c r="M1060" s="171"/>
      <c r="N1060" s="171"/>
      <c r="O1060" s="194"/>
      <c r="P1060" s="195"/>
      <c r="Q1060" s="171"/>
      <c r="R1060" s="171"/>
      <c r="S1060" s="194"/>
      <c r="T1060" s="195"/>
      <c r="U1060" s="171"/>
      <c r="V1060" s="171"/>
      <c r="W1060" s="194"/>
      <c r="X1060" s="195"/>
      <c r="Y1060" s="171"/>
      <c r="Z1060" s="171"/>
      <c r="AA1060" s="194"/>
      <c r="AB1060" s="195"/>
      <c r="AC1060" s="171"/>
      <c r="AD1060" s="171"/>
      <c r="AE1060" s="194"/>
      <c r="AF1060" s="195"/>
      <c r="AG1060" s="171"/>
      <c r="AH1060" s="171"/>
      <c r="AI1060" s="194"/>
      <c r="AJ1060" s="196"/>
    </row>
    <row r="1061" spans="2:36">
      <c r="B1061" s="166"/>
      <c r="C1061" s="167"/>
      <c r="D1061" s="171"/>
      <c r="E1061" s="171"/>
      <c r="F1061" s="171"/>
      <c r="G1061" s="172"/>
      <c r="H1061" s="173"/>
      <c r="I1061" s="193"/>
      <c r="J1061" s="171"/>
      <c r="K1061" s="194"/>
      <c r="L1061" s="173"/>
      <c r="M1061" s="171"/>
      <c r="N1061" s="171"/>
      <c r="O1061" s="194"/>
      <c r="P1061" s="195"/>
      <c r="Q1061" s="171"/>
      <c r="R1061" s="171"/>
      <c r="S1061" s="194"/>
      <c r="T1061" s="195"/>
      <c r="U1061" s="171"/>
      <c r="V1061" s="171"/>
      <c r="W1061" s="194"/>
      <c r="X1061" s="195"/>
      <c r="Y1061" s="171"/>
      <c r="Z1061" s="171"/>
      <c r="AA1061" s="194"/>
      <c r="AB1061" s="195"/>
      <c r="AC1061" s="171"/>
      <c r="AD1061" s="171"/>
      <c r="AE1061" s="194"/>
      <c r="AF1061" s="195"/>
      <c r="AG1061" s="171"/>
      <c r="AH1061" s="171"/>
      <c r="AI1061" s="194"/>
      <c r="AJ1061" s="196"/>
    </row>
    <row r="1062" spans="2:36">
      <c r="B1062" s="166"/>
      <c r="C1062" s="167"/>
      <c r="D1062" s="171"/>
      <c r="E1062" s="171"/>
      <c r="F1062" s="171"/>
      <c r="G1062" s="172"/>
      <c r="H1062" s="173"/>
      <c r="I1062" s="193"/>
      <c r="J1062" s="171"/>
      <c r="K1062" s="194"/>
      <c r="L1062" s="173"/>
      <c r="M1062" s="171"/>
      <c r="N1062" s="171"/>
      <c r="O1062" s="194"/>
      <c r="P1062" s="195"/>
      <c r="Q1062" s="171"/>
      <c r="R1062" s="171"/>
      <c r="S1062" s="194"/>
      <c r="T1062" s="195"/>
      <c r="U1062" s="171"/>
      <c r="V1062" s="171"/>
      <c r="W1062" s="194"/>
      <c r="X1062" s="195"/>
      <c r="Y1062" s="171"/>
      <c r="Z1062" s="171"/>
      <c r="AA1062" s="194"/>
      <c r="AB1062" s="195"/>
      <c r="AC1062" s="171"/>
      <c r="AD1062" s="171"/>
      <c r="AE1062" s="194"/>
      <c r="AF1062" s="195"/>
      <c r="AG1062" s="171"/>
      <c r="AH1062" s="171"/>
      <c r="AI1062" s="194"/>
      <c r="AJ1062" s="196"/>
    </row>
    <row r="1063" spans="2:36">
      <c r="B1063" s="166"/>
      <c r="C1063" s="167"/>
      <c r="D1063" s="171"/>
      <c r="E1063" s="171"/>
      <c r="F1063" s="171"/>
      <c r="G1063" s="172"/>
      <c r="H1063" s="173"/>
      <c r="I1063" s="193"/>
      <c r="J1063" s="171"/>
      <c r="K1063" s="194"/>
      <c r="L1063" s="173"/>
      <c r="M1063" s="171"/>
      <c r="N1063" s="171"/>
      <c r="O1063" s="194"/>
      <c r="P1063" s="195"/>
      <c r="Q1063" s="171"/>
      <c r="R1063" s="171"/>
      <c r="S1063" s="194"/>
      <c r="T1063" s="195"/>
      <c r="U1063" s="171"/>
      <c r="V1063" s="171"/>
      <c r="W1063" s="194"/>
      <c r="X1063" s="195"/>
      <c r="Y1063" s="171"/>
      <c r="Z1063" s="171"/>
      <c r="AA1063" s="194"/>
      <c r="AB1063" s="195"/>
      <c r="AC1063" s="171"/>
      <c r="AD1063" s="171"/>
      <c r="AE1063" s="194"/>
      <c r="AF1063" s="195"/>
      <c r="AG1063" s="171"/>
      <c r="AH1063" s="171"/>
      <c r="AI1063" s="194"/>
      <c r="AJ1063" s="196"/>
    </row>
    <row r="1064" spans="2:36">
      <c r="B1064" s="166"/>
      <c r="C1064" s="167"/>
      <c r="D1064" s="171"/>
      <c r="E1064" s="171"/>
      <c r="F1064" s="171"/>
      <c r="G1064" s="172"/>
      <c r="H1064" s="173"/>
      <c r="I1064" s="193"/>
      <c r="J1064" s="171"/>
      <c r="K1064" s="194"/>
      <c r="L1064" s="173"/>
      <c r="M1064" s="171"/>
      <c r="N1064" s="171"/>
      <c r="O1064" s="194"/>
      <c r="P1064" s="195"/>
      <c r="Q1064" s="171"/>
      <c r="R1064" s="171"/>
      <c r="S1064" s="194"/>
      <c r="T1064" s="195"/>
      <c r="U1064" s="171"/>
      <c r="V1064" s="171"/>
      <c r="W1064" s="194"/>
      <c r="X1064" s="195"/>
      <c r="Y1064" s="171"/>
      <c r="Z1064" s="171"/>
      <c r="AA1064" s="194"/>
      <c r="AB1064" s="195"/>
      <c r="AC1064" s="171"/>
      <c r="AD1064" s="171"/>
      <c r="AE1064" s="194"/>
      <c r="AF1064" s="195"/>
      <c r="AG1064" s="171"/>
      <c r="AH1064" s="171"/>
      <c r="AI1064" s="194"/>
      <c r="AJ1064" s="196"/>
    </row>
    <row r="1065" spans="2:36">
      <c r="B1065" s="166"/>
      <c r="C1065" s="167"/>
      <c r="D1065" s="171"/>
      <c r="E1065" s="171"/>
      <c r="F1065" s="171"/>
      <c r="G1065" s="172"/>
      <c r="H1065" s="173"/>
      <c r="I1065" s="193"/>
      <c r="J1065" s="171"/>
      <c r="K1065" s="194"/>
      <c r="L1065" s="173"/>
      <c r="M1065" s="171"/>
      <c r="N1065" s="171"/>
      <c r="O1065" s="194"/>
      <c r="P1065" s="195"/>
      <c r="Q1065" s="171"/>
      <c r="R1065" s="171"/>
      <c r="S1065" s="194"/>
      <c r="T1065" s="195"/>
      <c r="U1065" s="171"/>
      <c r="V1065" s="171"/>
      <c r="W1065" s="194"/>
      <c r="X1065" s="195"/>
      <c r="Y1065" s="171"/>
      <c r="Z1065" s="171"/>
      <c r="AA1065" s="194"/>
      <c r="AB1065" s="195"/>
      <c r="AC1065" s="171"/>
      <c r="AD1065" s="171"/>
      <c r="AE1065" s="194"/>
      <c r="AF1065" s="195"/>
      <c r="AG1065" s="171"/>
      <c r="AH1065" s="171"/>
      <c r="AI1065" s="194"/>
      <c r="AJ1065" s="196"/>
    </row>
    <row r="1066" spans="2:36">
      <c r="B1066" s="166"/>
      <c r="C1066" s="167"/>
      <c r="D1066" s="171"/>
      <c r="E1066" s="171"/>
      <c r="F1066" s="171"/>
      <c r="G1066" s="172"/>
      <c r="H1066" s="173"/>
      <c r="I1066" s="193"/>
      <c r="J1066" s="171"/>
      <c r="K1066" s="194"/>
      <c r="L1066" s="173"/>
      <c r="M1066" s="171"/>
      <c r="N1066" s="171"/>
      <c r="O1066" s="194"/>
      <c r="P1066" s="195"/>
      <c r="Q1066" s="171"/>
      <c r="R1066" s="171"/>
      <c r="S1066" s="194"/>
      <c r="T1066" s="195"/>
      <c r="U1066" s="171"/>
      <c r="V1066" s="171"/>
      <c r="W1066" s="194"/>
      <c r="X1066" s="195"/>
      <c r="Y1066" s="171"/>
      <c r="Z1066" s="171"/>
      <c r="AA1066" s="194"/>
      <c r="AB1066" s="195"/>
      <c r="AC1066" s="171"/>
      <c r="AD1066" s="171"/>
      <c r="AE1066" s="194"/>
      <c r="AF1066" s="195"/>
      <c r="AG1066" s="171"/>
      <c r="AH1066" s="171"/>
      <c r="AI1066" s="194"/>
      <c r="AJ1066" s="196"/>
    </row>
    <row r="1067" spans="2:36">
      <c r="B1067" s="166"/>
      <c r="C1067" s="167"/>
      <c r="D1067" s="171"/>
      <c r="E1067" s="171"/>
      <c r="F1067" s="171"/>
      <c r="G1067" s="172"/>
      <c r="H1067" s="173"/>
      <c r="I1067" s="193"/>
      <c r="J1067" s="171"/>
      <c r="K1067" s="194"/>
      <c r="L1067" s="173"/>
      <c r="M1067" s="171"/>
      <c r="N1067" s="171"/>
      <c r="O1067" s="194"/>
      <c r="P1067" s="195"/>
      <c r="Q1067" s="171"/>
      <c r="R1067" s="171"/>
      <c r="S1067" s="194"/>
      <c r="T1067" s="195"/>
      <c r="U1067" s="171"/>
      <c r="V1067" s="171"/>
      <c r="W1067" s="194"/>
      <c r="X1067" s="195"/>
      <c r="Y1067" s="171"/>
      <c r="Z1067" s="171"/>
      <c r="AA1067" s="194"/>
      <c r="AB1067" s="195"/>
      <c r="AC1067" s="171"/>
      <c r="AD1067" s="171"/>
      <c r="AE1067" s="194"/>
      <c r="AF1067" s="195"/>
      <c r="AG1067" s="171"/>
      <c r="AH1067" s="171"/>
      <c r="AI1067" s="194"/>
      <c r="AJ1067" s="196"/>
    </row>
    <row r="1068" spans="2:36">
      <c r="B1068" s="166"/>
      <c r="C1068" s="167"/>
      <c r="D1068" s="171"/>
      <c r="E1068" s="171"/>
      <c r="F1068" s="171"/>
      <c r="G1068" s="172"/>
      <c r="H1068" s="173"/>
      <c r="I1068" s="193"/>
      <c r="J1068" s="171"/>
      <c r="K1068" s="194"/>
      <c r="L1068" s="173"/>
      <c r="M1068" s="171"/>
      <c r="N1068" s="171"/>
      <c r="O1068" s="194"/>
      <c r="P1068" s="195"/>
      <c r="Q1068" s="171"/>
      <c r="R1068" s="171"/>
      <c r="S1068" s="194"/>
      <c r="T1068" s="195"/>
      <c r="U1068" s="171"/>
      <c r="V1068" s="171"/>
      <c r="W1068" s="194"/>
      <c r="X1068" s="195"/>
      <c r="Y1068" s="171"/>
      <c r="Z1068" s="171"/>
      <c r="AA1068" s="194"/>
      <c r="AB1068" s="195"/>
      <c r="AC1068" s="171"/>
      <c r="AD1068" s="171"/>
      <c r="AE1068" s="194"/>
      <c r="AF1068" s="195"/>
      <c r="AG1068" s="171"/>
      <c r="AH1068" s="171"/>
      <c r="AI1068" s="194"/>
      <c r="AJ1068" s="196"/>
    </row>
    <row r="1069" spans="2:36">
      <c r="B1069" s="166"/>
      <c r="C1069" s="167"/>
      <c r="D1069" s="171"/>
      <c r="E1069" s="171"/>
      <c r="F1069" s="171"/>
      <c r="G1069" s="172"/>
      <c r="H1069" s="173"/>
      <c r="I1069" s="193"/>
      <c r="J1069" s="171"/>
      <c r="K1069" s="194"/>
      <c r="L1069" s="173"/>
      <c r="M1069" s="171"/>
      <c r="N1069" s="171"/>
      <c r="O1069" s="194"/>
      <c r="P1069" s="195"/>
      <c r="Q1069" s="171"/>
      <c r="R1069" s="171"/>
      <c r="S1069" s="194"/>
      <c r="T1069" s="195"/>
      <c r="U1069" s="171"/>
      <c r="V1069" s="171"/>
      <c r="W1069" s="194"/>
      <c r="X1069" s="195"/>
      <c r="Y1069" s="171"/>
      <c r="Z1069" s="171"/>
      <c r="AA1069" s="194"/>
      <c r="AB1069" s="195"/>
      <c r="AC1069" s="171"/>
      <c r="AD1069" s="171"/>
      <c r="AE1069" s="194"/>
      <c r="AF1069" s="195"/>
      <c r="AG1069" s="171"/>
      <c r="AH1069" s="171"/>
      <c r="AI1069" s="194"/>
      <c r="AJ1069" s="196"/>
    </row>
    <row r="1070" spans="2:36">
      <c r="B1070" s="166"/>
      <c r="C1070" s="167"/>
      <c r="D1070" s="171"/>
      <c r="E1070" s="171"/>
      <c r="F1070" s="171"/>
      <c r="G1070" s="172"/>
      <c r="H1070" s="173"/>
      <c r="I1070" s="193"/>
      <c r="J1070" s="171"/>
      <c r="K1070" s="194"/>
      <c r="L1070" s="173"/>
      <c r="M1070" s="171"/>
      <c r="N1070" s="171"/>
      <c r="O1070" s="194"/>
      <c r="P1070" s="195"/>
      <c r="Q1070" s="171"/>
      <c r="R1070" s="171"/>
      <c r="S1070" s="194"/>
      <c r="T1070" s="195"/>
      <c r="U1070" s="171"/>
      <c r="V1070" s="171"/>
      <c r="W1070" s="194"/>
      <c r="X1070" s="195"/>
      <c r="Y1070" s="171"/>
      <c r="Z1070" s="171"/>
      <c r="AA1070" s="194"/>
      <c r="AB1070" s="195"/>
      <c r="AC1070" s="171"/>
      <c r="AD1070" s="171"/>
      <c r="AE1070" s="194"/>
      <c r="AF1070" s="195"/>
      <c r="AG1070" s="171"/>
      <c r="AH1070" s="171"/>
      <c r="AI1070" s="194"/>
      <c r="AJ1070" s="196"/>
    </row>
    <row r="1071" spans="2:36">
      <c r="B1071" s="166"/>
      <c r="C1071" s="167"/>
      <c r="D1071" s="171"/>
      <c r="E1071" s="171"/>
      <c r="F1071" s="171"/>
      <c r="G1071" s="172"/>
      <c r="H1071" s="173"/>
      <c r="I1071" s="193"/>
      <c r="J1071" s="171"/>
      <c r="K1071" s="194"/>
      <c r="L1071" s="173"/>
      <c r="M1071" s="171"/>
      <c r="N1071" s="171"/>
      <c r="O1071" s="194"/>
      <c r="P1071" s="195"/>
      <c r="Q1071" s="171"/>
      <c r="R1071" s="171"/>
      <c r="S1071" s="194"/>
      <c r="T1071" s="195"/>
      <c r="U1071" s="171"/>
      <c r="V1071" s="171"/>
      <c r="W1071" s="194"/>
      <c r="X1071" s="195"/>
      <c r="Y1071" s="171"/>
      <c r="Z1071" s="171"/>
      <c r="AA1071" s="194"/>
      <c r="AB1071" s="195"/>
      <c r="AC1071" s="171"/>
      <c r="AD1071" s="171"/>
      <c r="AE1071" s="194"/>
      <c r="AF1071" s="195"/>
      <c r="AG1071" s="171"/>
      <c r="AH1071" s="171"/>
      <c r="AI1071" s="194"/>
      <c r="AJ1071" s="196"/>
    </row>
    <row r="1072" spans="2:36">
      <c r="B1072" s="166"/>
      <c r="C1072" s="167"/>
      <c r="D1072" s="171"/>
      <c r="E1072" s="171"/>
      <c r="F1072" s="171"/>
      <c r="G1072" s="172"/>
      <c r="H1072" s="173"/>
      <c r="I1072" s="193"/>
      <c r="J1072" s="171"/>
      <c r="K1072" s="194"/>
      <c r="L1072" s="173"/>
      <c r="M1072" s="171"/>
      <c r="N1072" s="171"/>
      <c r="O1072" s="194"/>
      <c r="P1072" s="195"/>
      <c r="Q1072" s="171"/>
      <c r="R1072" s="171"/>
      <c r="S1072" s="194"/>
      <c r="T1072" s="195"/>
      <c r="U1072" s="171"/>
      <c r="V1072" s="171"/>
      <c r="W1072" s="194"/>
      <c r="X1072" s="195"/>
      <c r="Y1072" s="171"/>
      <c r="Z1072" s="171"/>
      <c r="AA1072" s="194"/>
      <c r="AB1072" s="195"/>
      <c r="AC1072" s="171"/>
      <c r="AD1072" s="171"/>
      <c r="AE1072" s="194"/>
      <c r="AF1072" s="195"/>
      <c r="AG1072" s="171"/>
      <c r="AH1072" s="171"/>
      <c r="AI1072" s="194"/>
      <c r="AJ1072" s="196"/>
    </row>
    <row r="1073" spans="2:36">
      <c r="B1073" s="166"/>
      <c r="C1073" s="167"/>
      <c r="D1073" s="171"/>
      <c r="E1073" s="171"/>
      <c r="F1073" s="171"/>
      <c r="G1073" s="172"/>
      <c r="H1073" s="173"/>
      <c r="I1073" s="193"/>
      <c r="J1073" s="171"/>
      <c r="K1073" s="194"/>
      <c r="L1073" s="173"/>
      <c r="M1073" s="171"/>
      <c r="N1073" s="171"/>
      <c r="O1073" s="194"/>
      <c r="P1073" s="195"/>
      <c r="Q1073" s="171"/>
      <c r="R1073" s="171"/>
      <c r="S1073" s="194"/>
      <c r="T1073" s="195"/>
      <c r="U1073" s="171"/>
      <c r="V1073" s="171"/>
      <c r="W1073" s="194"/>
      <c r="X1073" s="195"/>
      <c r="Y1073" s="171"/>
      <c r="Z1073" s="171"/>
      <c r="AA1073" s="194"/>
      <c r="AB1073" s="195"/>
      <c r="AC1073" s="171"/>
      <c r="AD1073" s="171"/>
      <c r="AE1073" s="194"/>
      <c r="AF1073" s="195"/>
      <c r="AG1073" s="171"/>
      <c r="AH1073" s="171"/>
      <c r="AI1073" s="194"/>
      <c r="AJ1073" s="196"/>
    </row>
    <row r="1074" spans="2:36">
      <c r="B1074" s="166"/>
      <c r="C1074" s="167"/>
      <c r="D1074" s="171"/>
      <c r="E1074" s="171"/>
      <c r="F1074" s="171"/>
      <c r="G1074" s="172"/>
      <c r="H1074" s="173"/>
      <c r="I1074" s="193"/>
      <c r="J1074" s="171"/>
      <c r="K1074" s="194"/>
      <c r="L1074" s="173"/>
      <c r="M1074" s="171"/>
      <c r="N1074" s="171"/>
      <c r="O1074" s="194"/>
      <c r="P1074" s="195"/>
      <c r="Q1074" s="171"/>
      <c r="R1074" s="171"/>
      <c r="S1074" s="194"/>
      <c r="T1074" s="195"/>
      <c r="U1074" s="171"/>
      <c r="V1074" s="171"/>
      <c r="W1074" s="194"/>
      <c r="X1074" s="195"/>
      <c r="Y1074" s="171"/>
      <c r="Z1074" s="171"/>
      <c r="AA1074" s="194"/>
      <c r="AB1074" s="195"/>
      <c r="AC1074" s="171"/>
      <c r="AD1074" s="171"/>
      <c r="AE1074" s="194"/>
      <c r="AF1074" s="195"/>
      <c r="AG1074" s="171"/>
      <c r="AH1074" s="171"/>
      <c r="AI1074" s="194"/>
      <c r="AJ1074" s="196"/>
    </row>
    <row r="1075" spans="2:36">
      <c r="B1075" s="166"/>
      <c r="C1075" s="167"/>
      <c r="D1075" s="171"/>
      <c r="E1075" s="171"/>
      <c r="F1075" s="171"/>
      <c r="G1075" s="172"/>
      <c r="H1075" s="173"/>
      <c r="I1075" s="193"/>
      <c r="J1075" s="171"/>
      <c r="K1075" s="194"/>
      <c r="L1075" s="173"/>
      <c r="M1075" s="171"/>
      <c r="N1075" s="171"/>
      <c r="O1075" s="194"/>
      <c r="P1075" s="195"/>
      <c r="Q1075" s="171"/>
      <c r="R1075" s="171"/>
      <c r="S1075" s="194"/>
      <c r="T1075" s="195"/>
      <c r="U1075" s="171"/>
      <c r="V1075" s="171"/>
      <c r="W1075" s="194"/>
      <c r="X1075" s="195"/>
      <c r="Y1075" s="171"/>
      <c r="Z1075" s="171"/>
      <c r="AA1075" s="194"/>
      <c r="AB1075" s="195"/>
      <c r="AC1075" s="171"/>
      <c r="AD1075" s="171"/>
      <c r="AE1075" s="194"/>
      <c r="AF1075" s="195"/>
      <c r="AG1075" s="171"/>
      <c r="AH1075" s="171"/>
      <c r="AI1075" s="194"/>
      <c r="AJ1075" s="196"/>
    </row>
    <row r="1076" spans="2:36">
      <c r="B1076" s="166"/>
      <c r="C1076" s="167"/>
      <c r="D1076" s="171"/>
      <c r="E1076" s="171"/>
      <c r="F1076" s="171"/>
      <c r="G1076" s="172"/>
      <c r="H1076" s="173"/>
      <c r="I1076" s="193"/>
      <c r="J1076" s="171"/>
      <c r="K1076" s="194"/>
      <c r="L1076" s="173"/>
      <c r="M1076" s="171"/>
      <c r="N1076" s="171"/>
      <c r="O1076" s="194"/>
      <c r="P1076" s="195"/>
      <c r="Q1076" s="171"/>
      <c r="R1076" s="171"/>
      <c r="S1076" s="194"/>
      <c r="T1076" s="195"/>
      <c r="U1076" s="171"/>
      <c r="V1076" s="171"/>
      <c r="W1076" s="194"/>
      <c r="X1076" s="195"/>
      <c r="Y1076" s="171"/>
      <c r="Z1076" s="171"/>
      <c r="AA1076" s="194"/>
      <c r="AB1076" s="195"/>
      <c r="AC1076" s="171"/>
      <c r="AD1076" s="171"/>
      <c r="AE1076" s="194"/>
      <c r="AF1076" s="195"/>
      <c r="AG1076" s="171"/>
      <c r="AH1076" s="171"/>
      <c r="AI1076" s="194"/>
      <c r="AJ1076" s="196"/>
    </row>
    <row r="1077" spans="2:36">
      <c r="B1077" s="166"/>
      <c r="C1077" s="167"/>
      <c r="D1077" s="171"/>
      <c r="E1077" s="171"/>
      <c r="F1077" s="171"/>
      <c r="G1077" s="172"/>
      <c r="H1077" s="173"/>
      <c r="I1077" s="193"/>
      <c r="J1077" s="171"/>
      <c r="K1077" s="194"/>
      <c r="L1077" s="173"/>
      <c r="M1077" s="171"/>
      <c r="N1077" s="171"/>
      <c r="O1077" s="194"/>
      <c r="P1077" s="195"/>
      <c r="Q1077" s="171"/>
      <c r="R1077" s="171"/>
      <c r="S1077" s="194"/>
      <c r="T1077" s="195"/>
      <c r="U1077" s="171"/>
      <c r="V1077" s="171"/>
      <c r="W1077" s="194"/>
      <c r="X1077" s="195"/>
      <c r="Y1077" s="171"/>
      <c r="Z1077" s="171"/>
      <c r="AA1077" s="194"/>
      <c r="AB1077" s="195"/>
      <c r="AC1077" s="171"/>
      <c r="AD1077" s="171"/>
      <c r="AE1077" s="194"/>
      <c r="AF1077" s="195"/>
      <c r="AG1077" s="171"/>
      <c r="AH1077" s="171"/>
      <c r="AI1077" s="194"/>
      <c r="AJ1077" s="196"/>
    </row>
    <row r="1078" spans="2:36">
      <c r="B1078" s="166"/>
      <c r="C1078" s="167"/>
      <c r="D1078" s="171"/>
      <c r="E1078" s="171"/>
      <c r="F1078" s="171"/>
      <c r="G1078" s="172"/>
      <c r="H1078" s="173"/>
      <c r="I1078" s="193"/>
      <c r="J1078" s="171"/>
      <c r="K1078" s="194"/>
      <c r="L1078" s="173"/>
      <c r="M1078" s="171"/>
      <c r="N1078" s="171"/>
      <c r="O1078" s="194"/>
      <c r="P1078" s="195"/>
      <c r="Q1078" s="171"/>
      <c r="R1078" s="171"/>
      <c r="S1078" s="194"/>
      <c r="T1078" s="195"/>
      <c r="U1078" s="171"/>
      <c r="V1078" s="171"/>
      <c r="W1078" s="194"/>
      <c r="X1078" s="195"/>
      <c r="Y1078" s="171"/>
      <c r="Z1078" s="171"/>
      <c r="AA1078" s="194"/>
      <c r="AB1078" s="195"/>
      <c r="AC1078" s="171"/>
      <c r="AD1078" s="171"/>
      <c r="AE1078" s="194"/>
      <c r="AF1078" s="195"/>
      <c r="AG1078" s="171"/>
      <c r="AH1078" s="171"/>
      <c r="AI1078" s="194"/>
      <c r="AJ1078" s="196"/>
    </row>
    <row r="1079" spans="2:36">
      <c r="B1079" s="166"/>
      <c r="C1079" s="167"/>
      <c r="D1079" s="171"/>
      <c r="E1079" s="171"/>
      <c r="F1079" s="171"/>
      <c r="G1079" s="172"/>
      <c r="H1079" s="173"/>
      <c r="I1079" s="193"/>
      <c r="J1079" s="171"/>
      <c r="K1079" s="194"/>
      <c r="L1079" s="173"/>
      <c r="M1079" s="171"/>
      <c r="N1079" s="171"/>
      <c r="O1079" s="194"/>
      <c r="P1079" s="195"/>
      <c r="Q1079" s="171"/>
      <c r="R1079" s="171"/>
      <c r="S1079" s="194"/>
      <c r="T1079" s="195"/>
      <c r="U1079" s="171"/>
      <c r="V1079" s="171"/>
      <c r="W1079" s="194"/>
      <c r="X1079" s="195"/>
      <c r="Y1079" s="171"/>
      <c r="Z1079" s="171"/>
      <c r="AA1079" s="194"/>
      <c r="AB1079" s="195"/>
      <c r="AC1079" s="171"/>
      <c r="AD1079" s="171"/>
      <c r="AE1079" s="194"/>
      <c r="AF1079" s="195"/>
      <c r="AG1079" s="171"/>
      <c r="AH1079" s="171"/>
      <c r="AI1079" s="194"/>
      <c r="AJ1079" s="196"/>
    </row>
    <row r="1080" spans="2:36">
      <c r="B1080" s="166"/>
      <c r="C1080" s="167"/>
      <c r="D1080" s="171"/>
      <c r="E1080" s="171"/>
      <c r="F1080" s="171"/>
      <c r="G1080" s="172"/>
      <c r="H1080" s="173"/>
      <c r="I1080" s="193"/>
      <c r="J1080" s="171"/>
      <c r="K1080" s="194"/>
      <c r="L1080" s="173"/>
      <c r="M1080" s="171"/>
      <c r="N1080" s="171"/>
      <c r="O1080" s="194"/>
      <c r="P1080" s="195"/>
      <c r="Q1080" s="171"/>
      <c r="R1080" s="171"/>
      <c r="S1080" s="194"/>
      <c r="T1080" s="195"/>
      <c r="U1080" s="171"/>
      <c r="V1080" s="171"/>
      <c r="W1080" s="194"/>
      <c r="X1080" s="195"/>
      <c r="Y1080" s="171"/>
      <c r="Z1080" s="171"/>
      <c r="AA1080" s="194"/>
      <c r="AB1080" s="195"/>
      <c r="AC1080" s="171"/>
      <c r="AD1080" s="171"/>
      <c r="AE1080" s="194"/>
      <c r="AF1080" s="195"/>
      <c r="AG1080" s="171"/>
      <c r="AH1080" s="171"/>
      <c r="AI1080" s="194"/>
      <c r="AJ1080" s="196"/>
    </row>
    <row r="1081" spans="2:36">
      <c r="B1081" s="166"/>
      <c r="C1081" s="167"/>
      <c r="D1081" s="171"/>
      <c r="E1081" s="171"/>
      <c r="F1081" s="171"/>
      <c r="G1081" s="172"/>
      <c r="H1081" s="173"/>
      <c r="I1081" s="193"/>
      <c r="J1081" s="171"/>
      <c r="K1081" s="194"/>
      <c r="L1081" s="173"/>
      <c r="M1081" s="171"/>
      <c r="N1081" s="171"/>
      <c r="O1081" s="194"/>
      <c r="P1081" s="195"/>
      <c r="Q1081" s="171"/>
      <c r="R1081" s="171"/>
      <c r="S1081" s="194"/>
      <c r="T1081" s="195"/>
      <c r="U1081" s="171"/>
      <c r="V1081" s="171"/>
      <c r="W1081" s="194"/>
      <c r="X1081" s="195"/>
      <c r="Y1081" s="171"/>
      <c r="Z1081" s="171"/>
      <c r="AA1081" s="194"/>
      <c r="AB1081" s="195"/>
      <c r="AC1081" s="171"/>
      <c r="AD1081" s="171"/>
      <c r="AE1081" s="194"/>
      <c r="AF1081" s="195"/>
      <c r="AG1081" s="171"/>
      <c r="AH1081" s="171"/>
      <c r="AI1081" s="194"/>
      <c r="AJ1081" s="196"/>
    </row>
    <row r="1082" spans="2:36">
      <c r="B1082" s="166"/>
      <c r="C1082" s="167"/>
      <c r="D1082" s="171"/>
      <c r="E1082" s="171"/>
      <c r="F1082" s="171"/>
      <c r="G1082" s="172"/>
      <c r="H1082" s="173"/>
      <c r="I1082" s="193"/>
      <c r="J1082" s="171"/>
      <c r="K1082" s="194"/>
      <c r="L1082" s="173"/>
      <c r="M1082" s="171"/>
      <c r="N1082" s="171"/>
      <c r="O1082" s="194"/>
      <c r="P1082" s="195"/>
      <c r="Q1082" s="171"/>
      <c r="R1082" s="171"/>
      <c r="S1082" s="194"/>
      <c r="T1082" s="195"/>
      <c r="U1082" s="171"/>
      <c r="V1082" s="171"/>
      <c r="W1082" s="194"/>
      <c r="X1082" s="195"/>
      <c r="Y1082" s="171"/>
      <c r="Z1082" s="171"/>
      <c r="AA1082" s="194"/>
      <c r="AB1082" s="195"/>
      <c r="AC1082" s="171"/>
      <c r="AD1082" s="171"/>
      <c r="AE1082" s="194"/>
      <c r="AF1082" s="195"/>
      <c r="AG1082" s="171"/>
      <c r="AH1082" s="171"/>
      <c r="AI1082" s="194"/>
      <c r="AJ1082" s="196"/>
    </row>
    <row r="1083" spans="2:36">
      <c r="B1083" s="166"/>
      <c r="C1083" s="167"/>
      <c r="D1083" s="171"/>
      <c r="E1083" s="171"/>
      <c r="F1083" s="171"/>
      <c r="G1083" s="172"/>
      <c r="H1083" s="173"/>
      <c r="I1083" s="193"/>
      <c r="J1083" s="171"/>
      <c r="K1083" s="194"/>
      <c r="L1083" s="173"/>
      <c r="M1083" s="171"/>
      <c r="N1083" s="171"/>
      <c r="O1083" s="194"/>
      <c r="P1083" s="195"/>
      <c r="Q1083" s="171"/>
      <c r="R1083" s="171"/>
      <c r="S1083" s="194"/>
      <c r="T1083" s="195"/>
      <c r="U1083" s="171"/>
      <c r="V1083" s="171"/>
      <c r="W1083" s="194"/>
      <c r="X1083" s="195"/>
      <c r="Y1083" s="171"/>
      <c r="Z1083" s="171"/>
      <c r="AA1083" s="194"/>
      <c r="AB1083" s="195"/>
      <c r="AC1083" s="171"/>
      <c r="AD1083" s="171"/>
      <c r="AE1083" s="194"/>
      <c r="AF1083" s="195"/>
      <c r="AG1083" s="171"/>
      <c r="AH1083" s="171"/>
      <c r="AI1083" s="194"/>
      <c r="AJ1083" s="196"/>
    </row>
    <row r="1084" spans="2:36">
      <c r="B1084" s="166"/>
      <c r="C1084" s="167"/>
      <c r="D1084" s="171"/>
      <c r="E1084" s="171"/>
      <c r="F1084" s="171"/>
      <c r="G1084" s="172"/>
      <c r="H1084" s="173"/>
      <c r="I1084" s="193"/>
      <c r="J1084" s="171"/>
      <c r="K1084" s="194"/>
      <c r="L1084" s="173"/>
      <c r="M1084" s="171"/>
      <c r="N1084" s="171"/>
      <c r="O1084" s="194"/>
      <c r="P1084" s="195"/>
      <c r="Q1084" s="171"/>
      <c r="R1084" s="171"/>
      <c r="S1084" s="194"/>
      <c r="T1084" s="195"/>
      <c r="U1084" s="171"/>
      <c r="V1084" s="171"/>
      <c r="W1084" s="194"/>
      <c r="X1084" s="195"/>
      <c r="Y1084" s="171"/>
      <c r="Z1084" s="171"/>
      <c r="AA1084" s="194"/>
      <c r="AB1084" s="195"/>
      <c r="AC1084" s="171"/>
      <c r="AD1084" s="171"/>
      <c r="AE1084" s="194"/>
      <c r="AF1084" s="195"/>
      <c r="AG1084" s="171"/>
      <c r="AH1084" s="171"/>
      <c r="AI1084" s="194"/>
      <c r="AJ1084" s="196"/>
    </row>
    <row r="1085" spans="2:36">
      <c r="B1085" s="166"/>
      <c r="C1085" s="167"/>
      <c r="D1085" s="171"/>
      <c r="E1085" s="171"/>
      <c r="F1085" s="171"/>
      <c r="G1085" s="172"/>
      <c r="H1085" s="173"/>
      <c r="I1085" s="193"/>
      <c r="J1085" s="171"/>
      <c r="K1085" s="194"/>
      <c r="L1085" s="173"/>
      <c r="M1085" s="171"/>
      <c r="N1085" s="171"/>
      <c r="O1085" s="194"/>
      <c r="P1085" s="195"/>
      <c r="Q1085" s="171"/>
      <c r="R1085" s="171"/>
      <c r="S1085" s="194"/>
      <c r="T1085" s="195"/>
      <c r="U1085" s="171"/>
      <c r="V1085" s="171"/>
      <c r="W1085" s="194"/>
      <c r="X1085" s="195"/>
      <c r="Y1085" s="171"/>
      <c r="Z1085" s="171"/>
      <c r="AA1085" s="194"/>
      <c r="AB1085" s="195"/>
      <c r="AC1085" s="171"/>
      <c r="AD1085" s="171"/>
      <c r="AE1085" s="194"/>
      <c r="AF1085" s="195"/>
      <c r="AG1085" s="171"/>
      <c r="AH1085" s="171"/>
      <c r="AI1085" s="194"/>
      <c r="AJ1085" s="196"/>
    </row>
    <row r="1086" spans="2:36">
      <c r="B1086" s="166"/>
      <c r="C1086" s="167"/>
      <c r="D1086" s="171"/>
      <c r="E1086" s="171"/>
      <c r="F1086" s="171"/>
      <c r="G1086" s="172"/>
      <c r="H1086" s="173"/>
      <c r="I1086" s="193"/>
      <c r="J1086" s="171"/>
      <c r="K1086" s="194"/>
      <c r="L1086" s="173"/>
      <c r="M1086" s="171"/>
      <c r="N1086" s="171"/>
      <c r="O1086" s="194"/>
      <c r="P1086" s="195"/>
      <c r="Q1086" s="171"/>
      <c r="R1086" s="171"/>
      <c r="S1086" s="194"/>
      <c r="T1086" s="195"/>
      <c r="U1086" s="171"/>
      <c r="V1086" s="171"/>
      <c r="W1086" s="194"/>
      <c r="X1086" s="195"/>
      <c r="Y1086" s="171"/>
      <c r="Z1086" s="171"/>
      <c r="AA1086" s="194"/>
      <c r="AB1086" s="195"/>
      <c r="AC1086" s="171"/>
      <c r="AD1086" s="171"/>
      <c r="AE1086" s="194"/>
      <c r="AF1086" s="195"/>
      <c r="AG1086" s="171"/>
      <c r="AH1086" s="171"/>
      <c r="AI1086" s="194"/>
      <c r="AJ1086" s="196"/>
    </row>
    <row r="1087" spans="2:36">
      <c r="B1087" s="166"/>
      <c r="C1087" s="167"/>
      <c r="D1087" s="171"/>
      <c r="E1087" s="171"/>
      <c r="F1087" s="171"/>
      <c r="G1087" s="172"/>
      <c r="H1087" s="173"/>
      <c r="I1087" s="193"/>
      <c r="J1087" s="171"/>
      <c r="K1087" s="194"/>
      <c r="L1087" s="173"/>
      <c r="M1087" s="171"/>
      <c r="N1087" s="171"/>
      <c r="O1087" s="194"/>
      <c r="P1087" s="195"/>
      <c r="Q1087" s="171"/>
      <c r="R1087" s="171"/>
      <c r="S1087" s="194"/>
      <c r="T1087" s="195"/>
      <c r="U1087" s="171"/>
      <c r="V1087" s="171"/>
      <c r="W1087" s="194"/>
      <c r="X1087" s="195"/>
      <c r="Y1087" s="171"/>
      <c r="Z1087" s="171"/>
      <c r="AA1087" s="194"/>
      <c r="AB1087" s="195"/>
      <c r="AC1087" s="171"/>
      <c r="AD1087" s="171"/>
      <c r="AE1087" s="194"/>
      <c r="AF1087" s="195"/>
      <c r="AG1087" s="171"/>
      <c r="AH1087" s="171"/>
      <c r="AI1087" s="194"/>
      <c r="AJ1087" s="196"/>
    </row>
    <row r="1088" spans="2:36">
      <c r="B1088" s="166"/>
      <c r="C1088" s="167"/>
      <c r="D1088" s="171"/>
      <c r="E1088" s="171"/>
      <c r="F1088" s="171"/>
      <c r="G1088" s="172"/>
      <c r="H1088" s="173"/>
      <c r="I1088" s="193"/>
      <c r="J1088" s="171"/>
      <c r="K1088" s="194"/>
      <c r="L1088" s="173"/>
      <c r="M1088" s="171"/>
      <c r="N1088" s="171"/>
      <c r="O1088" s="194"/>
      <c r="P1088" s="195"/>
      <c r="Q1088" s="171"/>
      <c r="R1088" s="171"/>
      <c r="S1088" s="194"/>
      <c r="T1088" s="195"/>
      <c r="U1088" s="171"/>
      <c r="V1088" s="171"/>
      <c r="W1088" s="194"/>
      <c r="X1088" s="195"/>
      <c r="Y1088" s="171"/>
      <c r="Z1088" s="171"/>
      <c r="AA1088" s="194"/>
      <c r="AB1088" s="195"/>
      <c r="AC1088" s="171"/>
      <c r="AD1088" s="171"/>
      <c r="AE1088" s="194"/>
      <c r="AF1088" s="195"/>
      <c r="AG1088" s="171"/>
      <c r="AH1088" s="171"/>
      <c r="AI1088" s="194"/>
      <c r="AJ1088" s="196"/>
    </row>
    <row r="1089" spans="2:36">
      <c r="B1089" s="166"/>
      <c r="C1089" s="167"/>
      <c r="D1089" s="171"/>
      <c r="E1089" s="171"/>
      <c r="F1089" s="171"/>
      <c r="G1089" s="172"/>
      <c r="H1089" s="173"/>
      <c r="I1089" s="193"/>
      <c r="J1089" s="171"/>
      <c r="K1089" s="194"/>
      <c r="L1089" s="173"/>
      <c r="M1089" s="171"/>
      <c r="N1089" s="171"/>
      <c r="O1089" s="194"/>
      <c r="P1089" s="195"/>
      <c r="Q1089" s="171"/>
      <c r="R1089" s="171"/>
      <c r="S1089" s="194"/>
      <c r="T1089" s="195"/>
      <c r="U1089" s="171"/>
      <c r="V1089" s="171"/>
      <c r="W1089" s="194"/>
      <c r="X1089" s="195"/>
      <c r="Y1089" s="171"/>
      <c r="Z1089" s="171"/>
      <c r="AA1089" s="194"/>
      <c r="AB1089" s="195"/>
      <c r="AC1089" s="171"/>
      <c r="AD1089" s="171"/>
      <c r="AE1089" s="194"/>
      <c r="AF1089" s="195"/>
      <c r="AG1089" s="171"/>
      <c r="AH1089" s="171"/>
      <c r="AI1089" s="194"/>
      <c r="AJ1089" s="196"/>
    </row>
    <row r="1090" spans="2:36">
      <c r="B1090" s="166"/>
      <c r="C1090" s="167"/>
      <c r="D1090" s="171"/>
      <c r="E1090" s="171"/>
      <c r="F1090" s="171"/>
      <c r="G1090" s="172"/>
      <c r="H1090" s="173"/>
      <c r="I1090" s="193"/>
      <c r="J1090" s="171"/>
      <c r="K1090" s="194"/>
      <c r="L1090" s="173"/>
      <c r="M1090" s="171"/>
      <c r="N1090" s="171"/>
      <c r="O1090" s="194"/>
      <c r="P1090" s="195"/>
      <c r="Q1090" s="171"/>
      <c r="R1090" s="171"/>
      <c r="S1090" s="194"/>
      <c r="T1090" s="195"/>
      <c r="U1090" s="171"/>
      <c r="V1090" s="171"/>
      <c r="W1090" s="194"/>
      <c r="X1090" s="195"/>
      <c r="Y1090" s="171"/>
      <c r="Z1090" s="171"/>
      <c r="AA1090" s="194"/>
      <c r="AB1090" s="195"/>
      <c r="AC1090" s="171"/>
      <c r="AD1090" s="171"/>
      <c r="AE1090" s="194"/>
      <c r="AF1090" s="195"/>
      <c r="AG1090" s="171"/>
      <c r="AH1090" s="171"/>
      <c r="AI1090" s="194"/>
      <c r="AJ1090" s="196"/>
    </row>
    <row r="1091" spans="2:36">
      <c r="B1091" s="166"/>
      <c r="C1091" s="167"/>
      <c r="D1091" s="171"/>
      <c r="E1091" s="171"/>
      <c r="F1091" s="171"/>
      <c r="G1091" s="172"/>
      <c r="H1091" s="173"/>
      <c r="I1091" s="193"/>
      <c r="J1091" s="171"/>
      <c r="K1091" s="194"/>
      <c r="L1091" s="173"/>
      <c r="M1091" s="171"/>
      <c r="N1091" s="171"/>
      <c r="O1091" s="194"/>
      <c r="P1091" s="195"/>
      <c r="Q1091" s="171"/>
      <c r="R1091" s="171"/>
      <c r="S1091" s="194"/>
      <c r="T1091" s="195"/>
      <c r="U1091" s="171"/>
      <c r="V1091" s="171"/>
      <c r="W1091" s="194"/>
      <c r="X1091" s="195"/>
      <c r="Y1091" s="171"/>
      <c r="Z1091" s="171"/>
      <c r="AA1091" s="194"/>
      <c r="AB1091" s="195"/>
      <c r="AC1091" s="171"/>
      <c r="AD1091" s="171"/>
      <c r="AE1091" s="194"/>
      <c r="AF1091" s="195"/>
      <c r="AG1091" s="171"/>
      <c r="AH1091" s="171"/>
      <c r="AI1091" s="194"/>
      <c r="AJ1091" s="196"/>
    </row>
    <row r="1092" spans="2:36">
      <c r="B1092" s="166"/>
      <c r="C1092" s="167"/>
      <c r="D1092" s="171"/>
      <c r="E1092" s="171"/>
      <c r="F1092" s="171"/>
      <c r="G1092" s="172"/>
      <c r="H1092" s="173"/>
      <c r="I1092" s="193"/>
      <c r="J1092" s="171"/>
      <c r="K1092" s="194"/>
      <c r="L1092" s="173"/>
      <c r="M1092" s="171"/>
      <c r="N1092" s="171"/>
      <c r="O1092" s="194"/>
      <c r="P1092" s="195"/>
      <c r="Q1092" s="171"/>
      <c r="R1092" s="171"/>
      <c r="S1092" s="194"/>
      <c r="T1092" s="195"/>
      <c r="U1092" s="171"/>
      <c r="V1092" s="171"/>
      <c r="W1092" s="194"/>
      <c r="X1092" s="195"/>
      <c r="Y1092" s="171"/>
      <c r="Z1092" s="171"/>
      <c r="AA1092" s="194"/>
      <c r="AB1092" s="195"/>
      <c r="AC1092" s="171"/>
      <c r="AD1092" s="171"/>
      <c r="AE1092" s="194"/>
      <c r="AF1092" s="195"/>
      <c r="AG1092" s="171"/>
      <c r="AH1092" s="171"/>
      <c r="AI1092" s="194"/>
      <c r="AJ1092" s="196"/>
    </row>
    <row r="1093" spans="2:36">
      <c r="B1093" s="166"/>
      <c r="C1093" s="167"/>
      <c r="D1093" s="171"/>
      <c r="E1093" s="171"/>
      <c r="F1093" s="171"/>
      <c r="G1093" s="172"/>
      <c r="H1093" s="173"/>
      <c r="I1093" s="193"/>
      <c r="J1093" s="171"/>
      <c r="K1093" s="194"/>
      <c r="L1093" s="173"/>
      <c r="M1093" s="171"/>
      <c r="N1093" s="171"/>
      <c r="O1093" s="194"/>
      <c r="P1093" s="195"/>
      <c r="Q1093" s="171"/>
      <c r="R1093" s="171"/>
      <c r="S1093" s="194"/>
      <c r="T1093" s="195"/>
      <c r="U1093" s="171"/>
      <c r="V1093" s="171"/>
      <c r="W1093" s="194"/>
      <c r="X1093" s="195"/>
      <c r="Y1093" s="171"/>
      <c r="Z1093" s="171"/>
      <c r="AA1093" s="194"/>
      <c r="AB1093" s="195"/>
      <c r="AC1093" s="171"/>
      <c r="AD1093" s="171"/>
      <c r="AE1093" s="194"/>
      <c r="AF1093" s="195"/>
      <c r="AG1093" s="171"/>
      <c r="AH1093" s="171"/>
      <c r="AI1093" s="194"/>
      <c r="AJ1093" s="196"/>
    </row>
    <row r="1094" spans="2:36">
      <c r="B1094" s="166"/>
      <c r="C1094" s="167"/>
      <c r="D1094" s="171"/>
      <c r="E1094" s="171"/>
      <c r="F1094" s="171"/>
      <c r="G1094" s="172"/>
      <c r="H1094" s="173"/>
      <c r="I1094" s="193"/>
      <c r="J1094" s="171"/>
      <c r="K1094" s="194"/>
      <c r="L1094" s="173"/>
      <c r="M1094" s="171"/>
      <c r="N1094" s="171"/>
      <c r="O1094" s="194"/>
      <c r="P1094" s="195"/>
      <c r="Q1094" s="171"/>
      <c r="R1094" s="171"/>
      <c r="S1094" s="194"/>
      <c r="T1094" s="195"/>
      <c r="U1094" s="171"/>
      <c r="V1094" s="171"/>
      <c r="W1094" s="194"/>
      <c r="X1094" s="195"/>
      <c r="Y1094" s="171"/>
      <c r="Z1094" s="171"/>
      <c r="AA1094" s="194"/>
      <c r="AB1094" s="195"/>
      <c r="AC1094" s="171"/>
      <c r="AD1094" s="171"/>
      <c r="AE1094" s="194"/>
      <c r="AF1094" s="195"/>
      <c r="AG1094" s="171"/>
      <c r="AH1094" s="171"/>
      <c r="AI1094" s="194"/>
      <c r="AJ1094" s="196"/>
    </row>
    <row r="1095" spans="2:36">
      <c r="B1095" s="166"/>
      <c r="C1095" s="167"/>
      <c r="D1095" s="171"/>
      <c r="E1095" s="171"/>
      <c r="F1095" s="171"/>
      <c r="G1095" s="172"/>
      <c r="H1095" s="173"/>
      <c r="I1095" s="193"/>
      <c r="J1095" s="171"/>
      <c r="K1095" s="194"/>
      <c r="L1095" s="173"/>
      <c r="M1095" s="171"/>
      <c r="N1095" s="171"/>
      <c r="O1095" s="194"/>
      <c r="P1095" s="195"/>
      <c r="Q1095" s="171"/>
      <c r="R1095" s="171"/>
      <c r="S1095" s="194"/>
      <c r="T1095" s="195"/>
      <c r="U1095" s="171"/>
      <c r="V1095" s="171"/>
      <c r="W1095" s="194"/>
      <c r="X1095" s="195"/>
      <c r="Y1095" s="171"/>
      <c r="Z1095" s="171"/>
      <c r="AA1095" s="194"/>
      <c r="AB1095" s="195"/>
      <c r="AC1095" s="171"/>
      <c r="AD1095" s="171"/>
      <c r="AE1095" s="194"/>
      <c r="AF1095" s="195"/>
      <c r="AG1095" s="171"/>
      <c r="AH1095" s="171"/>
      <c r="AI1095" s="194"/>
      <c r="AJ1095" s="196"/>
    </row>
    <row r="1096" spans="2:36">
      <c r="B1096" s="166"/>
      <c r="C1096" s="167"/>
      <c r="D1096" s="171"/>
      <c r="E1096" s="171"/>
      <c r="F1096" s="171"/>
      <c r="G1096" s="172"/>
      <c r="H1096" s="173"/>
      <c r="I1096" s="193"/>
      <c r="J1096" s="171"/>
      <c r="K1096" s="194"/>
      <c r="L1096" s="173"/>
      <c r="M1096" s="171"/>
      <c r="N1096" s="171"/>
      <c r="O1096" s="194"/>
      <c r="P1096" s="195"/>
      <c r="Q1096" s="171"/>
      <c r="R1096" s="171"/>
      <c r="S1096" s="194"/>
      <c r="T1096" s="195"/>
      <c r="U1096" s="171"/>
      <c r="V1096" s="171"/>
      <c r="W1096" s="194"/>
      <c r="X1096" s="195"/>
      <c r="Y1096" s="171"/>
      <c r="Z1096" s="171"/>
      <c r="AA1096" s="194"/>
      <c r="AB1096" s="195"/>
      <c r="AC1096" s="171"/>
      <c r="AD1096" s="171"/>
      <c r="AE1096" s="194"/>
      <c r="AF1096" s="195"/>
      <c r="AG1096" s="171"/>
      <c r="AH1096" s="171"/>
      <c r="AI1096" s="194"/>
      <c r="AJ1096" s="196"/>
    </row>
    <row r="1097" spans="2:36">
      <c r="B1097" s="166"/>
      <c r="C1097" s="167"/>
      <c r="D1097" s="171"/>
      <c r="E1097" s="171"/>
      <c r="F1097" s="171"/>
      <c r="G1097" s="172"/>
      <c r="H1097" s="173"/>
      <c r="I1097" s="193"/>
      <c r="J1097" s="171"/>
      <c r="K1097" s="194"/>
      <c r="L1097" s="173"/>
      <c r="M1097" s="171"/>
      <c r="N1097" s="171"/>
      <c r="O1097" s="194"/>
      <c r="P1097" s="195"/>
      <c r="Q1097" s="171"/>
      <c r="R1097" s="171"/>
      <c r="S1097" s="194"/>
      <c r="T1097" s="195"/>
      <c r="U1097" s="171"/>
      <c r="V1097" s="171"/>
      <c r="W1097" s="194"/>
      <c r="X1097" s="195"/>
      <c r="Y1097" s="171"/>
      <c r="Z1097" s="171"/>
      <c r="AA1097" s="194"/>
      <c r="AB1097" s="195"/>
      <c r="AC1097" s="171"/>
      <c r="AD1097" s="171"/>
      <c r="AE1097" s="194"/>
      <c r="AF1097" s="195"/>
      <c r="AG1097" s="171"/>
      <c r="AH1097" s="171"/>
      <c r="AI1097" s="194"/>
      <c r="AJ1097" s="196"/>
    </row>
    <row r="1098" spans="2:36">
      <c r="B1098" s="166"/>
      <c r="C1098" s="167"/>
      <c r="D1098" s="171"/>
      <c r="E1098" s="171"/>
      <c r="F1098" s="171"/>
      <c r="G1098" s="172"/>
      <c r="H1098" s="173"/>
      <c r="I1098" s="193"/>
      <c r="J1098" s="171"/>
      <c r="K1098" s="194"/>
      <c r="L1098" s="173"/>
      <c r="M1098" s="171"/>
      <c r="N1098" s="171"/>
      <c r="O1098" s="194"/>
      <c r="P1098" s="195"/>
      <c r="Q1098" s="171"/>
      <c r="R1098" s="171"/>
      <c r="S1098" s="194"/>
      <c r="T1098" s="195"/>
      <c r="U1098" s="171"/>
      <c r="V1098" s="171"/>
      <c r="W1098" s="194"/>
      <c r="X1098" s="195"/>
      <c r="Y1098" s="171"/>
      <c r="Z1098" s="171"/>
      <c r="AA1098" s="194"/>
      <c r="AB1098" s="195"/>
      <c r="AC1098" s="171"/>
      <c r="AD1098" s="171"/>
      <c r="AE1098" s="194"/>
      <c r="AF1098" s="195"/>
      <c r="AG1098" s="171"/>
      <c r="AH1098" s="171"/>
      <c r="AI1098" s="194"/>
      <c r="AJ1098" s="196"/>
    </row>
    <row r="1099" spans="2:36">
      <c r="B1099" s="166"/>
      <c r="C1099" s="167"/>
      <c r="D1099" s="171"/>
      <c r="E1099" s="171"/>
      <c r="F1099" s="171"/>
      <c r="G1099" s="172"/>
      <c r="H1099" s="173"/>
      <c r="I1099" s="193"/>
      <c r="J1099" s="171"/>
      <c r="K1099" s="194"/>
      <c r="L1099" s="173"/>
      <c r="M1099" s="171"/>
      <c r="N1099" s="171"/>
      <c r="O1099" s="194"/>
      <c r="P1099" s="195"/>
      <c r="Q1099" s="171"/>
      <c r="R1099" s="171"/>
      <c r="S1099" s="194"/>
      <c r="T1099" s="195"/>
      <c r="U1099" s="171"/>
      <c r="V1099" s="171"/>
      <c r="W1099" s="194"/>
      <c r="X1099" s="195"/>
      <c r="Y1099" s="171"/>
      <c r="Z1099" s="171"/>
      <c r="AA1099" s="194"/>
      <c r="AB1099" s="195"/>
      <c r="AC1099" s="171"/>
      <c r="AD1099" s="171"/>
      <c r="AE1099" s="194"/>
      <c r="AF1099" s="195"/>
      <c r="AG1099" s="171"/>
      <c r="AH1099" s="171"/>
      <c r="AI1099" s="194"/>
      <c r="AJ1099" s="196"/>
    </row>
    <row r="1100" spans="2:36">
      <c r="B1100" s="166"/>
      <c r="C1100" s="167"/>
      <c r="D1100" s="171"/>
      <c r="E1100" s="171"/>
      <c r="F1100" s="171"/>
      <c r="G1100" s="172"/>
      <c r="H1100" s="173"/>
      <c r="I1100" s="193"/>
      <c r="J1100" s="171"/>
      <c r="K1100" s="194"/>
      <c r="L1100" s="173"/>
      <c r="M1100" s="171"/>
      <c r="N1100" s="171"/>
      <c r="O1100" s="194"/>
      <c r="P1100" s="195"/>
      <c r="Q1100" s="171"/>
      <c r="R1100" s="171"/>
      <c r="S1100" s="194"/>
      <c r="T1100" s="195"/>
      <c r="U1100" s="171"/>
      <c r="V1100" s="171"/>
      <c r="W1100" s="194"/>
      <c r="X1100" s="195"/>
      <c r="Y1100" s="171"/>
      <c r="Z1100" s="171"/>
      <c r="AA1100" s="194"/>
      <c r="AB1100" s="195"/>
      <c r="AC1100" s="171"/>
      <c r="AD1100" s="171"/>
      <c r="AE1100" s="194"/>
      <c r="AF1100" s="195"/>
      <c r="AG1100" s="171"/>
      <c r="AH1100" s="171"/>
      <c r="AI1100" s="194"/>
      <c r="AJ1100" s="196"/>
    </row>
    <row r="1101" spans="2:36">
      <c r="B1101" s="166"/>
      <c r="C1101" s="167"/>
      <c r="D1101" s="171"/>
      <c r="E1101" s="171"/>
      <c r="F1101" s="171"/>
      <c r="G1101" s="172"/>
      <c r="H1101" s="173"/>
      <c r="I1101" s="193"/>
      <c r="J1101" s="171"/>
      <c r="K1101" s="194"/>
      <c r="L1101" s="173"/>
      <c r="M1101" s="171"/>
      <c r="N1101" s="171"/>
      <c r="O1101" s="194"/>
      <c r="P1101" s="195"/>
      <c r="Q1101" s="171"/>
      <c r="R1101" s="171"/>
      <c r="S1101" s="194"/>
      <c r="T1101" s="195"/>
      <c r="U1101" s="171"/>
      <c r="V1101" s="171"/>
      <c r="W1101" s="194"/>
      <c r="X1101" s="195"/>
      <c r="Y1101" s="171"/>
      <c r="Z1101" s="171"/>
      <c r="AA1101" s="194"/>
      <c r="AB1101" s="195"/>
      <c r="AC1101" s="171"/>
      <c r="AD1101" s="171"/>
      <c r="AE1101" s="194"/>
      <c r="AF1101" s="195"/>
      <c r="AG1101" s="171"/>
      <c r="AH1101" s="171"/>
      <c r="AI1101" s="194"/>
      <c r="AJ1101" s="196"/>
    </row>
    <row r="1102" spans="2:36">
      <c r="B1102" s="166"/>
      <c r="C1102" s="167"/>
      <c r="D1102" s="171"/>
      <c r="E1102" s="171"/>
      <c r="F1102" s="171"/>
      <c r="G1102" s="172"/>
      <c r="H1102" s="173"/>
      <c r="I1102" s="193"/>
      <c r="J1102" s="171"/>
      <c r="K1102" s="194"/>
      <c r="L1102" s="173"/>
      <c r="M1102" s="171"/>
      <c r="N1102" s="171"/>
      <c r="O1102" s="194"/>
      <c r="P1102" s="195"/>
      <c r="Q1102" s="171"/>
      <c r="R1102" s="171"/>
      <c r="S1102" s="194"/>
      <c r="T1102" s="195"/>
      <c r="U1102" s="171"/>
      <c r="V1102" s="171"/>
      <c r="W1102" s="194"/>
      <c r="X1102" s="195"/>
      <c r="Y1102" s="171"/>
      <c r="Z1102" s="171"/>
      <c r="AA1102" s="194"/>
      <c r="AB1102" s="195"/>
      <c r="AC1102" s="171"/>
      <c r="AD1102" s="171"/>
      <c r="AE1102" s="194"/>
      <c r="AF1102" s="195"/>
      <c r="AG1102" s="171"/>
      <c r="AH1102" s="171"/>
      <c r="AI1102" s="194"/>
      <c r="AJ1102" s="196"/>
    </row>
    <row r="1103" spans="2:36">
      <c r="B1103" s="166"/>
      <c r="C1103" s="167"/>
      <c r="D1103" s="171"/>
      <c r="E1103" s="171"/>
      <c r="F1103" s="171"/>
      <c r="G1103" s="172"/>
      <c r="H1103" s="173"/>
      <c r="I1103" s="193"/>
      <c r="J1103" s="171"/>
      <c r="K1103" s="194"/>
      <c r="L1103" s="173"/>
      <c r="M1103" s="171"/>
      <c r="N1103" s="171"/>
      <c r="O1103" s="194"/>
      <c r="P1103" s="195"/>
      <c r="Q1103" s="171"/>
      <c r="R1103" s="171"/>
      <c r="S1103" s="194"/>
      <c r="T1103" s="195"/>
      <c r="U1103" s="171"/>
      <c r="V1103" s="171"/>
      <c r="W1103" s="194"/>
      <c r="X1103" s="195"/>
      <c r="Y1103" s="171"/>
      <c r="Z1103" s="171"/>
      <c r="AA1103" s="194"/>
      <c r="AB1103" s="195"/>
      <c r="AC1103" s="171"/>
      <c r="AD1103" s="171"/>
      <c r="AE1103" s="194"/>
      <c r="AF1103" s="195"/>
      <c r="AG1103" s="171"/>
      <c r="AH1103" s="171"/>
      <c r="AI1103" s="194"/>
      <c r="AJ1103" s="196"/>
    </row>
    <row r="1104" spans="2:36">
      <c r="B1104" s="166"/>
      <c r="C1104" s="167"/>
      <c r="D1104" s="171"/>
      <c r="E1104" s="171"/>
      <c r="F1104" s="171"/>
      <c r="G1104" s="172"/>
      <c r="H1104" s="173"/>
      <c r="I1104" s="193"/>
      <c r="J1104" s="171"/>
      <c r="K1104" s="194"/>
      <c r="L1104" s="173"/>
      <c r="M1104" s="171"/>
      <c r="N1104" s="171"/>
      <c r="O1104" s="194"/>
      <c r="P1104" s="195"/>
      <c r="Q1104" s="171"/>
      <c r="R1104" s="171"/>
      <c r="S1104" s="194"/>
      <c r="T1104" s="195"/>
      <c r="U1104" s="171"/>
      <c r="V1104" s="171"/>
      <c r="W1104" s="194"/>
      <c r="X1104" s="195"/>
      <c r="Y1104" s="171"/>
      <c r="Z1104" s="171"/>
      <c r="AA1104" s="194"/>
      <c r="AB1104" s="195"/>
      <c r="AC1104" s="171"/>
      <c r="AD1104" s="171"/>
      <c r="AE1104" s="194"/>
      <c r="AF1104" s="195"/>
      <c r="AG1104" s="171"/>
      <c r="AH1104" s="171"/>
      <c r="AI1104" s="194"/>
      <c r="AJ1104" s="196"/>
    </row>
    <row r="1105" spans="2:36">
      <c r="B1105" s="166"/>
      <c r="C1105" s="167"/>
      <c r="D1105" s="171"/>
      <c r="E1105" s="171"/>
      <c r="F1105" s="171"/>
      <c r="G1105" s="172"/>
      <c r="H1105" s="173"/>
      <c r="I1105" s="193"/>
      <c r="J1105" s="171"/>
      <c r="K1105" s="194"/>
      <c r="L1105" s="173"/>
      <c r="M1105" s="171"/>
      <c r="N1105" s="171"/>
      <c r="O1105" s="194"/>
      <c r="P1105" s="195"/>
      <c r="Q1105" s="171"/>
      <c r="R1105" s="171"/>
      <c r="S1105" s="194"/>
      <c r="T1105" s="195"/>
      <c r="U1105" s="171"/>
      <c r="V1105" s="171"/>
      <c r="W1105" s="194"/>
      <c r="X1105" s="195"/>
      <c r="Y1105" s="171"/>
      <c r="Z1105" s="171"/>
      <c r="AA1105" s="194"/>
      <c r="AB1105" s="195"/>
      <c r="AC1105" s="171"/>
      <c r="AD1105" s="171"/>
      <c r="AE1105" s="194"/>
      <c r="AF1105" s="195"/>
      <c r="AG1105" s="171"/>
      <c r="AH1105" s="171"/>
      <c r="AI1105" s="194"/>
      <c r="AJ1105" s="196"/>
    </row>
    <row r="1106" spans="2:36">
      <c r="B1106" s="166"/>
      <c r="C1106" s="167"/>
      <c r="D1106" s="171"/>
      <c r="E1106" s="171"/>
      <c r="F1106" s="171"/>
      <c r="G1106" s="172"/>
      <c r="H1106" s="173"/>
      <c r="I1106" s="193"/>
      <c r="J1106" s="171"/>
      <c r="K1106" s="194"/>
      <c r="L1106" s="173"/>
      <c r="M1106" s="171"/>
      <c r="N1106" s="171"/>
      <c r="O1106" s="194"/>
      <c r="P1106" s="195"/>
      <c r="Q1106" s="171"/>
      <c r="R1106" s="171"/>
      <c r="S1106" s="194"/>
      <c r="T1106" s="195"/>
      <c r="U1106" s="171"/>
      <c r="V1106" s="171"/>
      <c r="W1106" s="194"/>
      <c r="X1106" s="195"/>
      <c r="Y1106" s="171"/>
      <c r="Z1106" s="171"/>
      <c r="AA1106" s="194"/>
      <c r="AB1106" s="195"/>
      <c r="AC1106" s="171"/>
      <c r="AD1106" s="171"/>
      <c r="AE1106" s="194"/>
      <c r="AF1106" s="195"/>
      <c r="AG1106" s="171"/>
      <c r="AH1106" s="171"/>
      <c r="AI1106" s="194"/>
      <c r="AJ1106" s="196"/>
    </row>
    <row r="1107" spans="2:36">
      <c r="B1107" s="166"/>
      <c r="C1107" s="167"/>
      <c r="D1107" s="171"/>
      <c r="E1107" s="171"/>
      <c r="F1107" s="171"/>
      <c r="G1107" s="172"/>
      <c r="H1107" s="173"/>
      <c r="I1107" s="193"/>
      <c r="J1107" s="171"/>
      <c r="K1107" s="194"/>
      <c r="L1107" s="173"/>
      <c r="M1107" s="171"/>
      <c r="N1107" s="171"/>
      <c r="O1107" s="194"/>
      <c r="P1107" s="195"/>
      <c r="Q1107" s="171"/>
      <c r="R1107" s="171"/>
      <c r="S1107" s="194"/>
      <c r="T1107" s="195"/>
      <c r="U1107" s="171"/>
      <c r="V1107" s="171"/>
      <c r="W1107" s="194"/>
      <c r="X1107" s="195"/>
      <c r="Y1107" s="171"/>
      <c r="Z1107" s="171"/>
      <c r="AA1107" s="194"/>
      <c r="AB1107" s="195"/>
      <c r="AC1107" s="171"/>
      <c r="AD1107" s="171"/>
      <c r="AE1107" s="194"/>
      <c r="AF1107" s="195"/>
      <c r="AG1107" s="171"/>
      <c r="AH1107" s="171"/>
      <c r="AI1107" s="194"/>
      <c r="AJ1107" s="196"/>
    </row>
    <row r="1108" spans="2:36">
      <c r="B1108" s="166"/>
      <c r="C1108" s="167"/>
      <c r="D1108" s="171"/>
      <c r="E1108" s="171"/>
      <c r="F1108" s="171"/>
      <c r="G1108" s="172"/>
      <c r="H1108" s="173"/>
      <c r="I1108" s="193"/>
      <c r="J1108" s="171"/>
      <c r="K1108" s="194"/>
      <c r="L1108" s="173"/>
      <c r="M1108" s="171"/>
      <c r="N1108" s="171"/>
      <c r="O1108" s="194"/>
      <c r="P1108" s="195"/>
      <c r="Q1108" s="171"/>
      <c r="R1108" s="171"/>
      <c r="S1108" s="194"/>
      <c r="T1108" s="195"/>
      <c r="U1108" s="171"/>
      <c r="V1108" s="171"/>
      <c r="W1108" s="194"/>
      <c r="X1108" s="195"/>
      <c r="Y1108" s="171"/>
      <c r="Z1108" s="171"/>
      <c r="AA1108" s="194"/>
      <c r="AB1108" s="195"/>
      <c r="AC1108" s="171"/>
      <c r="AD1108" s="171"/>
      <c r="AE1108" s="194"/>
      <c r="AF1108" s="195"/>
      <c r="AG1108" s="171"/>
      <c r="AH1108" s="171"/>
      <c r="AI1108" s="194"/>
      <c r="AJ1108" s="196"/>
    </row>
    <row r="1109" spans="2:36">
      <c r="B1109" s="166"/>
      <c r="C1109" s="167"/>
      <c r="D1109" s="171"/>
      <c r="E1109" s="171"/>
      <c r="F1109" s="171"/>
      <c r="G1109" s="172"/>
      <c r="H1109" s="173"/>
      <c r="I1109" s="193"/>
      <c r="J1109" s="171"/>
      <c r="K1109" s="194"/>
      <c r="L1109" s="173"/>
      <c r="M1109" s="171"/>
      <c r="N1109" s="171"/>
      <c r="O1109" s="194"/>
      <c r="P1109" s="195"/>
      <c r="Q1109" s="171"/>
      <c r="R1109" s="171"/>
      <c r="S1109" s="194"/>
      <c r="T1109" s="195"/>
      <c r="U1109" s="171"/>
      <c r="V1109" s="171"/>
      <c r="W1109" s="194"/>
      <c r="X1109" s="195"/>
      <c r="Y1109" s="171"/>
      <c r="Z1109" s="171"/>
      <c r="AA1109" s="194"/>
      <c r="AB1109" s="195"/>
      <c r="AC1109" s="171"/>
      <c r="AD1109" s="171"/>
      <c r="AE1109" s="194"/>
      <c r="AF1109" s="195"/>
      <c r="AG1109" s="171"/>
      <c r="AH1109" s="171"/>
      <c r="AI1109" s="194"/>
      <c r="AJ1109" s="196"/>
    </row>
    <row r="1110" spans="2:36">
      <c r="B1110" s="166"/>
      <c r="C1110" s="167"/>
      <c r="D1110" s="171"/>
      <c r="E1110" s="171"/>
      <c r="F1110" s="171"/>
      <c r="G1110" s="172"/>
      <c r="H1110" s="173"/>
      <c r="I1110" s="193"/>
      <c r="J1110" s="171"/>
      <c r="K1110" s="194"/>
      <c r="L1110" s="173"/>
      <c r="M1110" s="171"/>
      <c r="N1110" s="171"/>
      <c r="O1110" s="194"/>
      <c r="P1110" s="195"/>
      <c r="Q1110" s="171"/>
      <c r="R1110" s="171"/>
      <c r="S1110" s="194"/>
      <c r="T1110" s="195"/>
      <c r="U1110" s="171"/>
      <c r="V1110" s="171"/>
      <c r="W1110" s="194"/>
      <c r="X1110" s="195"/>
      <c r="Y1110" s="171"/>
      <c r="Z1110" s="171"/>
      <c r="AA1110" s="194"/>
      <c r="AB1110" s="195"/>
      <c r="AC1110" s="171"/>
      <c r="AD1110" s="171"/>
      <c r="AE1110" s="194"/>
      <c r="AF1110" s="195"/>
      <c r="AG1110" s="171"/>
      <c r="AH1110" s="171"/>
      <c r="AI1110" s="194"/>
      <c r="AJ1110" s="196"/>
    </row>
    <row r="1111" spans="2:36">
      <c r="B1111" s="166"/>
      <c r="C1111" s="167"/>
      <c r="D1111" s="171"/>
      <c r="E1111" s="171"/>
      <c r="F1111" s="171"/>
      <c r="G1111" s="172"/>
      <c r="H1111" s="173"/>
      <c r="I1111" s="193"/>
      <c r="J1111" s="171"/>
      <c r="K1111" s="194"/>
      <c r="L1111" s="173"/>
      <c r="M1111" s="171"/>
      <c r="N1111" s="171"/>
      <c r="O1111" s="194"/>
      <c r="P1111" s="195"/>
      <c r="Q1111" s="171"/>
      <c r="R1111" s="171"/>
      <c r="S1111" s="194"/>
      <c r="T1111" s="195"/>
      <c r="U1111" s="171"/>
      <c r="V1111" s="171"/>
      <c r="W1111" s="194"/>
      <c r="X1111" s="195"/>
      <c r="Y1111" s="171"/>
      <c r="Z1111" s="171"/>
      <c r="AA1111" s="194"/>
      <c r="AB1111" s="195"/>
      <c r="AC1111" s="171"/>
      <c r="AD1111" s="171"/>
      <c r="AE1111" s="194"/>
      <c r="AF1111" s="195"/>
      <c r="AG1111" s="171"/>
      <c r="AH1111" s="171"/>
      <c r="AI1111" s="194"/>
      <c r="AJ1111" s="196"/>
    </row>
    <row r="1112" spans="2:36">
      <c r="B1112" s="166"/>
      <c r="C1112" s="167"/>
      <c r="D1112" s="171"/>
      <c r="E1112" s="171"/>
      <c r="F1112" s="171"/>
      <c r="G1112" s="172"/>
      <c r="H1112" s="173"/>
      <c r="I1112" s="193"/>
      <c r="J1112" s="171"/>
      <c r="K1112" s="194"/>
      <c r="L1112" s="173"/>
      <c r="M1112" s="171"/>
      <c r="N1112" s="171"/>
      <c r="O1112" s="194"/>
      <c r="P1112" s="195"/>
      <c r="Q1112" s="171"/>
      <c r="R1112" s="171"/>
      <c r="S1112" s="194"/>
      <c r="T1112" s="195"/>
      <c r="U1112" s="171"/>
      <c r="V1112" s="171"/>
      <c r="W1112" s="194"/>
      <c r="X1112" s="195"/>
      <c r="Y1112" s="171"/>
      <c r="Z1112" s="171"/>
      <c r="AA1112" s="194"/>
      <c r="AB1112" s="195"/>
      <c r="AC1112" s="171"/>
      <c r="AD1112" s="171"/>
      <c r="AE1112" s="194"/>
      <c r="AF1112" s="195"/>
      <c r="AG1112" s="171"/>
      <c r="AH1112" s="171"/>
      <c r="AI1112" s="194"/>
      <c r="AJ1112" s="196"/>
    </row>
    <row r="1113" spans="2:36">
      <c r="B1113" s="166"/>
      <c r="C1113" s="167"/>
      <c r="D1113" s="171"/>
      <c r="E1113" s="171"/>
      <c r="F1113" s="171"/>
      <c r="G1113" s="172"/>
      <c r="H1113" s="173"/>
      <c r="I1113" s="193"/>
      <c r="J1113" s="171"/>
      <c r="K1113" s="194"/>
      <c r="L1113" s="173"/>
      <c r="M1113" s="171"/>
      <c r="N1113" s="171"/>
      <c r="O1113" s="194"/>
      <c r="P1113" s="195"/>
      <c r="Q1113" s="171"/>
      <c r="R1113" s="171"/>
      <c r="S1113" s="194"/>
      <c r="T1113" s="195"/>
      <c r="U1113" s="171"/>
      <c r="V1113" s="171"/>
      <c r="W1113" s="194"/>
      <c r="X1113" s="195"/>
      <c r="Y1113" s="171"/>
      <c r="Z1113" s="171"/>
      <c r="AA1113" s="194"/>
      <c r="AB1113" s="195"/>
      <c r="AC1113" s="171"/>
      <c r="AD1113" s="171"/>
      <c r="AE1113" s="194"/>
      <c r="AF1113" s="195"/>
      <c r="AG1113" s="171"/>
      <c r="AH1113" s="171"/>
      <c r="AI1113" s="194"/>
      <c r="AJ1113" s="196"/>
    </row>
  </sheetData>
  <mergeCells count="16">
    <mergeCell ref="AB4:AE4"/>
    <mergeCell ref="AF4:AI4"/>
    <mergeCell ref="B6:C6"/>
    <mergeCell ref="B7:C7"/>
    <mergeCell ref="A4:A5"/>
    <mergeCell ref="B4:B5"/>
    <mergeCell ref="C4:C5"/>
    <mergeCell ref="D4:D5"/>
    <mergeCell ref="E4:E5"/>
    <mergeCell ref="F4:F5"/>
    <mergeCell ref="G4:G5"/>
    <mergeCell ref="H4:K4"/>
    <mergeCell ref="L4:O4"/>
    <mergeCell ref="P4:S4"/>
    <mergeCell ref="T4:W4"/>
    <mergeCell ref="X4:AA4"/>
  </mergeCells>
  <phoneticPr fontId="96" type="noConversion"/>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7" r:id="rId3" name="NavigateCombBox">
              <controlPr defaultSize="0" autoPict="0" macro="[0]!NavigateBox">
                <anchor moveWithCells="1">
                  <from>
                    <xdr:col>0</xdr:col>
                    <xdr:colOff>0</xdr:colOff>
                    <xdr:row>0</xdr:row>
                    <xdr:rowOff>0</xdr:rowOff>
                  </from>
                  <to>
                    <xdr:col>1</xdr:col>
                    <xdr:colOff>801725</xdr:colOff>
                    <xdr:row>1</xdr:row>
                    <xdr:rowOff>8667</xdr:rowOff>
                  </to>
                </anchor>
              </controlPr>
            </control>
          </mc:Choice>
        </mc:AlternateContent>
        <mc:AlternateContent xmlns:mc="http://schemas.openxmlformats.org/markup-compatibility/2006">
          <mc:Choice Requires="x14">
            <control shapeId="14338" r:id="rId4" name="CategoryPicker">
              <controlPr defaultSize="0" autoPict="0" macro="[0]!CategoryPicker_更改">
                <anchor moveWithCells="1">
                  <from>
                    <xdr:col>4</xdr:col>
                    <xdr:colOff>8667</xdr:colOff>
                    <xdr:row>1</xdr:row>
                    <xdr:rowOff>30336</xdr:rowOff>
                  </from>
                  <to>
                    <xdr:col>5</xdr:col>
                    <xdr:colOff>364027</xdr:colOff>
                    <xdr:row>2</xdr:row>
                    <xdr:rowOff>8667</xdr:rowOff>
                  </to>
                </anchor>
              </controlPr>
            </control>
          </mc:Choice>
        </mc:AlternateContent>
        <mc:AlternateContent xmlns:mc="http://schemas.openxmlformats.org/markup-compatibility/2006">
          <mc:Choice Requires="x14">
            <control shapeId="14339" r:id="rId5" name="Button 3">
              <controlPr defaultSize="0" print="0" autoPict="0" macro="[0]!UpdateSheet14">
                <anchor moveWithCells="1" sizeWithCells="1">
                  <from>
                    <xdr:col>6</xdr:col>
                    <xdr:colOff>0</xdr:colOff>
                    <xdr:row>1</xdr:row>
                    <xdr:rowOff>21668</xdr:rowOff>
                  </from>
                  <to>
                    <xdr:col>7</xdr:col>
                    <xdr:colOff>47670</xdr:colOff>
                    <xdr:row>2</xdr:row>
                    <xdr:rowOff>30336</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0" tint="-0.14996795556505021"/>
  </sheetPr>
  <dimension ref="A1:S59"/>
  <sheetViews>
    <sheetView topLeftCell="A7" workbookViewId="0">
      <selection activeCell="N27" sqref="N27"/>
    </sheetView>
  </sheetViews>
  <sheetFormatPr defaultColWidth="9" defaultRowHeight="11.3" outlineLevelRow="1"/>
  <cols>
    <col min="1" max="1" width="2.4375" style="113" customWidth="1"/>
    <col min="2" max="2" width="16.4375" style="113" customWidth="1"/>
    <col min="3" max="3" width="8.1875" style="113" bestFit="1" customWidth="1"/>
    <col min="4" max="4" width="7.5625" style="114" bestFit="1" customWidth="1"/>
    <col min="5" max="5" width="7.5625" style="113" bestFit="1" customWidth="1"/>
    <col min="6" max="6" width="7.5625" style="114" bestFit="1" customWidth="1"/>
    <col min="7" max="7" width="7.3125" style="114" bestFit="1" customWidth="1"/>
    <col min="8" max="13" width="7.3125" style="113" bestFit="1" customWidth="1"/>
    <col min="14" max="18" width="7.75" style="113" customWidth="1"/>
    <col min="19" max="16384" width="9" style="113"/>
  </cols>
  <sheetData>
    <row r="1" spans="1:19" ht="18.850000000000001" customHeight="1"/>
    <row r="2" spans="1:19" ht="17.75">
      <c r="A2" s="1066" t="s">
        <v>1695</v>
      </c>
      <c r="B2" s="1066"/>
    </row>
    <row r="3" spans="1:19" ht="17.75">
      <c r="A3" s="1067" t="s">
        <v>1696</v>
      </c>
      <c r="B3" s="1067"/>
      <c r="D3" s="115"/>
      <c r="E3" s="116"/>
      <c r="F3" s="117"/>
      <c r="G3" s="116"/>
      <c r="H3" s="116"/>
      <c r="I3" s="115"/>
      <c r="J3" s="116"/>
      <c r="K3" s="116"/>
      <c r="L3" s="116"/>
      <c r="M3" s="116"/>
      <c r="N3" s="116"/>
      <c r="O3" s="116"/>
      <c r="P3" s="116"/>
      <c r="Q3" s="116"/>
      <c r="R3" s="116"/>
      <c r="S3" s="116"/>
    </row>
    <row r="4" spans="1:19" outlineLevel="1">
      <c r="A4" s="118"/>
      <c r="B4" s="119"/>
      <c r="C4" s="120">
        <v>43465</v>
      </c>
      <c r="D4" s="121" t="s">
        <v>3556</v>
      </c>
      <c r="E4" s="121" t="s">
        <v>1697</v>
      </c>
      <c r="F4" s="121" t="s">
        <v>1698</v>
      </c>
      <c r="G4" s="122"/>
      <c r="H4" s="123"/>
      <c r="I4" s="116"/>
      <c r="J4" s="116"/>
      <c r="K4" s="116"/>
      <c r="L4" s="116"/>
      <c r="M4" s="116"/>
      <c r="N4" s="116"/>
      <c r="O4" s="116"/>
      <c r="P4" s="116"/>
      <c r="Q4" s="116"/>
    </row>
    <row r="5" spans="1:19" outlineLevel="1">
      <c r="A5" s="118"/>
      <c r="B5" s="124" t="s">
        <v>1699</v>
      </c>
      <c r="C5" s="125" t="e">
        <f ca="1">预测利润表!G45*unit/(目录!$E$9*10000)</f>
        <v>#VALUE!</v>
      </c>
      <c r="D5" s="125" t="e">
        <f ca="1">预测利润表!H45*unit/(目录!$E$9*10000)</f>
        <v>#VALUE!</v>
      </c>
      <c r="E5" s="125" t="e">
        <f ca="1">预测利润表!I45*unit/(目录!$E$9*10000)</f>
        <v>#VALUE!</v>
      </c>
      <c r="F5" s="125" t="e">
        <f ca="1">预测利润表!J45*unit/(目录!$E$9*10000)</f>
        <v>#VALUE!</v>
      </c>
      <c r="G5" s="126"/>
      <c r="H5" s="127"/>
      <c r="I5" s="139"/>
      <c r="J5" s="139"/>
      <c r="K5" s="139"/>
      <c r="L5" s="139"/>
      <c r="M5" s="139"/>
      <c r="N5" s="116"/>
      <c r="O5" s="116"/>
      <c r="P5" s="116"/>
      <c r="Q5" s="116"/>
    </row>
    <row r="6" spans="1:19" outlineLevel="1">
      <c r="A6" s="118"/>
      <c r="B6" s="124" t="s">
        <v>1700</v>
      </c>
      <c r="C6" s="128">
        <f>可比公司估值!T6</f>
        <v>41.461496925744633</v>
      </c>
      <c r="D6" s="128">
        <f>可比公司估值!U6</f>
        <v>26.685076190941334</v>
      </c>
      <c r="E6" s="128">
        <f>可比公司估值!V6</f>
        <v>20.522244733616052</v>
      </c>
      <c r="F6" s="128">
        <f>可比公司估值!W6</f>
        <v>16.315320720141891</v>
      </c>
      <c r="G6" s="126"/>
      <c r="H6" s="127"/>
      <c r="I6" s="139"/>
      <c r="J6" s="139"/>
      <c r="K6" s="139"/>
      <c r="L6" s="139"/>
      <c r="M6" s="139"/>
      <c r="N6" s="116"/>
      <c r="O6" s="116"/>
      <c r="P6" s="116"/>
      <c r="Q6" s="116"/>
    </row>
    <row r="7" spans="1:19" outlineLevel="1">
      <c r="A7" s="118"/>
      <c r="B7" s="129" t="s">
        <v>1642</v>
      </c>
      <c r="C7" s="130" t="e">
        <f ca="1">C5*C6</f>
        <v>#VALUE!</v>
      </c>
      <c r="D7" s="130" t="e">
        <f t="shared" ref="D7:F7" ca="1" si="0">D5*D6</f>
        <v>#VALUE!</v>
      </c>
      <c r="E7" s="130" t="e">
        <f t="shared" ca="1" si="0"/>
        <v>#VALUE!</v>
      </c>
      <c r="F7" s="130" t="e">
        <f t="shared" ca="1" si="0"/>
        <v>#VALUE!</v>
      </c>
      <c r="G7" s="126"/>
      <c r="H7" s="127"/>
      <c r="I7" s="139"/>
      <c r="J7" s="139"/>
      <c r="K7" s="139"/>
      <c r="L7" s="139"/>
      <c r="M7" s="139"/>
      <c r="N7" s="116"/>
      <c r="O7" s="116"/>
      <c r="P7" s="116"/>
      <c r="Q7" s="116"/>
    </row>
    <row r="8" spans="1:19" outlineLevel="1">
      <c r="A8" s="118"/>
    </row>
    <row r="9" spans="1:19" ht="22.55" outlineLevel="1">
      <c r="A9" s="118"/>
      <c r="B9" s="131" t="s">
        <v>1701</v>
      </c>
      <c r="C9" s="132">
        <f>D9/1.1</f>
        <v>25.744327527146439</v>
      </c>
      <c r="D9" s="133">
        <f>E9/1.1</f>
        <v>28.318760279861085</v>
      </c>
      <c r="E9" s="133">
        <f>F9/1.1</f>
        <v>31.150636307847197</v>
      </c>
      <c r="F9" s="133">
        <f>G9/1.1</f>
        <v>34.265699938631919</v>
      </c>
      <c r="G9" s="133">
        <f>H9/1.1</f>
        <v>37.692269932495115</v>
      </c>
      <c r="H9" s="134">
        <f>C6</f>
        <v>41.461496925744633</v>
      </c>
      <c r="I9" s="133">
        <f>H9*1.1</f>
        <v>45.607646618319102</v>
      </c>
      <c r="J9" s="133">
        <f>I9*1.1</f>
        <v>50.168411280151012</v>
      </c>
      <c r="K9" s="133">
        <f>J9*1.1</f>
        <v>55.185252408166122</v>
      </c>
      <c r="L9" s="133">
        <f>K9*1.1</f>
        <v>60.703777648982737</v>
      </c>
      <c r="M9" s="133">
        <f>L9*1.1</f>
        <v>66.774155413881019</v>
      </c>
    </row>
    <row r="10" spans="1:19" s="112" customFormat="1" outlineLevel="1">
      <c r="A10" s="135"/>
      <c r="B10" s="132" t="e">
        <f ca="1">B11/1.1</f>
        <v>#VALUE!</v>
      </c>
      <c r="C10" s="136" t="e">
        <f ca="1">C$9*$B10</f>
        <v>#VALUE!</v>
      </c>
      <c r="D10" s="136" t="e">
        <f t="shared" ref="D10:M10" ca="1" si="1">D$9*$B10</f>
        <v>#VALUE!</v>
      </c>
      <c r="E10" s="136" t="e">
        <f t="shared" ca="1" si="1"/>
        <v>#VALUE!</v>
      </c>
      <c r="F10" s="136" t="e">
        <f t="shared" ca="1" si="1"/>
        <v>#VALUE!</v>
      </c>
      <c r="G10" s="136" t="e">
        <f t="shared" ca="1" si="1"/>
        <v>#VALUE!</v>
      </c>
      <c r="H10" s="136" t="e">
        <f t="shared" ca="1" si="1"/>
        <v>#VALUE!</v>
      </c>
      <c r="I10" s="136" t="e">
        <f t="shared" ca="1" si="1"/>
        <v>#VALUE!</v>
      </c>
      <c r="J10" s="136" t="e">
        <f t="shared" ca="1" si="1"/>
        <v>#VALUE!</v>
      </c>
      <c r="K10" s="136" t="e">
        <f t="shared" ca="1" si="1"/>
        <v>#VALUE!</v>
      </c>
      <c r="L10" s="136" t="e">
        <f t="shared" ca="1" si="1"/>
        <v>#VALUE!</v>
      </c>
      <c r="M10" s="140" t="e">
        <f t="shared" ca="1" si="1"/>
        <v>#VALUE!</v>
      </c>
    </row>
    <row r="11" spans="1:19" s="112" customFormat="1" outlineLevel="1">
      <c r="A11" s="135"/>
      <c r="B11" s="132" t="e">
        <f ca="1">B12/1.1</f>
        <v>#VALUE!</v>
      </c>
      <c r="C11" s="136" t="e">
        <f t="shared" ref="C11:M20" ca="1" si="2">C$9*$B11</f>
        <v>#VALUE!</v>
      </c>
      <c r="D11" s="136" t="e">
        <f t="shared" ca="1" si="2"/>
        <v>#VALUE!</v>
      </c>
      <c r="E11" s="136" t="e">
        <f t="shared" ca="1" si="2"/>
        <v>#VALUE!</v>
      </c>
      <c r="F11" s="136" t="e">
        <f t="shared" ca="1" si="2"/>
        <v>#VALUE!</v>
      </c>
      <c r="G11" s="136" t="e">
        <f t="shared" ca="1" si="2"/>
        <v>#VALUE!</v>
      </c>
      <c r="H11" s="136" t="e">
        <f t="shared" ca="1" si="2"/>
        <v>#VALUE!</v>
      </c>
      <c r="I11" s="136" t="e">
        <f t="shared" ca="1" si="2"/>
        <v>#VALUE!</v>
      </c>
      <c r="J11" s="136" t="e">
        <f t="shared" ca="1" si="2"/>
        <v>#VALUE!</v>
      </c>
      <c r="K11" s="136" t="e">
        <f t="shared" ca="1" si="2"/>
        <v>#VALUE!</v>
      </c>
      <c r="L11" s="136" t="e">
        <f t="shared" ca="1" si="2"/>
        <v>#VALUE!</v>
      </c>
      <c r="M11" s="140" t="e">
        <f t="shared" ca="1" si="2"/>
        <v>#VALUE!</v>
      </c>
    </row>
    <row r="12" spans="1:19" s="112" customFormat="1" outlineLevel="1">
      <c r="A12" s="135"/>
      <c r="B12" s="132" t="e">
        <f ca="1">B13/1.1</f>
        <v>#VALUE!</v>
      </c>
      <c r="C12" s="136" t="e">
        <f t="shared" ca="1" si="2"/>
        <v>#VALUE!</v>
      </c>
      <c r="D12" s="136" t="e">
        <f t="shared" ca="1" si="2"/>
        <v>#VALUE!</v>
      </c>
      <c r="E12" s="136" t="e">
        <f t="shared" ca="1" si="2"/>
        <v>#VALUE!</v>
      </c>
      <c r="F12" s="136" t="e">
        <f t="shared" ca="1" si="2"/>
        <v>#VALUE!</v>
      </c>
      <c r="G12" s="136" t="e">
        <f t="shared" ca="1" si="2"/>
        <v>#VALUE!</v>
      </c>
      <c r="H12" s="136" t="e">
        <f t="shared" ca="1" si="2"/>
        <v>#VALUE!</v>
      </c>
      <c r="I12" s="136" t="e">
        <f t="shared" ca="1" si="2"/>
        <v>#VALUE!</v>
      </c>
      <c r="J12" s="136" t="e">
        <f t="shared" ca="1" si="2"/>
        <v>#VALUE!</v>
      </c>
      <c r="K12" s="136" t="e">
        <f t="shared" ca="1" si="2"/>
        <v>#VALUE!</v>
      </c>
      <c r="L12" s="136" t="e">
        <f t="shared" ca="1" si="2"/>
        <v>#VALUE!</v>
      </c>
      <c r="M12" s="140" t="e">
        <f t="shared" ca="1" si="2"/>
        <v>#VALUE!</v>
      </c>
    </row>
    <row r="13" spans="1:19" s="112" customFormat="1" outlineLevel="1">
      <c r="A13" s="135"/>
      <c r="B13" s="132" t="e">
        <f ca="1">B14/1.1</f>
        <v>#VALUE!</v>
      </c>
      <c r="C13" s="136" t="e">
        <f t="shared" ca="1" si="2"/>
        <v>#VALUE!</v>
      </c>
      <c r="D13" s="136" t="e">
        <f t="shared" ca="1" si="2"/>
        <v>#VALUE!</v>
      </c>
      <c r="E13" s="136" t="e">
        <f t="shared" ca="1" si="2"/>
        <v>#VALUE!</v>
      </c>
      <c r="F13" s="136" t="e">
        <f t="shared" ca="1" si="2"/>
        <v>#VALUE!</v>
      </c>
      <c r="G13" s="136" t="e">
        <f t="shared" ca="1" si="2"/>
        <v>#VALUE!</v>
      </c>
      <c r="H13" s="136" t="e">
        <f t="shared" ca="1" si="2"/>
        <v>#VALUE!</v>
      </c>
      <c r="I13" s="136" t="e">
        <f t="shared" ca="1" si="2"/>
        <v>#VALUE!</v>
      </c>
      <c r="J13" s="136" t="e">
        <f t="shared" ca="1" si="2"/>
        <v>#VALUE!</v>
      </c>
      <c r="K13" s="136" t="e">
        <f t="shared" ca="1" si="2"/>
        <v>#VALUE!</v>
      </c>
      <c r="L13" s="136" t="e">
        <f t="shared" ca="1" si="2"/>
        <v>#VALUE!</v>
      </c>
      <c r="M13" s="140" t="e">
        <f t="shared" ca="1" si="2"/>
        <v>#VALUE!</v>
      </c>
    </row>
    <row r="14" spans="1:19" s="112" customFormat="1" outlineLevel="1">
      <c r="A14" s="135"/>
      <c r="B14" s="132" t="e">
        <f ca="1">B15/1.1</f>
        <v>#VALUE!</v>
      </c>
      <c r="C14" s="136" t="e">
        <f t="shared" ca="1" si="2"/>
        <v>#VALUE!</v>
      </c>
      <c r="D14" s="136" t="e">
        <f t="shared" ca="1" si="2"/>
        <v>#VALUE!</v>
      </c>
      <c r="E14" s="136" t="e">
        <f t="shared" ca="1" si="2"/>
        <v>#VALUE!</v>
      </c>
      <c r="F14" s="136" t="e">
        <f t="shared" ca="1" si="2"/>
        <v>#VALUE!</v>
      </c>
      <c r="G14" s="136" t="e">
        <f t="shared" ca="1" si="2"/>
        <v>#VALUE!</v>
      </c>
      <c r="H14" s="136" t="e">
        <f t="shared" ca="1" si="2"/>
        <v>#VALUE!</v>
      </c>
      <c r="I14" s="136" t="e">
        <f t="shared" ca="1" si="2"/>
        <v>#VALUE!</v>
      </c>
      <c r="J14" s="136" t="e">
        <f t="shared" ca="1" si="2"/>
        <v>#VALUE!</v>
      </c>
      <c r="K14" s="136" t="e">
        <f t="shared" ca="1" si="2"/>
        <v>#VALUE!</v>
      </c>
      <c r="L14" s="136" t="e">
        <f t="shared" ca="1" si="2"/>
        <v>#VALUE!</v>
      </c>
      <c r="M14" s="140" t="e">
        <f t="shared" ca="1" si="2"/>
        <v>#VALUE!</v>
      </c>
    </row>
    <row r="15" spans="1:19" s="112" customFormat="1" ht="14.35" outlineLevel="1">
      <c r="A15" s="135"/>
      <c r="B15" s="134" t="e">
        <f ca="1">C5</f>
        <v>#VALUE!</v>
      </c>
      <c r="C15" s="136" t="e">
        <f t="shared" ca="1" si="2"/>
        <v>#VALUE!</v>
      </c>
      <c r="D15" s="136" t="e">
        <f t="shared" ca="1" si="2"/>
        <v>#VALUE!</v>
      </c>
      <c r="E15" s="136" t="e">
        <f t="shared" ca="1" si="2"/>
        <v>#VALUE!</v>
      </c>
      <c r="F15" s="136" t="e">
        <f t="shared" ca="1" si="2"/>
        <v>#VALUE!</v>
      </c>
      <c r="G15" s="136" t="e">
        <f t="shared" ca="1" si="2"/>
        <v>#VALUE!</v>
      </c>
      <c r="H15" s="137" t="e">
        <f t="shared" ca="1" si="2"/>
        <v>#VALUE!</v>
      </c>
      <c r="I15" s="136" t="e">
        <f t="shared" ca="1" si="2"/>
        <v>#VALUE!</v>
      </c>
      <c r="J15" s="136" t="e">
        <f t="shared" ca="1" si="2"/>
        <v>#VALUE!</v>
      </c>
      <c r="K15" s="136" t="e">
        <f t="shared" ca="1" si="2"/>
        <v>#VALUE!</v>
      </c>
      <c r="L15" s="136" t="e">
        <f t="shared" ca="1" si="2"/>
        <v>#VALUE!</v>
      </c>
      <c r="M15" s="140" t="e">
        <f t="shared" ca="1" si="2"/>
        <v>#VALUE!</v>
      </c>
    </row>
    <row r="16" spans="1:19" s="112" customFormat="1" outlineLevel="1">
      <c r="A16" s="135"/>
      <c r="B16" s="132" t="e">
        <f ca="1">B15*1.1</f>
        <v>#VALUE!</v>
      </c>
      <c r="C16" s="136" t="e">
        <f t="shared" ca="1" si="2"/>
        <v>#VALUE!</v>
      </c>
      <c r="D16" s="136" t="e">
        <f t="shared" ca="1" si="2"/>
        <v>#VALUE!</v>
      </c>
      <c r="E16" s="136" t="e">
        <f t="shared" ca="1" si="2"/>
        <v>#VALUE!</v>
      </c>
      <c r="F16" s="136" t="e">
        <f t="shared" ca="1" si="2"/>
        <v>#VALUE!</v>
      </c>
      <c r="G16" s="136" t="e">
        <f t="shared" ca="1" si="2"/>
        <v>#VALUE!</v>
      </c>
      <c r="H16" s="136" t="e">
        <f t="shared" ca="1" si="2"/>
        <v>#VALUE!</v>
      </c>
      <c r="I16" s="136" t="e">
        <f t="shared" ca="1" si="2"/>
        <v>#VALUE!</v>
      </c>
      <c r="J16" s="136" t="e">
        <f t="shared" ca="1" si="2"/>
        <v>#VALUE!</v>
      </c>
      <c r="K16" s="136" t="e">
        <f t="shared" ca="1" si="2"/>
        <v>#VALUE!</v>
      </c>
      <c r="L16" s="136" t="e">
        <f t="shared" ca="1" si="2"/>
        <v>#VALUE!</v>
      </c>
      <c r="M16" s="140" t="e">
        <f t="shared" ca="1" si="2"/>
        <v>#VALUE!</v>
      </c>
    </row>
    <row r="17" spans="1:17" s="112" customFormat="1" outlineLevel="1">
      <c r="A17" s="135"/>
      <c r="B17" s="132" t="e">
        <f ca="1">B16*1.1</f>
        <v>#VALUE!</v>
      </c>
      <c r="C17" s="136" t="e">
        <f t="shared" ca="1" si="2"/>
        <v>#VALUE!</v>
      </c>
      <c r="D17" s="136" t="e">
        <f t="shared" ca="1" si="2"/>
        <v>#VALUE!</v>
      </c>
      <c r="E17" s="136" t="e">
        <f t="shared" ca="1" si="2"/>
        <v>#VALUE!</v>
      </c>
      <c r="F17" s="136" t="e">
        <f t="shared" ca="1" si="2"/>
        <v>#VALUE!</v>
      </c>
      <c r="G17" s="136" t="e">
        <f t="shared" ca="1" si="2"/>
        <v>#VALUE!</v>
      </c>
      <c r="H17" s="136" t="e">
        <f t="shared" ca="1" si="2"/>
        <v>#VALUE!</v>
      </c>
      <c r="I17" s="136" t="e">
        <f t="shared" ca="1" si="2"/>
        <v>#VALUE!</v>
      </c>
      <c r="J17" s="136" t="e">
        <f t="shared" ca="1" si="2"/>
        <v>#VALUE!</v>
      </c>
      <c r="K17" s="136" t="e">
        <f t="shared" ca="1" si="2"/>
        <v>#VALUE!</v>
      </c>
      <c r="L17" s="136" t="e">
        <f t="shared" ca="1" si="2"/>
        <v>#VALUE!</v>
      </c>
      <c r="M17" s="140" t="e">
        <f t="shared" ca="1" si="2"/>
        <v>#VALUE!</v>
      </c>
    </row>
    <row r="18" spans="1:17" s="112" customFormat="1" outlineLevel="1">
      <c r="A18" s="135"/>
      <c r="B18" s="132" t="e">
        <f ca="1">B17*1.1</f>
        <v>#VALUE!</v>
      </c>
      <c r="C18" s="136" t="e">
        <f t="shared" ca="1" si="2"/>
        <v>#VALUE!</v>
      </c>
      <c r="D18" s="136" t="e">
        <f t="shared" ca="1" si="2"/>
        <v>#VALUE!</v>
      </c>
      <c r="E18" s="136" t="e">
        <f t="shared" ca="1" si="2"/>
        <v>#VALUE!</v>
      </c>
      <c r="F18" s="136" t="e">
        <f t="shared" ca="1" si="2"/>
        <v>#VALUE!</v>
      </c>
      <c r="G18" s="136" t="e">
        <f t="shared" ca="1" si="2"/>
        <v>#VALUE!</v>
      </c>
      <c r="H18" s="136" t="e">
        <f t="shared" ca="1" si="2"/>
        <v>#VALUE!</v>
      </c>
      <c r="I18" s="136" t="e">
        <f t="shared" ca="1" si="2"/>
        <v>#VALUE!</v>
      </c>
      <c r="J18" s="136" t="e">
        <f t="shared" ca="1" si="2"/>
        <v>#VALUE!</v>
      </c>
      <c r="K18" s="136" t="e">
        <f t="shared" ca="1" si="2"/>
        <v>#VALUE!</v>
      </c>
      <c r="L18" s="136" t="e">
        <f t="shared" ca="1" si="2"/>
        <v>#VALUE!</v>
      </c>
      <c r="M18" s="140" t="e">
        <f t="shared" ca="1" si="2"/>
        <v>#VALUE!</v>
      </c>
    </row>
    <row r="19" spans="1:17" s="112" customFormat="1" outlineLevel="1">
      <c r="A19" s="135"/>
      <c r="B19" s="132" t="e">
        <f ca="1">B18*1.1</f>
        <v>#VALUE!</v>
      </c>
      <c r="C19" s="136" t="e">
        <f t="shared" ca="1" si="2"/>
        <v>#VALUE!</v>
      </c>
      <c r="D19" s="136" t="e">
        <f t="shared" ca="1" si="2"/>
        <v>#VALUE!</v>
      </c>
      <c r="E19" s="136" t="e">
        <f t="shared" ca="1" si="2"/>
        <v>#VALUE!</v>
      </c>
      <c r="F19" s="136" t="e">
        <f t="shared" ca="1" si="2"/>
        <v>#VALUE!</v>
      </c>
      <c r="G19" s="136" t="e">
        <f t="shared" ca="1" si="2"/>
        <v>#VALUE!</v>
      </c>
      <c r="H19" s="136" t="e">
        <f t="shared" ca="1" si="2"/>
        <v>#VALUE!</v>
      </c>
      <c r="I19" s="136" t="e">
        <f t="shared" ca="1" si="2"/>
        <v>#VALUE!</v>
      </c>
      <c r="J19" s="136" t="e">
        <f t="shared" ca="1" si="2"/>
        <v>#VALUE!</v>
      </c>
      <c r="K19" s="136" t="e">
        <f t="shared" ca="1" si="2"/>
        <v>#VALUE!</v>
      </c>
      <c r="L19" s="136" t="e">
        <f t="shared" ca="1" si="2"/>
        <v>#VALUE!</v>
      </c>
      <c r="M19" s="140" t="e">
        <f t="shared" ca="1" si="2"/>
        <v>#VALUE!</v>
      </c>
    </row>
    <row r="20" spans="1:17" s="112" customFormat="1" outlineLevel="1">
      <c r="A20" s="135"/>
      <c r="B20" s="132" t="e">
        <f ca="1">B19*1.1</f>
        <v>#VALUE!</v>
      </c>
      <c r="C20" s="138" t="e">
        <f t="shared" ca="1" si="2"/>
        <v>#VALUE!</v>
      </c>
      <c r="D20" s="138" t="e">
        <f t="shared" ca="1" si="2"/>
        <v>#VALUE!</v>
      </c>
      <c r="E20" s="138" t="e">
        <f t="shared" ca="1" si="2"/>
        <v>#VALUE!</v>
      </c>
      <c r="F20" s="138" t="e">
        <f t="shared" ca="1" si="2"/>
        <v>#VALUE!</v>
      </c>
      <c r="G20" s="138" t="e">
        <f t="shared" ca="1" si="2"/>
        <v>#VALUE!</v>
      </c>
      <c r="H20" s="138" t="e">
        <f t="shared" ca="1" si="2"/>
        <v>#VALUE!</v>
      </c>
      <c r="I20" s="138" t="e">
        <f t="shared" ca="1" si="2"/>
        <v>#VALUE!</v>
      </c>
      <c r="J20" s="138" t="e">
        <f t="shared" ca="1" si="2"/>
        <v>#VALUE!</v>
      </c>
      <c r="K20" s="138" t="e">
        <f t="shared" ca="1" si="2"/>
        <v>#VALUE!</v>
      </c>
      <c r="L20" s="138" t="e">
        <f t="shared" ca="1" si="2"/>
        <v>#VALUE!</v>
      </c>
      <c r="M20" s="141" t="e">
        <f ca="1">M$9*$B20</f>
        <v>#VALUE!</v>
      </c>
    </row>
    <row r="21" spans="1:17">
      <c r="A21" s="118"/>
    </row>
    <row r="22" spans="1:17" ht="17.75">
      <c r="A22" s="1067" t="s">
        <v>1702</v>
      </c>
      <c r="B22" s="1067"/>
    </row>
    <row r="23" spans="1:17" outlineLevel="1">
      <c r="A23" s="118"/>
      <c r="B23" s="119"/>
      <c r="C23" s="120">
        <v>43465</v>
      </c>
      <c r="D23" s="121" t="s">
        <v>3556</v>
      </c>
      <c r="E23" s="121" t="s">
        <v>1697</v>
      </c>
      <c r="F23" s="121" t="s">
        <v>1698</v>
      </c>
      <c r="G23" s="122"/>
      <c r="H23" s="123"/>
      <c r="I23" s="116"/>
      <c r="J23" s="116"/>
      <c r="K23" s="116"/>
      <c r="L23" s="116"/>
      <c r="M23" s="116"/>
      <c r="N23" s="116"/>
      <c r="O23" s="116"/>
      <c r="P23" s="116"/>
      <c r="Q23" s="116"/>
    </row>
    <row r="24" spans="1:17" outlineLevel="1">
      <c r="A24" s="118"/>
      <c r="B24" s="124" t="s">
        <v>1703</v>
      </c>
      <c r="C24" s="125" t="e">
        <f ca="1">预测利润表!G7*unit/(10000*目录!$E$9)</f>
        <v>#VALUE!</v>
      </c>
      <c r="D24" s="125" t="e">
        <f ca="1">预测利润表!H7*unit/(10000*目录!$E$9)</f>
        <v>#VALUE!</v>
      </c>
      <c r="E24" s="125" t="e">
        <f ca="1">预测利润表!I7*unit/(10000*目录!$E$9)</f>
        <v>#VALUE!</v>
      </c>
      <c r="F24" s="125" t="e">
        <f ca="1">预测利润表!J7*unit/(10000*目录!$E$9)</f>
        <v>#VALUE!</v>
      </c>
      <c r="G24" s="126"/>
      <c r="H24" s="127"/>
      <c r="I24" s="139"/>
      <c r="J24" s="139"/>
      <c r="K24" s="139"/>
      <c r="L24" s="139"/>
      <c r="M24" s="139"/>
      <c r="N24" s="116"/>
      <c r="O24" s="116"/>
      <c r="P24" s="116"/>
      <c r="Q24" s="116"/>
    </row>
    <row r="25" spans="1:17" outlineLevel="1">
      <c r="A25" s="118"/>
      <c r="B25" s="124" t="s">
        <v>1704</v>
      </c>
      <c r="C25" s="125">
        <f>可比公司估值!X6</f>
        <v>4.8300203129608326</v>
      </c>
      <c r="D25" s="125">
        <f>可比公司估值!Y6</f>
        <v>3.5508722201640763</v>
      </c>
      <c r="E25" s="125">
        <f>可比公司估值!Z6</f>
        <v>2.9073505969683318</v>
      </c>
      <c r="F25" s="125">
        <f>可比公司估值!AA6</f>
        <v>2.4171944839717061</v>
      </c>
      <c r="G25" s="126"/>
      <c r="H25" s="127"/>
      <c r="I25" s="139"/>
      <c r="J25" s="139"/>
      <c r="K25" s="139"/>
      <c r="L25" s="139"/>
      <c r="M25" s="139"/>
      <c r="N25" s="116"/>
      <c r="O25" s="116"/>
      <c r="P25" s="116"/>
      <c r="Q25" s="116"/>
    </row>
    <row r="26" spans="1:17" outlineLevel="1">
      <c r="A26" s="118"/>
      <c r="B26" s="129" t="s">
        <v>1642</v>
      </c>
      <c r="C26" s="130" t="e">
        <f ca="1">C24*C25</f>
        <v>#VALUE!</v>
      </c>
      <c r="D26" s="130" t="e">
        <f t="shared" ref="D26:F26" ca="1" si="3">D24*D25</f>
        <v>#VALUE!</v>
      </c>
      <c r="E26" s="130" t="e">
        <f t="shared" ca="1" si="3"/>
        <v>#VALUE!</v>
      </c>
      <c r="F26" s="130" t="e">
        <f t="shared" ca="1" si="3"/>
        <v>#VALUE!</v>
      </c>
      <c r="G26" s="126"/>
      <c r="H26" s="127"/>
      <c r="I26" s="139"/>
      <c r="J26" s="139"/>
      <c r="K26" s="139"/>
      <c r="L26" s="139"/>
      <c r="M26" s="139"/>
      <c r="N26" s="116"/>
      <c r="O26" s="116"/>
      <c r="P26" s="116"/>
      <c r="Q26" s="116"/>
    </row>
    <row r="27" spans="1:17" outlineLevel="1">
      <c r="A27" s="118"/>
    </row>
    <row r="28" spans="1:17" ht="22.55" outlineLevel="1">
      <c r="A28" s="118"/>
      <c r="B28" s="131" t="s">
        <v>1705</v>
      </c>
      <c r="C28" s="132">
        <f>D28/1.1</f>
        <v>2.9990626031262337</v>
      </c>
      <c r="D28" s="132">
        <f>E28/1.1</f>
        <v>3.2989688634388572</v>
      </c>
      <c r="E28" s="132">
        <f>F28/1.1</f>
        <v>3.6288657497827432</v>
      </c>
      <c r="F28" s="132">
        <f>G28/1.1</f>
        <v>3.991752324761018</v>
      </c>
      <c r="G28" s="132">
        <f>H28/1.1</f>
        <v>4.39092755723712</v>
      </c>
      <c r="H28" s="134">
        <f>C25</f>
        <v>4.8300203129608326</v>
      </c>
      <c r="I28" s="132">
        <f>H28*1.1</f>
        <v>5.3130223442569164</v>
      </c>
      <c r="J28" s="132">
        <f>I28*1.1</f>
        <v>5.8443245786826088</v>
      </c>
      <c r="K28" s="132">
        <f>J28*1.1</f>
        <v>6.4287570365508699</v>
      </c>
      <c r="L28" s="132">
        <f>K28*1.1</f>
        <v>7.0716327402059571</v>
      </c>
      <c r="M28" s="132">
        <f>L28*1.1</f>
        <v>7.7787960142265531</v>
      </c>
    </row>
    <row r="29" spans="1:17" s="112" customFormat="1" outlineLevel="1">
      <c r="A29" s="135"/>
      <c r="B29" s="132" t="e">
        <f ca="1">B30/1.1</f>
        <v>#VALUE!</v>
      </c>
      <c r="C29" s="136" t="e">
        <f ca="1">C$28*$B29</f>
        <v>#VALUE!</v>
      </c>
      <c r="D29" s="136" t="e">
        <f t="shared" ref="D29:M29" ca="1" si="4">D$28*$B29</f>
        <v>#VALUE!</v>
      </c>
      <c r="E29" s="136" t="e">
        <f t="shared" ca="1" si="4"/>
        <v>#VALUE!</v>
      </c>
      <c r="F29" s="136" t="e">
        <f t="shared" ca="1" si="4"/>
        <v>#VALUE!</v>
      </c>
      <c r="G29" s="136" t="e">
        <f t="shared" ca="1" si="4"/>
        <v>#VALUE!</v>
      </c>
      <c r="H29" s="136" t="e">
        <f t="shared" ca="1" si="4"/>
        <v>#VALUE!</v>
      </c>
      <c r="I29" s="136" t="e">
        <f t="shared" ca="1" si="4"/>
        <v>#VALUE!</v>
      </c>
      <c r="J29" s="136" t="e">
        <f t="shared" ca="1" si="4"/>
        <v>#VALUE!</v>
      </c>
      <c r="K29" s="136" t="e">
        <f t="shared" ca="1" si="4"/>
        <v>#VALUE!</v>
      </c>
      <c r="L29" s="136" t="e">
        <f t="shared" ca="1" si="4"/>
        <v>#VALUE!</v>
      </c>
      <c r="M29" s="140" t="e">
        <f t="shared" ca="1" si="4"/>
        <v>#VALUE!</v>
      </c>
      <c r="N29" s="142"/>
    </row>
    <row r="30" spans="1:17" s="112" customFormat="1" outlineLevel="1">
      <c r="A30" s="135"/>
      <c r="B30" s="132" t="e">
        <f ca="1">B31/1.1</f>
        <v>#VALUE!</v>
      </c>
      <c r="C30" s="136" t="e">
        <f t="shared" ref="C30:M39" ca="1" si="5">C$28*$B30</f>
        <v>#VALUE!</v>
      </c>
      <c r="D30" s="136" t="e">
        <f t="shared" ca="1" si="5"/>
        <v>#VALUE!</v>
      </c>
      <c r="E30" s="136" t="e">
        <f t="shared" ca="1" si="5"/>
        <v>#VALUE!</v>
      </c>
      <c r="F30" s="136" t="e">
        <f t="shared" ca="1" si="5"/>
        <v>#VALUE!</v>
      </c>
      <c r="G30" s="136" t="e">
        <f t="shared" ca="1" si="5"/>
        <v>#VALUE!</v>
      </c>
      <c r="H30" s="136" t="e">
        <f t="shared" ca="1" si="5"/>
        <v>#VALUE!</v>
      </c>
      <c r="I30" s="136" t="e">
        <f t="shared" ca="1" si="5"/>
        <v>#VALUE!</v>
      </c>
      <c r="J30" s="136" t="e">
        <f t="shared" ca="1" si="5"/>
        <v>#VALUE!</v>
      </c>
      <c r="K30" s="136" t="e">
        <f t="shared" ca="1" si="5"/>
        <v>#VALUE!</v>
      </c>
      <c r="L30" s="136" t="e">
        <f t="shared" ca="1" si="5"/>
        <v>#VALUE!</v>
      </c>
      <c r="M30" s="140" t="e">
        <f t="shared" ca="1" si="5"/>
        <v>#VALUE!</v>
      </c>
    </row>
    <row r="31" spans="1:17" s="112" customFormat="1" outlineLevel="1">
      <c r="A31" s="135"/>
      <c r="B31" s="132" t="e">
        <f ca="1">B32/1.1</f>
        <v>#VALUE!</v>
      </c>
      <c r="C31" s="136" t="e">
        <f t="shared" ca="1" si="5"/>
        <v>#VALUE!</v>
      </c>
      <c r="D31" s="136" t="e">
        <f t="shared" ca="1" si="5"/>
        <v>#VALUE!</v>
      </c>
      <c r="E31" s="136" t="e">
        <f t="shared" ca="1" si="5"/>
        <v>#VALUE!</v>
      </c>
      <c r="F31" s="136" t="e">
        <f t="shared" ca="1" si="5"/>
        <v>#VALUE!</v>
      </c>
      <c r="G31" s="136" t="e">
        <f t="shared" ca="1" si="5"/>
        <v>#VALUE!</v>
      </c>
      <c r="H31" s="136" t="e">
        <f t="shared" ca="1" si="5"/>
        <v>#VALUE!</v>
      </c>
      <c r="I31" s="136" t="e">
        <f t="shared" ca="1" si="5"/>
        <v>#VALUE!</v>
      </c>
      <c r="J31" s="136" t="e">
        <f t="shared" ca="1" si="5"/>
        <v>#VALUE!</v>
      </c>
      <c r="K31" s="136" t="e">
        <f t="shared" ca="1" si="5"/>
        <v>#VALUE!</v>
      </c>
      <c r="L31" s="136" t="e">
        <f t="shared" ca="1" si="5"/>
        <v>#VALUE!</v>
      </c>
      <c r="M31" s="140" t="e">
        <f t="shared" ca="1" si="5"/>
        <v>#VALUE!</v>
      </c>
    </row>
    <row r="32" spans="1:17" s="112" customFormat="1" outlineLevel="1">
      <c r="A32" s="135"/>
      <c r="B32" s="132" t="e">
        <f ca="1">B33/1.1</f>
        <v>#VALUE!</v>
      </c>
      <c r="C32" s="136" t="e">
        <f t="shared" ca="1" si="5"/>
        <v>#VALUE!</v>
      </c>
      <c r="D32" s="136" t="e">
        <f t="shared" ca="1" si="5"/>
        <v>#VALUE!</v>
      </c>
      <c r="E32" s="136" t="e">
        <f t="shared" ca="1" si="5"/>
        <v>#VALUE!</v>
      </c>
      <c r="F32" s="136" t="e">
        <f t="shared" ca="1" si="5"/>
        <v>#VALUE!</v>
      </c>
      <c r="G32" s="136" t="e">
        <f t="shared" ca="1" si="5"/>
        <v>#VALUE!</v>
      </c>
      <c r="H32" s="136" t="e">
        <f t="shared" ca="1" si="5"/>
        <v>#VALUE!</v>
      </c>
      <c r="I32" s="136" t="e">
        <f t="shared" ca="1" si="5"/>
        <v>#VALUE!</v>
      </c>
      <c r="J32" s="136" t="e">
        <f t="shared" ca="1" si="5"/>
        <v>#VALUE!</v>
      </c>
      <c r="K32" s="136" t="e">
        <f t="shared" ca="1" si="5"/>
        <v>#VALUE!</v>
      </c>
      <c r="L32" s="136" t="e">
        <f t="shared" ca="1" si="5"/>
        <v>#VALUE!</v>
      </c>
      <c r="M32" s="140" t="e">
        <f t="shared" ca="1" si="5"/>
        <v>#VALUE!</v>
      </c>
    </row>
    <row r="33" spans="1:17" s="112" customFormat="1" outlineLevel="1">
      <c r="A33" s="135"/>
      <c r="B33" s="132" t="e">
        <f ca="1">B34/1.1</f>
        <v>#VALUE!</v>
      </c>
      <c r="C33" s="136" t="e">
        <f t="shared" ca="1" si="5"/>
        <v>#VALUE!</v>
      </c>
      <c r="D33" s="136" t="e">
        <f t="shared" ca="1" si="5"/>
        <v>#VALUE!</v>
      </c>
      <c r="E33" s="136" t="e">
        <f t="shared" ca="1" si="5"/>
        <v>#VALUE!</v>
      </c>
      <c r="F33" s="136" t="e">
        <f t="shared" ca="1" si="5"/>
        <v>#VALUE!</v>
      </c>
      <c r="G33" s="136" t="e">
        <f t="shared" ca="1" si="5"/>
        <v>#VALUE!</v>
      </c>
      <c r="H33" s="136" t="e">
        <f t="shared" ca="1" si="5"/>
        <v>#VALUE!</v>
      </c>
      <c r="I33" s="136" t="e">
        <f t="shared" ca="1" si="5"/>
        <v>#VALUE!</v>
      </c>
      <c r="J33" s="136" t="e">
        <f t="shared" ca="1" si="5"/>
        <v>#VALUE!</v>
      </c>
      <c r="K33" s="136" t="e">
        <f t="shared" ca="1" si="5"/>
        <v>#VALUE!</v>
      </c>
      <c r="L33" s="136" t="e">
        <f t="shared" ca="1" si="5"/>
        <v>#VALUE!</v>
      </c>
      <c r="M33" s="140" t="e">
        <f t="shared" ca="1" si="5"/>
        <v>#VALUE!</v>
      </c>
    </row>
    <row r="34" spans="1:17" s="112" customFormat="1" ht="14.35" outlineLevel="1">
      <c r="A34" s="135"/>
      <c r="B34" s="134" t="e">
        <f ca="1">C24</f>
        <v>#VALUE!</v>
      </c>
      <c r="C34" s="136" t="e">
        <f t="shared" ca="1" si="5"/>
        <v>#VALUE!</v>
      </c>
      <c r="D34" s="136" t="e">
        <f t="shared" ca="1" si="5"/>
        <v>#VALUE!</v>
      </c>
      <c r="E34" s="136" t="e">
        <f t="shared" ca="1" si="5"/>
        <v>#VALUE!</v>
      </c>
      <c r="F34" s="136" t="e">
        <f t="shared" ca="1" si="5"/>
        <v>#VALUE!</v>
      </c>
      <c r="G34" s="136" t="e">
        <f t="shared" ca="1" si="5"/>
        <v>#VALUE!</v>
      </c>
      <c r="H34" s="137" t="e">
        <f t="shared" ca="1" si="5"/>
        <v>#VALUE!</v>
      </c>
      <c r="I34" s="136" t="e">
        <f t="shared" ca="1" si="5"/>
        <v>#VALUE!</v>
      </c>
      <c r="J34" s="136" t="e">
        <f t="shared" ca="1" si="5"/>
        <v>#VALUE!</v>
      </c>
      <c r="K34" s="136" t="e">
        <f t="shared" ca="1" si="5"/>
        <v>#VALUE!</v>
      </c>
      <c r="L34" s="136" t="e">
        <f t="shared" ca="1" si="5"/>
        <v>#VALUE!</v>
      </c>
      <c r="M34" s="140" t="e">
        <f t="shared" ca="1" si="5"/>
        <v>#VALUE!</v>
      </c>
    </row>
    <row r="35" spans="1:17" s="112" customFormat="1" outlineLevel="1">
      <c r="A35" s="135"/>
      <c r="B35" s="132" t="e">
        <f ca="1">B34*1.1</f>
        <v>#VALUE!</v>
      </c>
      <c r="C35" s="136" t="e">
        <f t="shared" ca="1" si="5"/>
        <v>#VALUE!</v>
      </c>
      <c r="D35" s="136" t="e">
        <f t="shared" ca="1" si="5"/>
        <v>#VALUE!</v>
      </c>
      <c r="E35" s="136" t="e">
        <f t="shared" ca="1" si="5"/>
        <v>#VALUE!</v>
      </c>
      <c r="F35" s="136" t="e">
        <f t="shared" ca="1" si="5"/>
        <v>#VALUE!</v>
      </c>
      <c r="G35" s="136" t="e">
        <f t="shared" ca="1" si="5"/>
        <v>#VALUE!</v>
      </c>
      <c r="H35" s="136" t="e">
        <f t="shared" ca="1" si="5"/>
        <v>#VALUE!</v>
      </c>
      <c r="I35" s="136" t="e">
        <f t="shared" ca="1" si="5"/>
        <v>#VALUE!</v>
      </c>
      <c r="J35" s="136" t="e">
        <f t="shared" ca="1" si="5"/>
        <v>#VALUE!</v>
      </c>
      <c r="K35" s="136" t="e">
        <f t="shared" ca="1" si="5"/>
        <v>#VALUE!</v>
      </c>
      <c r="L35" s="136" t="e">
        <f t="shared" ca="1" si="5"/>
        <v>#VALUE!</v>
      </c>
      <c r="M35" s="140" t="e">
        <f t="shared" ca="1" si="5"/>
        <v>#VALUE!</v>
      </c>
    </row>
    <row r="36" spans="1:17" s="112" customFormat="1" outlineLevel="1">
      <c r="A36" s="135"/>
      <c r="B36" s="132" t="e">
        <f ca="1">B35*1.1</f>
        <v>#VALUE!</v>
      </c>
      <c r="C36" s="136" t="e">
        <f t="shared" ca="1" si="5"/>
        <v>#VALUE!</v>
      </c>
      <c r="D36" s="136" t="e">
        <f t="shared" ca="1" si="5"/>
        <v>#VALUE!</v>
      </c>
      <c r="E36" s="136" t="e">
        <f t="shared" ca="1" si="5"/>
        <v>#VALUE!</v>
      </c>
      <c r="F36" s="136" t="e">
        <f t="shared" ca="1" si="5"/>
        <v>#VALUE!</v>
      </c>
      <c r="G36" s="136" t="e">
        <f t="shared" ca="1" si="5"/>
        <v>#VALUE!</v>
      </c>
      <c r="H36" s="136" t="e">
        <f t="shared" ca="1" si="5"/>
        <v>#VALUE!</v>
      </c>
      <c r="I36" s="136" t="e">
        <f t="shared" ca="1" si="5"/>
        <v>#VALUE!</v>
      </c>
      <c r="J36" s="136" t="e">
        <f t="shared" ca="1" si="5"/>
        <v>#VALUE!</v>
      </c>
      <c r="K36" s="136" t="e">
        <f t="shared" ca="1" si="5"/>
        <v>#VALUE!</v>
      </c>
      <c r="L36" s="136" t="e">
        <f t="shared" ca="1" si="5"/>
        <v>#VALUE!</v>
      </c>
      <c r="M36" s="140" t="e">
        <f t="shared" ca="1" si="5"/>
        <v>#VALUE!</v>
      </c>
    </row>
    <row r="37" spans="1:17" s="112" customFormat="1" outlineLevel="1">
      <c r="A37" s="135"/>
      <c r="B37" s="132" t="e">
        <f ca="1">B36*1.1</f>
        <v>#VALUE!</v>
      </c>
      <c r="C37" s="136" t="e">
        <f t="shared" ca="1" si="5"/>
        <v>#VALUE!</v>
      </c>
      <c r="D37" s="136" t="e">
        <f t="shared" ca="1" si="5"/>
        <v>#VALUE!</v>
      </c>
      <c r="E37" s="136" t="e">
        <f t="shared" ca="1" si="5"/>
        <v>#VALUE!</v>
      </c>
      <c r="F37" s="136" t="e">
        <f t="shared" ca="1" si="5"/>
        <v>#VALUE!</v>
      </c>
      <c r="G37" s="136" t="e">
        <f t="shared" ca="1" si="5"/>
        <v>#VALUE!</v>
      </c>
      <c r="H37" s="136" t="e">
        <f t="shared" ca="1" si="5"/>
        <v>#VALUE!</v>
      </c>
      <c r="I37" s="136" t="e">
        <f t="shared" ca="1" si="5"/>
        <v>#VALUE!</v>
      </c>
      <c r="J37" s="136" t="e">
        <f t="shared" ca="1" si="5"/>
        <v>#VALUE!</v>
      </c>
      <c r="K37" s="136" t="e">
        <f t="shared" ca="1" si="5"/>
        <v>#VALUE!</v>
      </c>
      <c r="L37" s="136" t="e">
        <f t="shared" ca="1" si="5"/>
        <v>#VALUE!</v>
      </c>
      <c r="M37" s="140" t="e">
        <f t="shared" ca="1" si="5"/>
        <v>#VALUE!</v>
      </c>
    </row>
    <row r="38" spans="1:17" s="112" customFormat="1" outlineLevel="1">
      <c r="A38" s="135"/>
      <c r="B38" s="132" t="e">
        <f ca="1">B37*1.1</f>
        <v>#VALUE!</v>
      </c>
      <c r="C38" s="136" t="e">
        <f t="shared" ca="1" si="5"/>
        <v>#VALUE!</v>
      </c>
      <c r="D38" s="136" t="e">
        <f t="shared" ca="1" si="5"/>
        <v>#VALUE!</v>
      </c>
      <c r="E38" s="136" t="e">
        <f t="shared" ca="1" si="5"/>
        <v>#VALUE!</v>
      </c>
      <c r="F38" s="136" t="e">
        <f t="shared" ca="1" si="5"/>
        <v>#VALUE!</v>
      </c>
      <c r="G38" s="136" t="e">
        <f t="shared" ca="1" si="5"/>
        <v>#VALUE!</v>
      </c>
      <c r="H38" s="136" t="e">
        <f t="shared" ca="1" si="5"/>
        <v>#VALUE!</v>
      </c>
      <c r="I38" s="136" t="e">
        <f t="shared" ca="1" si="5"/>
        <v>#VALUE!</v>
      </c>
      <c r="J38" s="136" t="e">
        <f t="shared" ca="1" si="5"/>
        <v>#VALUE!</v>
      </c>
      <c r="K38" s="136" t="e">
        <f t="shared" ca="1" si="5"/>
        <v>#VALUE!</v>
      </c>
      <c r="L38" s="136" t="e">
        <f t="shared" ca="1" si="5"/>
        <v>#VALUE!</v>
      </c>
      <c r="M38" s="140" t="e">
        <f t="shared" ca="1" si="5"/>
        <v>#VALUE!</v>
      </c>
    </row>
    <row r="39" spans="1:17" s="112" customFormat="1" outlineLevel="1">
      <c r="A39" s="135"/>
      <c r="B39" s="132" t="e">
        <f ca="1">B38*1.1</f>
        <v>#VALUE!</v>
      </c>
      <c r="C39" s="138" t="e">
        <f t="shared" ca="1" si="5"/>
        <v>#VALUE!</v>
      </c>
      <c r="D39" s="138" t="e">
        <f t="shared" ca="1" si="5"/>
        <v>#VALUE!</v>
      </c>
      <c r="E39" s="138" t="e">
        <f t="shared" ca="1" si="5"/>
        <v>#VALUE!</v>
      </c>
      <c r="F39" s="138" t="e">
        <f t="shared" ca="1" si="5"/>
        <v>#VALUE!</v>
      </c>
      <c r="G39" s="138" t="e">
        <f t="shared" ca="1" si="5"/>
        <v>#VALUE!</v>
      </c>
      <c r="H39" s="138" t="e">
        <f t="shared" ca="1" si="5"/>
        <v>#VALUE!</v>
      </c>
      <c r="I39" s="138" t="e">
        <f t="shared" ca="1" si="5"/>
        <v>#VALUE!</v>
      </c>
      <c r="J39" s="138" t="e">
        <f t="shared" ca="1" si="5"/>
        <v>#VALUE!</v>
      </c>
      <c r="K39" s="138" t="e">
        <f t="shared" ca="1" si="5"/>
        <v>#VALUE!</v>
      </c>
      <c r="L39" s="138" t="e">
        <f t="shared" ca="1" si="5"/>
        <v>#VALUE!</v>
      </c>
      <c r="M39" s="141" t="e">
        <f t="shared" ca="1" si="5"/>
        <v>#VALUE!</v>
      </c>
    </row>
    <row r="40" spans="1:17">
      <c r="A40" s="118"/>
    </row>
    <row r="41" spans="1:17" ht="17.75">
      <c r="A41" s="1067" t="s">
        <v>1706</v>
      </c>
      <c r="B41" s="1067"/>
    </row>
    <row r="42" spans="1:17" outlineLevel="1">
      <c r="A42" s="118"/>
      <c r="B42" s="119"/>
      <c r="C42" s="120">
        <v>43465</v>
      </c>
      <c r="D42" s="121" t="s">
        <v>3556</v>
      </c>
      <c r="E42" s="121" t="s">
        <v>1697</v>
      </c>
      <c r="F42" s="121" t="s">
        <v>1698</v>
      </c>
      <c r="G42" s="122"/>
      <c r="H42" s="123"/>
      <c r="I42" s="116"/>
      <c r="J42" s="116"/>
      <c r="K42" s="116"/>
      <c r="L42" s="116"/>
      <c r="M42" s="116"/>
      <c r="N42" s="116"/>
      <c r="O42" s="116"/>
      <c r="P42" s="116"/>
      <c r="Q42" s="116"/>
    </row>
    <row r="43" spans="1:17" outlineLevel="1">
      <c r="A43" s="118"/>
      <c r="B43" s="124" t="s">
        <v>1707</v>
      </c>
      <c r="C43" s="125" t="e">
        <f ca="1">预测资产负债表!G60*unit/(目录!$E$9*10000)</f>
        <v>#VALUE!</v>
      </c>
      <c r="D43" s="125" t="e">
        <f ca="1">预测资产负债表!H60*unit/(目录!$E$9*10000)</f>
        <v>#VALUE!</v>
      </c>
      <c r="E43" s="125" t="e">
        <f ca="1">预测资产负债表!I60*unit/(目录!$E$9*10000)</f>
        <v>#VALUE!</v>
      </c>
      <c r="F43" s="125" t="e">
        <f ca="1">预测资产负债表!J60*unit/(目录!$E$9*10000)</f>
        <v>#VALUE!</v>
      </c>
      <c r="G43" s="126"/>
      <c r="H43" s="127"/>
      <c r="I43" s="139"/>
      <c r="J43" s="139"/>
      <c r="K43" s="139"/>
      <c r="L43" s="139"/>
      <c r="M43" s="139"/>
      <c r="N43" s="116"/>
      <c r="O43" s="116"/>
      <c r="P43" s="116"/>
      <c r="Q43" s="116"/>
    </row>
    <row r="44" spans="1:17" outlineLevel="1">
      <c r="A44" s="118"/>
      <c r="B44" s="124" t="s">
        <v>1708</v>
      </c>
      <c r="C44" s="125">
        <f>可比公司估值!AB6</f>
        <v>3.9208759355302938</v>
      </c>
      <c r="D44" s="125">
        <f>可比公司估值!AC6</f>
        <v>3.6934150374622758</v>
      </c>
      <c r="E44" s="125">
        <f>可比公司估值!AD6</f>
        <v>3.1875640483721055</v>
      </c>
      <c r="F44" s="125">
        <f>可比公司估值!AE6</f>
        <v>2.7388168514359328</v>
      </c>
      <c r="G44" s="126"/>
      <c r="H44" s="127"/>
      <c r="I44" s="139"/>
      <c r="J44" s="139"/>
      <c r="K44" s="139"/>
      <c r="L44" s="139"/>
      <c r="M44" s="139"/>
      <c r="N44" s="116"/>
      <c r="O44" s="116"/>
      <c r="P44" s="116"/>
      <c r="Q44" s="116"/>
    </row>
    <row r="45" spans="1:17" outlineLevel="1">
      <c r="A45" s="118"/>
      <c r="B45" s="129" t="s">
        <v>1642</v>
      </c>
      <c r="C45" s="130" t="e">
        <f ca="1">C43*C44</f>
        <v>#VALUE!</v>
      </c>
      <c r="D45" s="130" t="e">
        <f t="shared" ref="D45:F45" ca="1" si="6">D43*D44</f>
        <v>#VALUE!</v>
      </c>
      <c r="E45" s="130" t="e">
        <f t="shared" ca="1" si="6"/>
        <v>#VALUE!</v>
      </c>
      <c r="F45" s="130" t="e">
        <f t="shared" ca="1" si="6"/>
        <v>#VALUE!</v>
      </c>
      <c r="G45" s="126"/>
      <c r="H45" s="127"/>
      <c r="I45" s="139"/>
      <c r="J45" s="139"/>
      <c r="K45" s="139"/>
      <c r="L45" s="139"/>
      <c r="M45" s="139"/>
      <c r="N45" s="116"/>
      <c r="O45" s="116"/>
      <c r="P45" s="116"/>
      <c r="Q45" s="116"/>
    </row>
    <row r="46" spans="1:17" outlineLevel="1">
      <c r="A46" s="118"/>
    </row>
    <row r="47" spans="1:17" ht="22.55" outlineLevel="1">
      <c r="A47" s="118"/>
      <c r="B47" s="131" t="s">
        <v>1709</v>
      </c>
      <c r="C47" s="132">
        <f>D47/1.1</f>
        <v>2.4345554734402719</v>
      </c>
      <c r="D47" s="132">
        <f>E47/1.1</f>
        <v>2.6780110207842993</v>
      </c>
      <c r="E47" s="132">
        <f>F47/1.1</f>
        <v>2.9458121228627294</v>
      </c>
      <c r="F47" s="132">
        <f>G47/1.1</f>
        <v>3.2403933351490024</v>
      </c>
      <c r="G47" s="132">
        <f>H47/1.1</f>
        <v>3.564432668663903</v>
      </c>
      <c r="H47" s="132">
        <f>C44</f>
        <v>3.9208759355302938</v>
      </c>
      <c r="I47" s="132">
        <f>H47*1.1</f>
        <v>4.3129635290833237</v>
      </c>
      <c r="J47" s="132">
        <f>I47*1.1</f>
        <v>4.7442598819916562</v>
      </c>
      <c r="K47" s="132">
        <f>J47*1.1</f>
        <v>5.2186858701908223</v>
      </c>
      <c r="L47" s="132">
        <f>K47*1.1</f>
        <v>5.740554457209905</v>
      </c>
      <c r="M47" s="132">
        <f>L47*1.1</f>
        <v>6.3146099029308962</v>
      </c>
    </row>
    <row r="48" spans="1:17" s="112" customFormat="1" outlineLevel="1">
      <c r="A48" s="135"/>
      <c r="B48" s="132" t="e">
        <f ca="1">B49/1.1</f>
        <v>#VALUE!</v>
      </c>
      <c r="C48" s="136" t="e">
        <f ca="1">C$47*$B48</f>
        <v>#VALUE!</v>
      </c>
      <c r="D48" s="136" t="e">
        <f t="shared" ref="D48:M58" ca="1" si="7">D$47*$B48</f>
        <v>#VALUE!</v>
      </c>
      <c r="E48" s="136" t="e">
        <f t="shared" ca="1" si="7"/>
        <v>#VALUE!</v>
      </c>
      <c r="F48" s="136" t="e">
        <f t="shared" ca="1" si="7"/>
        <v>#VALUE!</v>
      </c>
      <c r="G48" s="136" t="e">
        <f t="shared" ca="1" si="7"/>
        <v>#VALUE!</v>
      </c>
      <c r="H48" s="136" t="e">
        <f t="shared" ca="1" si="7"/>
        <v>#VALUE!</v>
      </c>
      <c r="I48" s="136" t="e">
        <f t="shared" ca="1" si="7"/>
        <v>#VALUE!</v>
      </c>
      <c r="J48" s="136" t="e">
        <f t="shared" ca="1" si="7"/>
        <v>#VALUE!</v>
      </c>
      <c r="K48" s="136" t="e">
        <f t="shared" ca="1" si="7"/>
        <v>#VALUE!</v>
      </c>
      <c r="L48" s="136" t="e">
        <f t="shared" ca="1" si="7"/>
        <v>#VALUE!</v>
      </c>
      <c r="M48" s="140" t="e">
        <f t="shared" ca="1" si="7"/>
        <v>#VALUE!</v>
      </c>
    </row>
    <row r="49" spans="1:13" s="112" customFormat="1" outlineLevel="1">
      <c r="A49" s="135"/>
      <c r="B49" s="132" t="e">
        <f ca="1">B50/1.1</f>
        <v>#VALUE!</v>
      </c>
      <c r="C49" s="136" t="e">
        <f t="shared" ref="C49:C58" ca="1" si="8">C$47*$B49</f>
        <v>#VALUE!</v>
      </c>
      <c r="D49" s="136" t="e">
        <f t="shared" ca="1" si="7"/>
        <v>#VALUE!</v>
      </c>
      <c r="E49" s="136" t="e">
        <f t="shared" ca="1" si="7"/>
        <v>#VALUE!</v>
      </c>
      <c r="F49" s="136" t="e">
        <f t="shared" ca="1" si="7"/>
        <v>#VALUE!</v>
      </c>
      <c r="G49" s="136" t="e">
        <f t="shared" ca="1" si="7"/>
        <v>#VALUE!</v>
      </c>
      <c r="H49" s="136" t="e">
        <f t="shared" ca="1" si="7"/>
        <v>#VALUE!</v>
      </c>
      <c r="I49" s="136" t="e">
        <f t="shared" ca="1" si="7"/>
        <v>#VALUE!</v>
      </c>
      <c r="J49" s="136" t="e">
        <f t="shared" ca="1" si="7"/>
        <v>#VALUE!</v>
      </c>
      <c r="K49" s="136" t="e">
        <f t="shared" ca="1" si="7"/>
        <v>#VALUE!</v>
      </c>
      <c r="L49" s="136" t="e">
        <f t="shared" ca="1" si="7"/>
        <v>#VALUE!</v>
      </c>
      <c r="M49" s="140" t="e">
        <f t="shared" ca="1" si="7"/>
        <v>#VALUE!</v>
      </c>
    </row>
    <row r="50" spans="1:13" s="112" customFormat="1" outlineLevel="1">
      <c r="A50" s="135"/>
      <c r="B50" s="132" t="e">
        <f ca="1">B51/1.1</f>
        <v>#VALUE!</v>
      </c>
      <c r="C50" s="136" t="e">
        <f t="shared" ca="1" si="8"/>
        <v>#VALUE!</v>
      </c>
      <c r="D50" s="136" t="e">
        <f t="shared" ca="1" si="7"/>
        <v>#VALUE!</v>
      </c>
      <c r="E50" s="136" t="e">
        <f t="shared" ca="1" si="7"/>
        <v>#VALUE!</v>
      </c>
      <c r="F50" s="136" t="e">
        <f t="shared" ca="1" si="7"/>
        <v>#VALUE!</v>
      </c>
      <c r="G50" s="136" t="e">
        <f t="shared" ca="1" si="7"/>
        <v>#VALUE!</v>
      </c>
      <c r="H50" s="136" t="e">
        <f t="shared" ca="1" si="7"/>
        <v>#VALUE!</v>
      </c>
      <c r="I50" s="136" t="e">
        <f t="shared" ca="1" si="7"/>
        <v>#VALUE!</v>
      </c>
      <c r="J50" s="136" t="e">
        <f t="shared" ca="1" si="7"/>
        <v>#VALUE!</v>
      </c>
      <c r="K50" s="136" t="e">
        <f t="shared" ca="1" si="7"/>
        <v>#VALUE!</v>
      </c>
      <c r="L50" s="136" t="e">
        <f t="shared" ca="1" si="7"/>
        <v>#VALUE!</v>
      </c>
      <c r="M50" s="140" t="e">
        <f t="shared" ca="1" si="7"/>
        <v>#VALUE!</v>
      </c>
    </row>
    <row r="51" spans="1:13" s="112" customFormat="1" outlineLevel="1">
      <c r="A51" s="135"/>
      <c r="B51" s="132" t="e">
        <f ca="1">B52/1.1</f>
        <v>#VALUE!</v>
      </c>
      <c r="C51" s="136" t="e">
        <f t="shared" ca="1" si="8"/>
        <v>#VALUE!</v>
      </c>
      <c r="D51" s="136" t="e">
        <f t="shared" ca="1" si="7"/>
        <v>#VALUE!</v>
      </c>
      <c r="E51" s="136" t="e">
        <f t="shared" ca="1" si="7"/>
        <v>#VALUE!</v>
      </c>
      <c r="F51" s="136" t="e">
        <f t="shared" ca="1" si="7"/>
        <v>#VALUE!</v>
      </c>
      <c r="G51" s="136" t="e">
        <f t="shared" ca="1" si="7"/>
        <v>#VALUE!</v>
      </c>
      <c r="H51" s="136" t="e">
        <f t="shared" ca="1" si="7"/>
        <v>#VALUE!</v>
      </c>
      <c r="I51" s="136" t="e">
        <f t="shared" ca="1" si="7"/>
        <v>#VALUE!</v>
      </c>
      <c r="J51" s="136" t="e">
        <f t="shared" ca="1" si="7"/>
        <v>#VALUE!</v>
      </c>
      <c r="K51" s="136" t="e">
        <f t="shared" ca="1" si="7"/>
        <v>#VALUE!</v>
      </c>
      <c r="L51" s="136" t="e">
        <f t="shared" ca="1" si="7"/>
        <v>#VALUE!</v>
      </c>
      <c r="M51" s="140" t="e">
        <f t="shared" ca="1" si="7"/>
        <v>#VALUE!</v>
      </c>
    </row>
    <row r="52" spans="1:13" s="112" customFormat="1" outlineLevel="1">
      <c r="A52" s="135"/>
      <c r="B52" s="132" t="e">
        <f ca="1">B53/1.1</f>
        <v>#VALUE!</v>
      </c>
      <c r="C52" s="136" t="e">
        <f t="shared" ca="1" si="8"/>
        <v>#VALUE!</v>
      </c>
      <c r="D52" s="136" t="e">
        <f t="shared" ca="1" si="7"/>
        <v>#VALUE!</v>
      </c>
      <c r="E52" s="136" t="e">
        <f t="shared" ca="1" si="7"/>
        <v>#VALUE!</v>
      </c>
      <c r="F52" s="136" t="e">
        <f t="shared" ca="1" si="7"/>
        <v>#VALUE!</v>
      </c>
      <c r="G52" s="136" t="e">
        <f t="shared" ca="1" si="7"/>
        <v>#VALUE!</v>
      </c>
      <c r="H52" s="136" t="e">
        <f t="shared" ca="1" si="7"/>
        <v>#VALUE!</v>
      </c>
      <c r="I52" s="136" t="e">
        <f t="shared" ca="1" si="7"/>
        <v>#VALUE!</v>
      </c>
      <c r="J52" s="136" t="e">
        <f t="shared" ca="1" si="7"/>
        <v>#VALUE!</v>
      </c>
      <c r="K52" s="136" t="e">
        <f t="shared" ca="1" si="7"/>
        <v>#VALUE!</v>
      </c>
      <c r="L52" s="136" t="e">
        <f t="shared" ca="1" si="7"/>
        <v>#VALUE!</v>
      </c>
      <c r="M52" s="140" t="e">
        <f t="shared" ca="1" si="7"/>
        <v>#VALUE!</v>
      </c>
    </row>
    <row r="53" spans="1:13" s="112" customFormat="1" ht="14.35" outlineLevel="1">
      <c r="A53" s="135"/>
      <c r="B53" s="134" t="e">
        <f ca="1">C43</f>
        <v>#VALUE!</v>
      </c>
      <c r="C53" s="136" t="e">
        <f t="shared" ca="1" si="8"/>
        <v>#VALUE!</v>
      </c>
      <c r="D53" s="136" t="e">
        <f t="shared" ca="1" si="7"/>
        <v>#VALUE!</v>
      </c>
      <c r="E53" s="136" t="e">
        <f t="shared" ca="1" si="7"/>
        <v>#VALUE!</v>
      </c>
      <c r="F53" s="136" t="e">
        <f t="shared" ca="1" si="7"/>
        <v>#VALUE!</v>
      </c>
      <c r="G53" s="136" t="e">
        <f t="shared" ca="1" si="7"/>
        <v>#VALUE!</v>
      </c>
      <c r="H53" s="137" t="e">
        <f ca="1">H$47*$B53</f>
        <v>#VALUE!</v>
      </c>
      <c r="I53" s="136" t="e">
        <f t="shared" ca="1" si="7"/>
        <v>#VALUE!</v>
      </c>
      <c r="J53" s="136" t="e">
        <f t="shared" ca="1" si="7"/>
        <v>#VALUE!</v>
      </c>
      <c r="K53" s="136" t="e">
        <f t="shared" ca="1" si="7"/>
        <v>#VALUE!</v>
      </c>
      <c r="L53" s="136" t="e">
        <f t="shared" ca="1" si="7"/>
        <v>#VALUE!</v>
      </c>
      <c r="M53" s="140" t="e">
        <f t="shared" ca="1" si="7"/>
        <v>#VALUE!</v>
      </c>
    </row>
    <row r="54" spans="1:13" s="112" customFormat="1" outlineLevel="1">
      <c r="A54" s="135"/>
      <c r="B54" s="132" t="e">
        <f ca="1">B53*1.1</f>
        <v>#VALUE!</v>
      </c>
      <c r="C54" s="136" t="e">
        <f t="shared" ca="1" si="8"/>
        <v>#VALUE!</v>
      </c>
      <c r="D54" s="136" t="e">
        <f t="shared" ca="1" si="7"/>
        <v>#VALUE!</v>
      </c>
      <c r="E54" s="136" t="e">
        <f t="shared" ca="1" si="7"/>
        <v>#VALUE!</v>
      </c>
      <c r="F54" s="136" t="e">
        <f t="shared" ca="1" si="7"/>
        <v>#VALUE!</v>
      </c>
      <c r="G54" s="136" t="e">
        <f t="shared" ca="1" si="7"/>
        <v>#VALUE!</v>
      </c>
      <c r="H54" s="136" t="e">
        <f t="shared" ca="1" si="7"/>
        <v>#VALUE!</v>
      </c>
      <c r="I54" s="136" t="e">
        <f t="shared" ca="1" si="7"/>
        <v>#VALUE!</v>
      </c>
      <c r="J54" s="136" t="e">
        <f t="shared" ca="1" si="7"/>
        <v>#VALUE!</v>
      </c>
      <c r="K54" s="136" t="e">
        <f t="shared" ca="1" si="7"/>
        <v>#VALUE!</v>
      </c>
      <c r="L54" s="136" t="e">
        <f t="shared" ca="1" si="7"/>
        <v>#VALUE!</v>
      </c>
      <c r="M54" s="140" t="e">
        <f t="shared" ca="1" si="7"/>
        <v>#VALUE!</v>
      </c>
    </row>
    <row r="55" spans="1:13" s="112" customFormat="1" outlineLevel="1">
      <c r="A55" s="135"/>
      <c r="B55" s="132" t="e">
        <f ca="1">B54*1.1</f>
        <v>#VALUE!</v>
      </c>
      <c r="C55" s="136" t="e">
        <f t="shared" ca="1" si="8"/>
        <v>#VALUE!</v>
      </c>
      <c r="D55" s="136" t="e">
        <f t="shared" ca="1" si="7"/>
        <v>#VALUE!</v>
      </c>
      <c r="E55" s="136" t="e">
        <f t="shared" ca="1" si="7"/>
        <v>#VALUE!</v>
      </c>
      <c r="F55" s="136" t="e">
        <f t="shared" ca="1" si="7"/>
        <v>#VALUE!</v>
      </c>
      <c r="G55" s="136" t="e">
        <f t="shared" ca="1" si="7"/>
        <v>#VALUE!</v>
      </c>
      <c r="H55" s="136" t="e">
        <f t="shared" ca="1" si="7"/>
        <v>#VALUE!</v>
      </c>
      <c r="I55" s="136" t="e">
        <f t="shared" ca="1" si="7"/>
        <v>#VALUE!</v>
      </c>
      <c r="J55" s="136" t="e">
        <f t="shared" ca="1" si="7"/>
        <v>#VALUE!</v>
      </c>
      <c r="K55" s="136" t="e">
        <f t="shared" ca="1" si="7"/>
        <v>#VALUE!</v>
      </c>
      <c r="L55" s="136" t="e">
        <f t="shared" ca="1" si="7"/>
        <v>#VALUE!</v>
      </c>
      <c r="M55" s="140" t="e">
        <f t="shared" ca="1" si="7"/>
        <v>#VALUE!</v>
      </c>
    </row>
    <row r="56" spans="1:13" s="112" customFormat="1" outlineLevel="1">
      <c r="A56" s="135"/>
      <c r="B56" s="132" t="e">
        <f ca="1">B55*1.1</f>
        <v>#VALUE!</v>
      </c>
      <c r="C56" s="136" t="e">
        <f t="shared" ca="1" si="8"/>
        <v>#VALUE!</v>
      </c>
      <c r="D56" s="136" t="e">
        <f t="shared" ca="1" si="7"/>
        <v>#VALUE!</v>
      </c>
      <c r="E56" s="136" t="e">
        <f t="shared" ca="1" si="7"/>
        <v>#VALUE!</v>
      </c>
      <c r="F56" s="136" t="e">
        <f t="shared" ca="1" si="7"/>
        <v>#VALUE!</v>
      </c>
      <c r="G56" s="136" t="e">
        <f t="shared" ca="1" si="7"/>
        <v>#VALUE!</v>
      </c>
      <c r="H56" s="136" t="e">
        <f t="shared" ca="1" si="7"/>
        <v>#VALUE!</v>
      </c>
      <c r="I56" s="136" t="e">
        <f t="shared" ca="1" si="7"/>
        <v>#VALUE!</v>
      </c>
      <c r="J56" s="136" t="e">
        <f t="shared" ca="1" si="7"/>
        <v>#VALUE!</v>
      </c>
      <c r="K56" s="136" t="e">
        <f t="shared" ca="1" si="7"/>
        <v>#VALUE!</v>
      </c>
      <c r="L56" s="136" t="e">
        <f t="shared" ca="1" si="7"/>
        <v>#VALUE!</v>
      </c>
      <c r="M56" s="140" t="e">
        <f t="shared" ca="1" si="7"/>
        <v>#VALUE!</v>
      </c>
    </row>
    <row r="57" spans="1:13" s="112" customFormat="1" outlineLevel="1">
      <c r="A57" s="135"/>
      <c r="B57" s="132" t="e">
        <f ca="1">B56*1.1</f>
        <v>#VALUE!</v>
      </c>
      <c r="C57" s="136" t="e">
        <f t="shared" ca="1" si="8"/>
        <v>#VALUE!</v>
      </c>
      <c r="D57" s="136" t="e">
        <f t="shared" ca="1" si="7"/>
        <v>#VALUE!</v>
      </c>
      <c r="E57" s="136" t="e">
        <f t="shared" ca="1" si="7"/>
        <v>#VALUE!</v>
      </c>
      <c r="F57" s="136" t="e">
        <f t="shared" ca="1" si="7"/>
        <v>#VALUE!</v>
      </c>
      <c r="G57" s="136" t="e">
        <f t="shared" ca="1" si="7"/>
        <v>#VALUE!</v>
      </c>
      <c r="H57" s="136" t="e">
        <f t="shared" ca="1" si="7"/>
        <v>#VALUE!</v>
      </c>
      <c r="I57" s="136" t="e">
        <f t="shared" ca="1" si="7"/>
        <v>#VALUE!</v>
      </c>
      <c r="J57" s="136" t="e">
        <f t="shared" ca="1" si="7"/>
        <v>#VALUE!</v>
      </c>
      <c r="K57" s="136" t="e">
        <f t="shared" ca="1" si="7"/>
        <v>#VALUE!</v>
      </c>
      <c r="L57" s="136" t="e">
        <f t="shared" ca="1" si="7"/>
        <v>#VALUE!</v>
      </c>
      <c r="M57" s="140" t="e">
        <f t="shared" ca="1" si="7"/>
        <v>#VALUE!</v>
      </c>
    </row>
    <row r="58" spans="1:13" s="112" customFormat="1" outlineLevel="1">
      <c r="A58" s="135"/>
      <c r="B58" s="132" t="e">
        <f ca="1">B57*1.1</f>
        <v>#VALUE!</v>
      </c>
      <c r="C58" s="138" t="e">
        <f t="shared" ca="1" si="8"/>
        <v>#VALUE!</v>
      </c>
      <c r="D58" s="138" t="e">
        <f t="shared" ca="1" si="7"/>
        <v>#VALUE!</v>
      </c>
      <c r="E58" s="138" t="e">
        <f t="shared" ca="1" si="7"/>
        <v>#VALUE!</v>
      </c>
      <c r="F58" s="138" t="e">
        <f t="shared" ca="1" si="7"/>
        <v>#VALUE!</v>
      </c>
      <c r="G58" s="138" t="e">
        <f t="shared" ca="1" si="7"/>
        <v>#VALUE!</v>
      </c>
      <c r="H58" s="138" t="e">
        <f t="shared" ca="1" si="7"/>
        <v>#VALUE!</v>
      </c>
      <c r="I58" s="138" t="e">
        <f t="shared" ca="1" si="7"/>
        <v>#VALUE!</v>
      </c>
      <c r="J58" s="138" t="e">
        <f t="shared" ca="1" si="7"/>
        <v>#VALUE!</v>
      </c>
      <c r="K58" s="138" t="e">
        <f t="shared" ca="1" si="7"/>
        <v>#VALUE!</v>
      </c>
      <c r="L58" s="138" t="e">
        <f t="shared" ca="1" si="7"/>
        <v>#VALUE!</v>
      </c>
      <c r="M58" s="141" t="e">
        <f t="shared" ca="1" si="7"/>
        <v>#VALUE!</v>
      </c>
    </row>
    <row r="59" spans="1:13">
      <c r="A59" s="118"/>
    </row>
  </sheetData>
  <mergeCells count="4">
    <mergeCell ref="A2:B2"/>
    <mergeCell ref="A3:B3"/>
    <mergeCell ref="A22:B22"/>
    <mergeCell ref="A41:B41"/>
  </mergeCells>
  <phoneticPr fontId="9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0" r:id="rId4" name="NavigateCombBox">
              <controlPr defaultSize="0" autoPict="0" macro="[0]!NavigateBox">
                <anchor moveWithCells="1">
                  <from>
                    <xdr:col>0</xdr:col>
                    <xdr:colOff>0</xdr:colOff>
                    <xdr:row>0</xdr:row>
                    <xdr:rowOff>0</xdr:rowOff>
                  </from>
                  <to>
                    <xdr:col>3</xdr:col>
                    <xdr:colOff>143010</xdr:colOff>
                    <xdr:row>1</xdr:row>
                    <xdr:rowOff>8667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theme="0" tint="-0.14996795556505021"/>
  </sheetPr>
  <dimension ref="A1:W365"/>
  <sheetViews>
    <sheetView workbookViewId="0">
      <pane xSplit="1" ySplit="3" topLeftCell="B4" activePane="bottomRight" state="frozen"/>
      <selection pane="topRight"/>
      <selection pane="bottomLeft"/>
      <selection pane="bottomRight" activeCell="B32" sqref="B32"/>
    </sheetView>
  </sheetViews>
  <sheetFormatPr defaultColWidth="9" defaultRowHeight="14.35" outlineLevelRow="1"/>
  <cols>
    <col min="1" max="1" width="54.4375" style="5" customWidth="1"/>
    <col min="2" max="2" width="13.75" style="5" bestFit="1" customWidth="1"/>
    <col min="3" max="3" width="8.5625" style="5" bestFit="1" customWidth="1"/>
    <col min="4" max="4" width="7.375" style="5" bestFit="1" customWidth="1"/>
    <col min="5" max="5" width="8.1875" style="5" bestFit="1" customWidth="1"/>
    <col min="6" max="8" width="7.375" style="5" bestFit="1" customWidth="1"/>
    <col min="9" max="9" width="8.1875" style="5" bestFit="1" customWidth="1"/>
    <col min="10" max="10" width="7.375" style="5" bestFit="1" customWidth="1"/>
    <col min="11" max="11" width="7.9375" style="5" bestFit="1" customWidth="1"/>
    <col min="12" max="12" width="7.375" style="5" bestFit="1" customWidth="1"/>
    <col min="13" max="13" width="8.1875" style="5" bestFit="1" customWidth="1"/>
    <col min="14" max="16" width="7.375" style="5" bestFit="1" customWidth="1"/>
    <col min="17" max="17" width="8.1875" style="5" bestFit="1" customWidth="1"/>
    <col min="18" max="20" width="7.375" style="5" bestFit="1" customWidth="1"/>
    <col min="21" max="16384" width="9" style="5"/>
  </cols>
  <sheetData>
    <row r="1" spans="1:20" s="91" customFormat="1" ht="26.4" customHeight="1">
      <c r="B1" s="92" t="s">
        <v>1710</v>
      </c>
      <c r="C1" s="93">
        <f ca="1">TODAY()</f>
        <v>43829</v>
      </c>
      <c r="J1" s="107"/>
      <c r="K1" s="108">
        <f>DATE(目录!$C$10,12,31)</f>
        <v>43465</v>
      </c>
      <c r="L1" s="107"/>
    </row>
    <row r="2" spans="1:20" s="91" customFormat="1" ht="12.75" customHeight="1">
      <c r="A2" s="91" t="str">
        <f>'[2]历史年度（原始）'!A2</f>
        <v>单位：元</v>
      </c>
    </row>
    <row r="3" spans="1:20">
      <c r="A3" s="94"/>
      <c r="B3" s="77">
        <v>42094</v>
      </c>
      <c r="C3" s="77">
        <v>42185</v>
      </c>
      <c r="D3" s="77">
        <v>42277</v>
      </c>
      <c r="E3" s="77">
        <v>42369</v>
      </c>
      <c r="F3" s="77">
        <v>42460</v>
      </c>
      <c r="G3" s="77">
        <v>42551</v>
      </c>
      <c r="H3" s="77">
        <v>42643</v>
      </c>
      <c r="I3" s="77">
        <v>42735</v>
      </c>
      <c r="J3" s="77">
        <v>42825</v>
      </c>
      <c r="K3" s="77">
        <v>42916</v>
      </c>
      <c r="L3" s="77">
        <v>43008</v>
      </c>
      <c r="M3" s="77">
        <v>43100</v>
      </c>
      <c r="N3" s="77">
        <v>43190</v>
      </c>
      <c r="O3" s="77">
        <v>43281</v>
      </c>
      <c r="P3" s="77">
        <v>43373</v>
      </c>
      <c r="Q3" s="77">
        <v>43465</v>
      </c>
      <c r="R3" s="77">
        <v>43555</v>
      </c>
      <c r="S3" s="77">
        <v>43646</v>
      </c>
      <c r="T3" s="77">
        <v>43738</v>
      </c>
    </row>
    <row r="4" spans="1:20">
      <c r="A4" s="95" t="s">
        <v>17</v>
      </c>
      <c r="B4" s="96" t="s">
        <v>1711</v>
      </c>
      <c r="C4" s="96" t="s">
        <v>1712</v>
      </c>
      <c r="D4" s="96" t="s">
        <v>1713</v>
      </c>
      <c r="E4" s="96" t="s">
        <v>1714</v>
      </c>
      <c r="F4" s="96" t="s">
        <v>1711</v>
      </c>
      <c r="G4" s="96" t="s">
        <v>1712</v>
      </c>
      <c r="H4" s="96" t="s">
        <v>1713</v>
      </c>
      <c r="I4" s="96" t="s">
        <v>1714</v>
      </c>
      <c r="J4" s="96" t="s">
        <v>1711</v>
      </c>
      <c r="K4" s="96" t="s">
        <v>1712</v>
      </c>
      <c r="L4" s="96" t="s">
        <v>1713</v>
      </c>
      <c r="M4" s="96" t="s">
        <v>1714</v>
      </c>
      <c r="N4" s="96" t="s">
        <v>1711</v>
      </c>
      <c r="O4" s="96" t="s">
        <v>1712</v>
      </c>
      <c r="P4" s="96" t="s">
        <v>1713</v>
      </c>
      <c r="Q4" s="96" t="s">
        <v>1714</v>
      </c>
      <c r="R4" s="96" t="s">
        <v>1711</v>
      </c>
      <c r="S4" s="96" t="s">
        <v>1712</v>
      </c>
      <c r="T4" s="96" t="s">
        <v>1713</v>
      </c>
    </row>
    <row r="5" spans="1:20">
      <c r="A5" s="97" t="s">
        <v>1715</v>
      </c>
      <c r="B5" s="98"/>
      <c r="C5" s="98"/>
      <c r="D5" s="98"/>
      <c r="E5" s="98"/>
      <c r="F5" s="98"/>
      <c r="G5" s="98"/>
      <c r="H5" s="98"/>
      <c r="I5" s="98"/>
      <c r="J5" s="98"/>
      <c r="K5" s="98"/>
      <c r="L5" s="98"/>
      <c r="M5" s="98"/>
      <c r="N5" s="98"/>
      <c r="O5" s="98"/>
      <c r="P5" s="98"/>
      <c r="Q5" s="98"/>
      <c r="R5" s="98"/>
      <c r="S5" s="98"/>
      <c r="T5" s="98"/>
    </row>
    <row r="6" spans="1:20" outlineLevel="1">
      <c r="A6" s="99" t="s">
        <v>529</v>
      </c>
      <c r="B6" s="100">
        <f>261629499.64/unit</f>
        <v>2.6162949963999997</v>
      </c>
      <c r="C6" s="100">
        <f>317257881.99/unit</f>
        <v>3.1725788199</v>
      </c>
      <c r="D6" s="100">
        <f>361918788.52/unit</f>
        <v>3.6191878851999997</v>
      </c>
      <c r="E6" s="100">
        <f>378469851.34/unit</f>
        <v>3.7846985133999995</v>
      </c>
      <c r="F6" s="100">
        <f>336147758.26/unit</f>
        <v>3.3614775826000001</v>
      </c>
      <c r="G6" s="100">
        <f>413850721.68/unit</f>
        <v>4.1385072167999999</v>
      </c>
      <c r="H6" s="100">
        <f>477877008.08/unit</f>
        <v>4.7787700808000002</v>
      </c>
      <c r="I6" s="100">
        <f>508383278.48/unit</f>
        <v>5.0838327848000002</v>
      </c>
      <c r="J6" s="100">
        <f>359929097.11/unit</f>
        <v>3.5992909711000003</v>
      </c>
      <c r="K6" s="100">
        <f>454027856.52/unit</f>
        <v>4.5402785651999995</v>
      </c>
      <c r="L6" s="100">
        <f>575970139.31/unit</f>
        <v>5.7597013930999994</v>
      </c>
      <c r="M6" s="100">
        <f>597630820.86/unit</f>
        <v>5.9763082085999999</v>
      </c>
      <c r="N6" s="100">
        <f>492009611.88/unit</f>
        <v>4.9200961188000001</v>
      </c>
      <c r="O6" s="100">
        <f>637681766.47/unit</f>
        <v>6.3768176646999999</v>
      </c>
      <c r="P6" s="100">
        <f>619916648.42/unit</f>
        <v>6.1991664841999992</v>
      </c>
      <c r="Q6" s="100">
        <f>612434812.85/unit</f>
        <v>6.1243481285000003</v>
      </c>
      <c r="R6" s="100">
        <f>544658164.44/unit</f>
        <v>5.4465816444000001</v>
      </c>
      <c r="S6" s="100">
        <f>672779473.94/unit</f>
        <v>6.7277947394000002</v>
      </c>
      <c r="T6" s="100">
        <f>713758896.33/unit</f>
        <v>7.1375889633000007</v>
      </c>
    </row>
    <row r="7" spans="1:20" outlineLevel="1">
      <c r="A7" s="101" t="s">
        <v>530</v>
      </c>
      <c r="B7" s="102">
        <f>261629499.64/unit</f>
        <v>2.6162949963999997</v>
      </c>
      <c r="C7" s="102">
        <f>317257881.99/unit</f>
        <v>3.1725788199</v>
      </c>
      <c r="D7" s="102">
        <f>361918788.52/unit</f>
        <v>3.6191878851999997</v>
      </c>
      <c r="E7" s="102">
        <f>378469851.34/unit</f>
        <v>3.7846985133999995</v>
      </c>
      <c r="F7" s="102">
        <f>336147758.26/unit</f>
        <v>3.3614775826000001</v>
      </c>
      <c r="G7" s="102">
        <f>413850721.68/unit</f>
        <v>4.1385072167999999</v>
      </c>
      <c r="H7" s="102">
        <f>477877008.08/unit</f>
        <v>4.7787700808000002</v>
      </c>
      <c r="I7" s="102">
        <f>508383278.48/unit</f>
        <v>5.0838327848000002</v>
      </c>
      <c r="J7" s="102">
        <f>359929097.11/unit</f>
        <v>3.5992909711000003</v>
      </c>
      <c r="K7" s="102">
        <f>454027856.52/unit</f>
        <v>4.5402785651999995</v>
      </c>
      <c r="L7" s="102">
        <f>575970139.31/unit</f>
        <v>5.7597013930999994</v>
      </c>
      <c r="M7" s="102">
        <f>597630820.86/unit</f>
        <v>5.9763082085999999</v>
      </c>
      <c r="N7" s="102">
        <f>492009611.88/unit</f>
        <v>4.9200961188000001</v>
      </c>
      <c r="O7" s="102">
        <f>637681766.47/unit</f>
        <v>6.3768176646999999</v>
      </c>
      <c r="P7" s="102">
        <f>619916648.42/unit</f>
        <v>6.1991664841999992</v>
      </c>
      <c r="Q7" s="102">
        <f>612434812.85/unit</f>
        <v>6.1243481285000003</v>
      </c>
      <c r="R7" s="102">
        <f>544658164.44/unit</f>
        <v>5.4465816444000001</v>
      </c>
      <c r="S7" s="102">
        <f>672779473.94/unit</f>
        <v>6.7277947394000002</v>
      </c>
      <c r="T7" s="102">
        <f>713758896.33/unit</f>
        <v>7.1375889633000007</v>
      </c>
    </row>
    <row r="8" spans="1:20" outlineLevel="1">
      <c r="A8" s="101" t="s">
        <v>531</v>
      </c>
      <c r="B8" s="102">
        <f>0/unit</f>
        <v>0</v>
      </c>
      <c r="C8" s="102">
        <f>0/unit</f>
        <v>0</v>
      </c>
      <c r="D8" s="102">
        <f>0/unit</f>
        <v>0</v>
      </c>
      <c r="E8" s="102">
        <f>0/unit</f>
        <v>0</v>
      </c>
      <c r="F8" s="102">
        <f>0/unit</f>
        <v>0</v>
      </c>
      <c r="G8" s="102">
        <f>0/unit</f>
        <v>0</v>
      </c>
      <c r="H8" s="102">
        <f>0/unit</f>
        <v>0</v>
      </c>
      <c r="I8" s="102">
        <f>0/unit</f>
        <v>0</v>
      </c>
      <c r="J8" s="102">
        <f>0/unit</f>
        <v>0</v>
      </c>
      <c r="K8" s="102">
        <f>0/unit</f>
        <v>0</v>
      </c>
      <c r="L8" s="102">
        <f>0/unit</f>
        <v>0</v>
      </c>
      <c r="M8" s="102">
        <f>0/unit</f>
        <v>0</v>
      </c>
      <c r="N8" s="102">
        <f>0/unit</f>
        <v>0</v>
      </c>
      <c r="O8" s="102">
        <f>0/unit</f>
        <v>0</v>
      </c>
      <c r="P8" s="102">
        <f>0/unit</f>
        <v>0</v>
      </c>
      <c r="Q8" s="102">
        <f>0/unit</f>
        <v>0</v>
      </c>
      <c r="R8" s="102">
        <f>0/unit</f>
        <v>0</v>
      </c>
      <c r="S8" s="102">
        <f>0/unit</f>
        <v>0</v>
      </c>
      <c r="T8" s="102">
        <f>0/unit</f>
        <v>0</v>
      </c>
    </row>
    <row r="9" spans="1:20" outlineLevel="1">
      <c r="A9" s="101" t="s">
        <v>532</v>
      </c>
      <c r="B9" s="102">
        <f>0/unit</f>
        <v>0</v>
      </c>
      <c r="C9" s="102">
        <f>0/unit</f>
        <v>0</v>
      </c>
      <c r="D9" s="102">
        <f>0/unit</f>
        <v>0</v>
      </c>
      <c r="E9" s="102">
        <f>0/unit</f>
        <v>0</v>
      </c>
      <c r="F9" s="102">
        <f>0/unit</f>
        <v>0</v>
      </c>
      <c r="G9" s="102">
        <f>0/unit</f>
        <v>0</v>
      </c>
      <c r="H9" s="102">
        <f>0/unit</f>
        <v>0</v>
      </c>
      <c r="I9" s="102">
        <f>0/unit</f>
        <v>0</v>
      </c>
      <c r="J9" s="102">
        <f>0/unit</f>
        <v>0</v>
      </c>
      <c r="K9" s="102">
        <f>0/unit</f>
        <v>0</v>
      </c>
      <c r="L9" s="102">
        <f>0/unit</f>
        <v>0</v>
      </c>
      <c r="M9" s="102">
        <f>0/unit</f>
        <v>0</v>
      </c>
      <c r="N9" s="102">
        <f>0/unit</f>
        <v>0</v>
      </c>
      <c r="O9" s="102">
        <f>0/unit</f>
        <v>0</v>
      </c>
      <c r="P9" s="102">
        <f>0/unit</f>
        <v>0</v>
      </c>
      <c r="Q9" s="102">
        <f>0/unit</f>
        <v>0</v>
      </c>
      <c r="R9" s="102">
        <f>0/unit</f>
        <v>0</v>
      </c>
      <c r="S9" s="102">
        <f>0/unit</f>
        <v>0</v>
      </c>
      <c r="T9" s="102">
        <f>0/unit</f>
        <v>0</v>
      </c>
    </row>
    <row r="10" spans="1:20" outlineLevel="1">
      <c r="A10" s="101" t="s">
        <v>1716</v>
      </c>
      <c r="B10" s="102">
        <f>0/unit</f>
        <v>0</v>
      </c>
      <c r="C10" s="102">
        <f>0/unit</f>
        <v>0</v>
      </c>
      <c r="D10" s="102">
        <f>0/unit</f>
        <v>0</v>
      </c>
      <c r="E10" s="102">
        <f>0/unit</f>
        <v>0</v>
      </c>
      <c r="F10" s="102">
        <f>0/unit</f>
        <v>0</v>
      </c>
      <c r="G10" s="102">
        <f>0/unit</f>
        <v>0</v>
      </c>
      <c r="H10" s="102">
        <f>0/unit</f>
        <v>0</v>
      </c>
      <c r="I10" s="102">
        <f>0/unit</f>
        <v>0</v>
      </c>
      <c r="J10" s="102">
        <f>0/unit</f>
        <v>0</v>
      </c>
      <c r="K10" s="102">
        <f>0/unit</f>
        <v>0</v>
      </c>
      <c r="L10" s="102">
        <f>0/unit</f>
        <v>0</v>
      </c>
      <c r="M10" s="102">
        <f>0/unit</f>
        <v>0</v>
      </c>
      <c r="N10" s="102">
        <f>0/unit</f>
        <v>0</v>
      </c>
      <c r="O10" s="102">
        <f>0/unit</f>
        <v>0</v>
      </c>
      <c r="P10" s="102">
        <f>0/unit</f>
        <v>0</v>
      </c>
      <c r="Q10" s="102">
        <f>0/unit</f>
        <v>0</v>
      </c>
      <c r="R10" s="102">
        <f>0/unit</f>
        <v>0</v>
      </c>
      <c r="S10" s="102">
        <f>0/unit</f>
        <v>0</v>
      </c>
      <c r="T10" s="102">
        <f>0/unit</f>
        <v>0</v>
      </c>
    </row>
    <row r="11" spans="1:20" outlineLevel="1">
      <c r="A11" s="101" t="s">
        <v>534</v>
      </c>
      <c r="B11" s="102">
        <f>0/unit</f>
        <v>0</v>
      </c>
      <c r="C11" s="102">
        <f>0/unit</f>
        <v>0</v>
      </c>
      <c r="D11" s="102">
        <f>0/unit</f>
        <v>0</v>
      </c>
      <c r="E11" s="102">
        <f>0/unit</f>
        <v>0</v>
      </c>
      <c r="F11" s="102">
        <f>0/unit</f>
        <v>0</v>
      </c>
      <c r="G11" s="102">
        <f>0/unit</f>
        <v>0</v>
      </c>
      <c r="H11" s="102">
        <f>0/unit</f>
        <v>0</v>
      </c>
      <c r="I11" s="102">
        <f>0/unit</f>
        <v>0</v>
      </c>
      <c r="J11" s="102">
        <f>0/unit</f>
        <v>0</v>
      </c>
      <c r="K11" s="102">
        <f>0/unit</f>
        <v>0</v>
      </c>
      <c r="L11" s="102">
        <f>0/unit</f>
        <v>0</v>
      </c>
      <c r="M11" s="102">
        <f>0/unit</f>
        <v>0</v>
      </c>
      <c r="N11" s="102">
        <f>0/unit</f>
        <v>0</v>
      </c>
      <c r="O11" s="102">
        <f>0/unit</f>
        <v>0</v>
      </c>
      <c r="P11" s="102">
        <f>0/unit</f>
        <v>0</v>
      </c>
      <c r="Q11" s="102">
        <f>0/unit</f>
        <v>0</v>
      </c>
      <c r="R11" s="102">
        <f>0/unit</f>
        <v>0</v>
      </c>
      <c r="S11" s="102">
        <f>0/unit</f>
        <v>0</v>
      </c>
      <c r="T11" s="102">
        <f>0/unit</f>
        <v>0</v>
      </c>
    </row>
    <row r="12" spans="1:20" outlineLevel="1">
      <c r="A12" s="101" t="s">
        <v>1717</v>
      </c>
      <c r="B12" s="102">
        <f>0/unit</f>
        <v>0</v>
      </c>
      <c r="C12" s="102">
        <f>0/unit</f>
        <v>0</v>
      </c>
      <c r="D12" s="102">
        <f>0/unit</f>
        <v>0</v>
      </c>
      <c r="E12" s="102">
        <f>0/unit</f>
        <v>0</v>
      </c>
      <c r="F12" s="102">
        <f>0/unit</f>
        <v>0</v>
      </c>
      <c r="G12" s="102">
        <f>0/unit</f>
        <v>0</v>
      </c>
      <c r="H12" s="102">
        <f>0/unit</f>
        <v>0</v>
      </c>
      <c r="I12" s="102">
        <f>0/unit</f>
        <v>0</v>
      </c>
      <c r="J12" s="102">
        <f>0/unit</f>
        <v>0</v>
      </c>
      <c r="K12" s="102">
        <f>0/unit</f>
        <v>0</v>
      </c>
      <c r="L12" s="102">
        <f>0/unit</f>
        <v>0</v>
      </c>
      <c r="M12" s="102">
        <f>0/unit</f>
        <v>0</v>
      </c>
      <c r="N12" s="102">
        <f>0/unit</f>
        <v>0</v>
      </c>
      <c r="O12" s="102">
        <f>0/unit</f>
        <v>0</v>
      </c>
      <c r="P12" s="102">
        <f>0/unit</f>
        <v>0</v>
      </c>
      <c r="Q12" s="102">
        <f>0/unit</f>
        <v>0</v>
      </c>
      <c r="R12" s="102">
        <f>0/unit</f>
        <v>0</v>
      </c>
      <c r="S12" s="102">
        <f>0/unit</f>
        <v>0</v>
      </c>
      <c r="T12" s="102">
        <f>0/unit</f>
        <v>0</v>
      </c>
    </row>
    <row r="13" spans="1:20" outlineLevel="1">
      <c r="A13" s="99" t="s">
        <v>536</v>
      </c>
      <c r="B13" s="100">
        <f>206735279.58/unit</f>
        <v>2.0673527958000002</v>
      </c>
      <c r="C13" s="100">
        <f>255323038.32/unit</f>
        <v>2.5532303831999998</v>
      </c>
      <c r="D13" s="100">
        <f>287670068.78/unit</f>
        <v>2.8767006877999997</v>
      </c>
      <c r="E13" s="100">
        <f>300862739.57/unit</f>
        <v>3.0086273957</v>
      </c>
      <c r="F13" s="100">
        <f>249504593.17/unit</f>
        <v>2.4950459317</v>
      </c>
      <c r="G13" s="100">
        <f>331402261.81/unit</f>
        <v>3.3140226181000001</v>
      </c>
      <c r="H13" s="100">
        <f>374989372.69/unit</f>
        <v>3.7498937268999999</v>
      </c>
      <c r="I13" s="100">
        <f>418097392.08/unit</f>
        <v>4.1809739207999996</v>
      </c>
      <c r="J13" s="100">
        <f>287533336.37/unit</f>
        <v>2.8753333637000003</v>
      </c>
      <c r="K13" s="100">
        <f>369380600.8/unit</f>
        <v>3.6938060080000001</v>
      </c>
      <c r="L13" s="100">
        <f>484664790.11/unit</f>
        <v>4.8466479010999999</v>
      </c>
      <c r="M13" s="100">
        <f>559008231.82/unit</f>
        <v>5.5900823182000003</v>
      </c>
      <c r="N13" s="100">
        <f>408297517.67/unit</f>
        <v>4.0829751766999998</v>
      </c>
      <c r="O13" s="100">
        <f>498188772.36/unit</f>
        <v>4.9818877235999999</v>
      </c>
      <c r="P13" s="100">
        <f>465785991.41/unit</f>
        <v>4.6578599141000003</v>
      </c>
      <c r="Q13" s="100">
        <f>559385671.11/unit</f>
        <v>5.5938567110999999</v>
      </c>
      <c r="R13" s="100">
        <f>448668563.84/unit</f>
        <v>4.4866856384</v>
      </c>
      <c r="S13" s="100">
        <f>543119692.72/unit</f>
        <v>5.4311969272000002</v>
      </c>
      <c r="T13" s="100">
        <f>608331484.33/unit</f>
        <v>6.0833148433000002</v>
      </c>
    </row>
    <row r="14" spans="1:20" outlineLevel="1">
      <c r="A14" s="101" t="s">
        <v>537</v>
      </c>
      <c r="B14" s="102">
        <f>163241251.7/unit</f>
        <v>1.6324125169999999</v>
      </c>
      <c r="C14" s="102">
        <f>204085426.28/unit</f>
        <v>2.0408542627999999</v>
      </c>
      <c r="D14" s="102">
        <f>230596355.44/unit</f>
        <v>2.3059635543999999</v>
      </c>
      <c r="E14" s="102">
        <f>239821657.96/unit</f>
        <v>2.3982165796000001</v>
      </c>
      <c r="F14" s="102">
        <f>199899384.16/unit</f>
        <v>1.9989938415999999</v>
      </c>
      <c r="G14" s="102">
        <f>263845183.69/unit</f>
        <v>2.6384518368999998</v>
      </c>
      <c r="H14" s="102">
        <f>299997094.17/unit</f>
        <v>2.9999709417</v>
      </c>
      <c r="I14" s="102">
        <f>329996862.58/unit</f>
        <v>3.2999686258000001</v>
      </c>
      <c r="J14" s="102">
        <f>216757970.6/unit</f>
        <v>2.1675797060000002</v>
      </c>
      <c r="K14" s="102">
        <f>285211642.03/unit</f>
        <v>2.8521164202999998</v>
      </c>
      <c r="L14" s="102">
        <f>385411695.64/unit</f>
        <v>3.8541169564</v>
      </c>
      <c r="M14" s="102">
        <f>434790501.22/unit</f>
        <v>4.3479050122</v>
      </c>
      <c r="N14" s="102">
        <f>328125594.85/unit</f>
        <v>3.2812559485000001</v>
      </c>
      <c r="O14" s="102">
        <f>409557946.61/unit</f>
        <v>4.0955794661000002</v>
      </c>
      <c r="P14" s="102">
        <f>383514939.33/unit</f>
        <v>3.8351493933</v>
      </c>
      <c r="Q14" s="102">
        <f>422595801.04/unit</f>
        <v>4.2259580104000003</v>
      </c>
      <c r="R14" s="102">
        <f>355235207.43/unit</f>
        <v>3.5523520742999999</v>
      </c>
      <c r="S14" s="102">
        <f>432904779.65/unit</f>
        <v>4.3290477964999994</v>
      </c>
      <c r="T14" s="102">
        <f>474558574.47/unit</f>
        <v>4.7455857447000005</v>
      </c>
    </row>
    <row r="15" spans="1:20" outlineLevel="1">
      <c r="A15" s="101" t="s">
        <v>538</v>
      </c>
      <c r="B15" s="102">
        <f>0/unit</f>
        <v>0</v>
      </c>
      <c r="C15" s="102">
        <f>0/unit</f>
        <v>0</v>
      </c>
      <c r="D15" s="102">
        <f>0/unit</f>
        <v>0</v>
      </c>
      <c r="E15" s="102">
        <f>0/unit</f>
        <v>0</v>
      </c>
      <c r="F15" s="102">
        <f>0/unit</f>
        <v>0</v>
      </c>
      <c r="G15" s="102">
        <f>0/unit</f>
        <v>0</v>
      </c>
      <c r="H15" s="102">
        <f>0/unit</f>
        <v>0</v>
      </c>
      <c r="I15" s="102">
        <f>0/unit</f>
        <v>0</v>
      </c>
      <c r="J15" s="102">
        <f>0/unit</f>
        <v>0</v>
      </c>
      <c r="K15" s="102">
        <f>0/unit</f>
        <v>0</v>
      </c>
      <c r="L15" s="102">
        <f>0/unit</f>
        <v>0</v>
      </c>
      <c r="M15" s="102">
        <f>0/unit</f>
        <v>0</v>
      </c>
      <c r="N15" s="102">
        <f>0/unit</f>
        <v>0</v>
      </c>
      <c r="O15" s="102">
        <f>0/unit</f>
        <v>0</v>
      </c>
      <c r="P15" s="102">
        <f>0/unit</f>
        <v>0</v>
      </c>
      <c r="Q15" s="102">
        <f>0/unit</f>
        <v>0</v>
      </c>
      <c r="R15" s="102">
        <f>0/unit</f>
        <v>0</v>
      </c>
      <c r="S15" s="102">
        <f>0/unit</f>
        <v>0</v>
      </c>
      <c r="T15" s="102">
        <f>0/unit</f>
        <v>0</v>
      </c>
    </row>
    <row r="16" spans="1:20" outlineLevel="1">
      <c r="A16" s="101" t="s">
        <v>539</v>
      </c>
      <c r="B16" s="102">
        <f>0/unit</f>
        <v>0</v>
      </c>
      <c r="C16" s="102">
        <f>0/unit</f>
        <v>0</v>
      </c>
      <c r="D16" s="102">
        <f>0/unit</f>
        <v>0</v>
      </c>
      <c r="E16" s="102">
        <f>0/unit</f>
        <v>0</v>
      </c>
      <c r="F16" s="102">
        <f>0/unit</f>
        <v>0</v>
      </c>
      <c r="G16" s="102">
        <f>0/unit</f>
        <v>0</v>
      </c>
      <c r="H16" s="102">
        <f>0/unit</f>
        <v>0</v>
      </c>
      <c r="I16" s="102">
        <f>0/unit</f>
        <v>0</v>
      </c>
      <c r="J16" s="102">
        <f>0/unit</f>
        <v>0</v>
      </c>
      <c r="K16" s="102">
        <f>0/unit</f>
        <v>0</v>
      </c>
      <c r="L16" s="102">
        <f>0/unit</f>
        <v>0</v>
      </c>
      <c r="M16" s="102">
        <f>0/unit</f>
        <v>0</v>
      </c>
      <c r="N16" s="102">
        <f>0/unit</f>
        <v>0</v>
      </c>
      <c r="O16" s="102">
        <f>0/unit</f>
        <v>0</v>
      </c>
      <c r="P16" s="102">
        <f>0/unit</f>
        <v>0</v>
      </c>
      <c r="Q16" s="102">
        <f>0/unit</f>
        <v>0</v>
      </c>
      <c r="R16" s="102">
        <f>0/unit</f>
        <v>0</v>
      </c>
      <c r="S16" s="102">
        <f>0/unit</f>
        <v>0</v>
      </c>
      <c r="T16" s="102">
        <f>0/unit</f>
        <v>0</v>
      </c>
    </row>
    <row r="17" spans="1:20" outlineLevel="1">
      <c r="A17" s="101" t="s">
        <v>1718</v>
      </c>
      <c r="B17" s="102">
        <f>0/unit</f>
        <v>0</v>
      </c>
      <c r="C17" s="102">
        <f>0/unit</f>
        <v>0</v>
      </c>
      <c r="D17" s="102">
        <f>0/unit</f>
        <v>0</v>
      </c>
      <c r="E17" s="102">
        <f>0/unit</f>
        <v>0</v>
      </c>
      <c r="F17" s="102">
        <f>0/unit</f>
        <v>0</v>
      </c>
      <c r="G17" s="102">
        <f>0/unit</f>
        <v>0</v>
      </c>
      <c r="H17" s="102">
        <f>0/unit</f>
        <v>0</v>
      </c>
      <c r="I17" s="102">
        <f>0/unit</f>
        <v>0</v>
      </c>
      <c r="J17" s="102">
        <f>0/unit</f>
        <v>0</v>
      </c>
      <c r="K17" s="102">
        <f>0/unit</f>
        <v>0</v>
      </c>
      <c r="L17" s="102">
        <f>0/unit</f>
        <v>0</v>
      </c>
      <c r="M17" s="102">
        <f>0/unit</f>
        <v>0</v>
      </c>
      <c r="N17" s="102">
        <f>0/unit</f>
        <v>0</v>
      </c>
      <c r="O17" s="102">
        <f>0/unit</f>
        <v>0</v>
      </c>
      <c r="P17" s="102">
        <f>35496981.2/unit</f>
        <v>0.35496981200000005</v>
      </c>
      <c r="Q17" s="102">
        <f>37374639.35/unit</f>
        <v>0.3737463935</v>
      </c>
      <c r="R17" s="102">
        <f>36854229.85/unit</f>
        <v>0.36854229850000003</v>
      </c>
      <c r="S17" s="102">
        <f>47397382.89/unit</f>
        <v>0.4739738289</v>
      </c>
      <c r="T17" s="102">
        <f>54366230.46/unit</f>
        <v>0.54366230459999998</v>
      </c>
    </row>
    <row r="18" spans="1:20" outlineLevel="1">
      <c r="A18" s="101" t="s">
        <v>541</v>
      </c>
      <c r="B18" s="102">
        <f>0/unit</f>
        <v>0</v>
      </c>
      <c r="C18" s="102">
        <f>0/unit</f>
        <v>0</v>
      </c>
      <c r="D18" s="102">
        <f>0/unit</f>
        <v>0</v>
      </c>
      <c r="E18" s="102">
        <f>0/unit</f>
        <v>0</v>
      </c>
      <c r="F18" s="102">
        <f>0/unit</f>
        <v>0</v>
      </c>
      <c r="G18" s="102">
        <f>0/unit</f>
        <v>0</v>
      </c>
      <c r="H18" s="102">
        <f>0/unit</f>
        <v>0</v>
      </c>
      <c r="I18" s="102">
        <f>0/unit</f>
        <v>0</v>
      </c>
      <c r="J18" s="102">
        <f>0/unit</f>
        <v>0</v>
      </c>
      <c r="K18" s="102">
        <f>0/unit</f>
        <v>0</v>
      </c>
      <c r="L18" s="102">
        <f>0/unit</f>
        <v>0</v>
      </c>
      <c r="M18" s="102">
        <f>0/unit</f>
        <v>0</v>
      </c>
      <c r="N18" s="102">
        <f>0/unit</f>
        <v>0</v>
      </c>
      <c r="O18" s="102">
        <f>0/unit</f>
        <v>0</v>
      </c>
      <c r="P18" s="102">
        <f>0/unit</f>
        <v>0</v>
      </c>
      <c r="Q18" s="102">
        <f>0/unit</f>
        <v>0</v>
      </c>
      <c r="R18" s="102">
        <f>0/unit</f>
        <v>0</v>
      </c>
      <c r="S18" s="102">
        <f>0/unit</f>
        <v>0</v>
      </c>
      <c r="T18" s="102">
        <f>0/unit</f>
        <v>0</v>
      </c>
    </row>
    <row r="19" spans="1:20" outlineLevel="1">
      <c r="A19" s="101" t="s">
        <v>542</v>
      </c>
      <c r="B19" s="102">
        <f>0/unit</f>
        <v>0</v>
      </c>
      <c r="C19" s="102">
        <f>0/unit</f>
        <v>0</v>
      </c>
      <c r="D19" s="102">
        <f>0/unit</f>
        <v>0</v>
      </c>
      <c r="E19" s="102">
        <f>0/unit</f>
        <v>0</v>
      </c>
      <c r="F19" s="102">
        <f>0/unit</f>
        <v>0</v>
      </c>
      <c r="G19" s="102">
        <f>0/unit</f>
        <v>0</v>
      </c>
      <c r="H19" s="102">
        <f>0/unit</f>
        <v>0</v>
      </c>
      <c r="I19" s="102">
        <f>0/unit</f>
        <v>0</v>
      </c>
      <c r="J19" s="102">
        <f>0/unit</f>
        <v>0</v>
      </c>
      <c r="K19" s="102">
        <f>0/unit</f>
        <v>0</v>
      </c>
      <c r="L19" s="102">
        <f>0/unit</f>
        <v>0</v>
      </c>
      <c r="M19" s="102">
        <f>0/unit</f>
        <v>0</v>
      </c>
      <c r="N19" s="102">
        <f>0/unit</f>
        <v>0</v>
      </c>
      <c r="O19" s="102">
        <f>0/unit</f>
        <v>0</v>
      </c>
      <c r="P19" s="102">
        <f>0/unit</f>
        <v>0</v>
      </c>
      <c r="Q19" s="102">
        <f>0/unit</f>
        <v>0</v>
      </c>
      <c r="R19" s="102">
        <f>0/unit</f>
        <v>0</v>
      </c>
      <c r="S19" s="102">
        <f>0/unit</f>
        <v>0</v>
      </c>
      <c r="T19" s="102">
        <f>0/unit</f>
        <v>0</v>
      </c>
    </row>
    <row r="20" spans="1:20" outlineLevel="1">
      <c r="A20" s="101" t="s">
        <v>543</v>
      </c>
      <c r="B20" s="102">
        <f>0/unit</f>
        <v>0</v>
      </c>
      <c r="C20" s="102">
        <f>0/unit</f>
        <v>0</v>
      </c>
      <c r="D20" s="102">
        <f>0/unit</f>
        <v>0</v>
      </c>
      <c r="E20" s="102">
        <f>0/unit</f>
        <v>0</v>
      </c>
      <c r="F20" s="102">
        <f>0/unit</f>
        <v>0</v>
      </c>
      <c r="G20" s="102">
        <f>0/unit</f>
        <v>0</v>
      </c>
      <c r="H20" s="102">
        <f>0/unit</f>
        <v>0</v>
      </c>
      <c r="I20" s="102">
        <f>0/unit</f>
        <v>0</v>
      </c>
      <c r="J20" s="102">
        <f>0/unit</f>
        <v>0</v>
      </c>
      <c r="K20" s="102">
        <f>0/unit</f>
        <v>0</v>
      </c>
      <c r="L20" s="102">
        <f>0/unit</f>
        <v>0</v>
      </c>
      <c r="M20" s="102">
        <f>0/unit</f>
        <v>0</v>
      </c>
      <c r="N20" s="102">
        <f>0/unit</f>
        <v>0</v>
      </c>
      <c r="O20" s="102">
        <f>0/unit</f>
        <v>0</v>
      </c>
      <c r="P20" s="102">
        <f>0/unit</f>
        <v>0</v>
      </c>
      <c r="Q20" s="102">
        <f>0/unit</f>
        <v>0</v>
      </c>
      <c r="R20" s="102">
        <f>0/unit</f>
        <v>0</v>
      </c>
      <c r="S20" s="102">
        <f>0/unit</f>
        <v>0</v>
      </c>
      <c r="T20" s="102">
        <f>0/unit</f>
        <v>0</v>
      </c>
    </row>
    <row r="21" spans="1:20" outlineLevel="1">
      <c r="A21" s="101" t="s">
        <v>544</v>
      </c>
      <c r="B21" s="102">
        <f>0/unit</f>
        <v>0</v>
      </c>
      <c r="C21" s="102">
        <f>0/unit</f>
        <v>0</v>
      </c>
      <c r="D21" s="102">
        <f>0/unit</f>
        <v>0</v>
      </c>
      <c r="E21" s="102">
        <f>0/unit</f>
        <v>0</v>
      </c>
      <c r="F21" s="102">
        <f>0/unit</f>
        <v>0</v>
      </c>
      <c r="G21" s="102">
        <f>0/unit</f>
        <v>0</v>
      </c>
      <c r="H21" s="102">
        <f>0/unit</f>
        <v>0</v>
      </c>
      <c r="I21" s="102">
        <f>0/unit</f>
        <v>0</v>
      </c>
      <c r="J21" s="102">
        <f>0/unit</f>
        <v>0</v>
      </c>
      <c r="K21" s="102">
        <f>0/unit</f>
        <v>0</v>
      </c>
      <c r="L21" s="102">
        <f>0/unit</f>
        <v>0</v>
      </c>
      <c r="M21" s="102">
        <f>0/unit</f>
        <v>0</v>
      </c>
      <c r="N21" s="102">
        <f>0/unit</f>
        <v>0</v>
      </c>
      <c r="O21" s="102">
        <f>0/unit</f>
        <v>0</v>
      </c>
      <c r="P21" s="102">
        <f>0/unit</f>
        <v>0</v>
      </c>
      <c r="Q21" s="102">
        <f>0/unit</f>
        <v>0</v>
      </c>
      <c r="R21" s="102">
        <f>0/unit</f>
        <v>0</v>
      </c>
      <c r="S21" s="102">
        <f>0/unit</f>
        <v>0</v>
      </c>
      <c r="T21" s="102">
        <f>0/unit</f>
        <v>0</v>
      </c>
    </row>
    <row r="22" spans="1:20" outlineLevel="1">
      <c r="A22" s="101" t="s">
        <v>545</v>
      </c>
      <c r="B22" s="102">
        <f>0/unit</f>
        <v>0</v>
      </c>
      <c r="C22" s="102">
        <f>0/unit</f>
        <v>0</v>
      </c>
      <c r="D22" s="102">
        <f>0/unit</f>
        <v>0</v>
      </c>
      <c r="E22" s="102">
        <f>0/unit</f>
        <v>0</v>
      </c>
      <c r="F22" s="102">
        <f>0/unit</f>
        <v>0</v>
      </c>
      <c r="G22" s="102">
        <f>0/unit</f>
        <v>0</v>
      </c>
      <c r="H22" s="102">
        <f>0/unit</f>
        <v>0</v>
      </c>
      <c r="I22" s="102">
        <f>0/unit</f>
        <v>0</v>
      </c>
      <c r="J22" s="102">
        <f>0/unit</f>
        <v>0</v>
      </c>
      <c r="K22" s="102">
        <f>0/unit</f>
        <v>0</v>
      </c>
      <c r="L22" s="102">
        <f>0/unit</f>
        <v>0</v>
      </c>
      <c r="M22" s="102">
        <f>0/unit</f>
        <v>0</v>
      </c>
      <c r="N22" s="102">
        <f>0/unit</f>
        <v>0</v>
      </c>
      <c r="O22" s="102">
        <f>0/unit</f>
        <v>0</v>
      </c>
      <c r="P22" s="102">
        <f>0/unit</f>
        <v>0</v>
      </c>
      <c r="Q22" s="102">
        <f>0/unit</f>
        <v>0</v>
      </c>
      <c r="R22" s="102">
        <f>0/unit</f>
        <v>0</v>
      </c>
      <c r="S22" s="102">
        <f>0/unit</f>
        <v>0</v>
      </c>
      <c r="T22" s="102">
        <f>0/unit</f>
        <v>0</v>
      </c>
    </row>
    <row r="23" spans="1:20" outlineLevel="1">
      <c r="A23" s="101" t="s">
        <v>1719</v>
      </c>
      <c r="B23" s="102">
        <f>0/unit</f>
        <v>0</v>
      </c>
      <c r="C23" s="102">
        <f>0/unit</f>
        <v>0</v>
      </c>
      <c r="D23" s="102">
        <f>0/unit</f>
        <v>0</v>
      </c>
      <c r="E23" s="102">
        <f>0/unit</f>
        <v>0</v>
      </c>
      <c r="F23" s="102">
        <f>0/unit</f>
        <v>0</v>
      </c>
      <c r="G23" s="102">
        <f>0/unit</f>
        <v>0</v>
      </c>
      <c r="H23" s="102">
        <f>0/unit</f>
        <v>0</v>
      </c>
      <c r="I23" s="102">
        <f>0/unit</f>
        <v>0</v>
      </c>
      <c r="J23" s="102">
        <f>0/unit</f>
        <v>0</v>
      </c>
      <c r="K23" s="102">
        <f>0/unit</f>
        <v>0</v>
      </c>
      <c r="L23" s="102">
        <f>0/unit</f>
        <v>0</v>
      </c>
      <c r="M23" s="102">
        <f>0/unit</f>
        <v>0</v>
      </c>
      <c r="N23" s="102">
        <f>0/unit</f>
        <v>0</v>
      </c>
      <c r="O23" s="102">
        <f>0/unit</f>
        <v>0</v>
      </c>
      <c r="P23" s="102">
        <f>0/unit</f>
        <v>0</v>
      </c>
      <c r="Q23" s="102">
        <f>0/unit</f>
        <v>0</v>
      </c>
      <c r="R23" s="102">
        <f>0/unit</f>
        <v>0</v>
      </c>
      <c r="S23" s="102">
        <f>0/unit</f>
        <v>0</v>
      </c>
      <c r="T23" s="102">
        <f>0/unit</f>
        <v>0</v>
      </c>
    </row>
    <row r="24" spans="1:20" outlineLevel="1">
      <c r="A24" s="101" t="s">
        <v>547</v>
      </c>
      <c r="B24" s="102">
        <f>1583713.68/unit</f>
        <v>1.5837136799999998E-2</v>
      </c>
      <c r="C24" s="102">
        <f>2022021.94/unit</f>
        <v>2.0220219399999999E-2</v>
      </c>
      <c r="D24" s="102">
        <f>631984.22/unit</f>
        <v>6.3198422000000001E-3</v>
      </c>
      <c r="E24" s="102">
        <f>682345.850000001/unit</f>
        <v>6.8234585000000103E-3</v>
      </c>
      <c r="F24" s="102">
        <f>1063640.57/unit</f>
        <v>1.06364057E-2</v>
      </c>
      <c r="G24" s="102">
        <f>2433919.78/unit</f>
        <v>2.4339197799999997E-2</v>
      </c>
      <c r="H24" s="102">
        <f>1320073.66/unit</f>
        <v>1.3200736599999999E-2</v>
      </c>
      <c r="I24" s="102">
        <f>7833815.76/unit</f>
        <v>7.83381576E-2</v>
      </c>
      <c r="J24" s="102">
        <f>2811543.74/unit</f>
        <v>2.8115437400000002E-2</v>
      </c>
      <c r="K24" s="102">
        <f>2513838.63/unit</f>
        <v>2.5138386299999999E-2</v>
      </c>
      <c r="L24" s="102">
        <f>6302825.1/unit</f>
        <v>6.3028250999999993E-2</v>
      </c>
      <c r="M24" s="102">
        <f>16792732.57/unit</f>
        <v>0.16792732569999999</v>
      </c>
      <c r="N24" s="102">
        <f>3900007.52/unit</f>
        <v>3.9000075199999998E-2</v>
      </c>
      <c r="O24" s="102">
        <f>5431525.36/unit</f>
        <v>5.4315253600000002E-2</v>
      </c>
      <c r="P24" s="102">
        <f>13036000.28/unit</f>
        <v>0.13036000279999999</v>
      </c>
      <c r="Q24" s="102">
        <f>10361933.35/unit</f>
        <v>0.10361933349999999</v>
      </c>
      <c r="R24" s="102">
        <f>6718747.96/unit</f>
        <v>6.7187479600000002E-2</v>
      </c>
      <c r="S24" s="102">
        <f>4780177.24/unit</f>
        <v>4.7801772400000005E-2</v>
      </c>
      <c r="T24" s="102">
        <f>5957698.56/unit</f>
        <v>5.9576985599999993E-2</v>
      </c>
    </row>
    <row r="25" spans="1:20" outlineLevel="1">
      <c r="A25" s="101" t="s">
        <v>548</v>
      </c>
      <c r="B25" s="102">
        <f>10388024.67/unit</f>
        <v>0.1038802467</v>
      </c>
      <c r="C25" s="102">
        <f>8659102.47/unit</f>
        <v>8.6591024700000005E-2</v>
      </c>
      <c r="D25" s="102">
        <f>11777112.91/unit</f>
        <v>0.1177711291</v>
      </c>
      <c r="E25" s="102">
        <f>12188900.02/unit</f>
        <v>0.1218890002</v>
      </c>
      <c r="F25" s="102">
        <f>11124208.06/unit</f>
        <v>0.1112420806</v>
      </c>
      <c r="G25" s="102">
        <f>11575643.02/unit</f>
        <v>0.1157564302</v>
      </c>
      <c r="H25" s="102">
        <f>12691630.66/unit</f>
        <v>0.1269163066</v>
      </c>
      <c r="I25" s="102">
        <f>16056210.81/unit</f>
        <v>0.16056210810000002</v>
      </c>
      <c r="J25" s="102">
        <f>13638375.4/unit</f>
        <v>0.136383754</v>
      </c>
      <c r="K25" s="102">
        <f>15706450.95/unit</f>
        <v>0.1570645095</v>
      </c>
      <c r="L25" s="102">
        <f>15966712.23/unit</f>
        <v>0.15966712229999999</v>
      </c>
      <c r="M25" s="102">
        <f>23033769.51/unit</f>
        <v>0.23033769510000002</v>
      </c>
      <c r="N25" s="102">
        <f>14757089.12/unit</f>
        <v>0.1475708912</v>
      </c>
      <c r="O25" s="102">
        <f>16113353.28/unit</f>
        <v>0.16113353280000001</v>
      </c>
      <c r="P25" s="102">
        <f>16481711.95/unit</f>
        <v>0.1648171195</v>
      </c>
      <c r="Q25" s="102">
        <f>20475046.83/unit</f>
        <v>0.20475046829999999</v>
      </c>
      <c r="R25" s="102">
        <f>16101561.12/unit</f>
        <v>0.16101561119999999</v>
      </c>
      <c r="S25" s="102">
        <f>16808565.72/unit</f>
        <v>0.16808565719999999</v>
      </c>
      <c r="T25" s="102">
        <f>18372307.16/unit</f>
        <v>0.18372307160000001</v>
      </c>
    </row>
    <row r="26" spans="1:20" outlineLevel="1">
      <c r="A26" s="101" t="s">
        <v>549</v>
      </c>
      <c r="B26" s="102">
        <f>29462238.78/unit</f>
        <v>0.2946223878</v>
      </c>
      <c r="C26" s="102">
        <f>32860160.85/unit</f>
        <v>0.32860160850000003</v>
      </c>
      <c r="D26" s="102">
        <f>39546254.91/unit</f>
        <v>0.39546254909999995</v>
      </c>
      <c r="E26" s="102">
        <f>41777922.5/unit</f>
        <v>0.41777922499999998</v>
      </c>
      <c r="F26" s="102">
        <f>34109853.95/unit</f>
        <v>0.34109853950000002</v>
      </c>
      <c r="G26" s="102">
        <f>41984152.21/unit</f>
        <v>0.41984152210000003</v>
      </c>
      <c r="H26" s="102">
        <f>51586070.06/unit</f>
        <v>0.5158607006</v>
      </c>
      <c r="I26" s="102">
        <f>61500929.73/unit</f>
        <v>0.61500929729999998</v>
      </c>
      <c r="J26" s="102">
        <f>49550124.93/unit</f>
        <v>0.4955012493</v>
      </c>
      <c r="K26" s="102">
        <f>56802811.52/unit</f>
        <v>0.56802811520000007</v>
      </c>
      <c r="L26" s="102">
        <f>65595173.73/unit</f>
        <v>0.6559517373</v>
      </c>
      <c r="M26" s="102">
        <f>72398286.73/unit</f>
        <v>0.72398286730000005</v>
      </c>
      <c r="N26" s="102">
        <f>51951557.39/unit</f>
        <v>0.51951557390000003</v>
      </c>
      <c r="O26" s="102">
        <f>64991563.27/unit</f>
        <v>0.64991563270000008</v>
      </c>
      <c r="P26" s="102">
        <f>29551323.3/unit</f>
        <v>0.29551323299999999</v>
      </c>
      <c r="Q26" s="102">
        <f>52544527.01/unit</f>
        <v>0.52544527009999997</v>
      </c>
      <c r="R26" s="102">
        <f>30945522.14/unit</f>
        <v>0.30945522139999998</v>
      </c>
      <c r="S26" s="102">
        <f>31633113.06/unit</f>
        <v>0.31633113060000001</v>
      </c>
      <c r="T26" s="102">
        <f>43542170.42/unit</f>
        <v>0.43542170420000004</v>
      </c>
    </row>
    <row r="27" spans="1:20" outlineLevel="1">
      <c r="A27" s="101" t="s">
        <v>550</v>
      </c>
      <c r="B27" s="102">
        <f>2933489.98/unit</f>
        <v>2.9334899800000001E-2</v>
      </c>
      <c r="C27" s="102">
        <f>4552816.03/unit</f>
        <v>4.5528160300000002E-2</v>
      </c>
      <c r="D27" s="102">
        <f>4302821.1/unit</f>
        <v>4.3028210999999997E-2</v>
      </c>
      <c r="E27" s="102">
        <f>1346012.51/unit</f>
        <v>1.3460125099999999E-2</v>
      </c>
      <c r="F27" s="102">
        <f>5530494.29/unit</f>
        <v>5.5304942900000001E-2</v>
      </c>
      <c r="G27" s="102">
        <f>8499946.55/unit</f>
        <v>8.499946550000001E-2</v>
      </c>
      <c r="H27" s="102">
        <f>7156764.39/unit</f>
        <v>7.1567643899999991E-2</v>
      </c>
      <c r="I27" s="102">
        <f>-56940.7600000016/unit</f>
        <v>-5.69407600000016E-4</v>
      </c>
      <c r="J27" s="102">
        <f>8324953.46/unit</f>
        <v>8.3249534599999994E-2</v>
      </c>
      <c r="K27" s="102">
        <f>10471134.4/unit</f>
        <v>0.104711344</v>
      </c>
      <c r="L27" s="102">
        <f>9321877.73/unit</f>
        <v>9.32187773E-2</v>
      </c>
      <c r="M27" s="102">
        <f>3610188.87/unit</f>
        <v>3.6101888700000001E-2</v>
      </c>
      <c r="N27" s="102">
        <f>7593465.18/unit</f>
        <v>7.5934651800000003E-2</v>
      </c>
      <c r="O27" s="102">
        <f>-9418280.66/unit</f>
        <v>-9.4182806600000002E-2</v>
      </c>
      <c r="P27" s="102">
        <f>-9447473.89/unit</f>
        <v>-9.4474738900000008E-2</v>
      </c>
      <c r="Q27" s="102">
        <f>569991.779999999/unit</f>
        <v>5.6999177999999895E-3</v>
      </c>
      <c r="R27" s="102">
        <f>5778830.22/unit</f>
        <v>5.7788302199999995E-2</v>
      </c>
      <c r="S27" s="102">
        <f>-1818146.31/unit</f>
        <v>-1.81814631E-2</v>
      </c>
      <c r="T27" s="102">
        <f>5707219.39/unit</f>
        <v>5.7072193899999998E-2</v>
      </c>
    </row>
    <row r="28" spans="1:20" outlineLevel="1">
      <c r="A28" s="101" t="s">
        <v>1720</v>
      </c>
      <c r="B28" s="102">
        <f>0/unit</f>
        <v>0</v>
      </c>
      <c r="C28" s="102">
        <f>0/unit</f>
        <v>0</v>
      </c>
      <c r="D28" s="102">
        <f>0/unit</f>
        <v>0</v>
      </c>
      <c r="E28" s="102">
        <f>0/unit</f>
        <v>0</v>
      </c>
      <c r="F28" s="102">
        <f>0/unit</f>
        <v>0</v>
      </c>
      <c r="G28" s="102">
        <f>0/unit</f>
        <v>0</v>
      </c>
      <c r="H28" s="102">
        <f>0/unit</f>
        <v>0</v>
      </c>
      <c r="I28" s="102">
        <f>0/unit</f>
        <v>0</v>
      </c>
      <c r="J28" s="102">
        <f>0/unit</f>
        <v>0</v>
      </c>
      <c r="K28" s="102">
        <f>0/unit</f>
        <v>0</v>
      </c>
      <c r="L28" s="102">
        <f>0/unit</f>
        <v>0</v>
      </c>
      <c r="M28" s="102">
        <f>0/unit</f>
        <v>0</v>
      </c>
      <c r="N28" s="102">
        <f>0/unit</f>
        <v>0</v>
      </c>
      <c r="O28" s="102">
        <f>0/unit</f>
        <v>0</v>
      </c>
      <c r="P28" s="102">
        <f>1517557.02/unit</f>
        <v>1.51755702E-2</v>
      </c>
      <c r="Q28" s="102">
        <f>103265.78/unit</f>
        <v>1.0326578E-3</v>
      </c>
      <c r="R28" s="102">
        <f>1685141.33/unit</f>
        <v>1.68514133E-2</v>
      </c>
      <c r="S28" s="102">
        <f>3161709.3/unit</f>
        <v>3.1617092999999999E-2</v>
      </c>
      <c r="T28" s="102">
        <f>4591219.97/unit</f>
        <v>4.5912199699999996E-2</v>
      </c>
    </row>
    <row r="29" spans="1:20" outlineLevel="1">
      <c r="A29" s="101" t="s">
        <v>3553</v>
      </c>
      <c r="B29" s="102">
        <f>0/unit</f>
        <v>0</v>
      </c>
      <c r="C29" s="102">
        <f>0/unit</f>
        <v>0</v>
      </c>
      <c r="D29" s="102">
        <f>0/unit</f>
        <v>0</v>
      </c>
      <c r="E29" s="102">
        <f>0/unit</f>
        <v>0</v>
      </c>
      <c r="F29" s="102">
        <f>0/unit</f>
        <v>0</v>
      </c>
      <c r="G29" s="102">
        <f>0/unit</f>
        <v>0</v>
      </c>
      <c r="H29" s="102">
        <f>0/unit</f>
        <v>0</v>
      </c>
      <c r="I29" s="102">
        <f>0/unit</f>
        <v>0</v>
      </c>
      <c r="J29" s="102">
        <f>0/unit</f>
        <v>0</v>
      </c>
      <c r="K29" s="102">
        <f>0/unit</f>
        <v>0</v>
      </c>
      <c r="L29" s="102">
        <f>0/unit</f>
        <v>0</v>
      </c>
      <c r="M29" s="102">
        <f>0/unit</f>
        <v>0</v>
      </c>
      <c r="N29" s="102">
        <f>0/unit</f>
        <v>0</v>
      </c>
      <c r="O29" s="102">
        <f>0/unit</f>
        <v>0</v>
      </c>
      <c r="P29" s="102">
        <f>1170803.79/unit</f>
        <v>1.1708037900000001E-2</v>
      </c>
      <c r="Q29" s="102">
        <f>992849.41/unit</f>
        <v>9.9284941000000008E-3</v>
      </c>
      <c r="R29" s="102">
        <f>1539151.27/unit</f>
        <v>1.53915127E-2</v>
      </c>
      <c r="S29" s="102">
        <f>966819.36/unit</f>
        <v>9.6681935999999996E-3</v>
      </c>
      <c r="T29" s="102">
        <f>911814.53/unit</f>
        <v>9.1181452999999999E-3</v>
      </c>
    </row>
    <row r="30" spans="1:20" outlineLevel="1">
      <c r="A30" s="101" t="s">
        <v>553</v>
      </c>
      <c r="B30" s="102">
        <f>-873439.23/unit</f>
        <v>-8.7343922999999993E-3</v>
      </c>
      <c r="C30" s="102">
        <f>3143510.75/unit</f>
        <v>3.1435107499999997E-2</v>
      </c>
      <c r="D30" s="102">
        <f>815540.2/unit</f>
        <v>8.1554019999999991E-3</v>
      </c>
      <c r="E30" s="102">
        <f>5045900.73/unit</f>
        <v>5.0459007300000004E-2</v>
      </c>
      <c r="F30" s="102">
        <f>-2222987.86/unit</f>
        <v>-2.2229878599999999E-2</v>
      </c>
      <c r="G30" s="102">
        <f>3063416.56/unit</f>
        <v>3.0634165599999999E-2</v>
      </c>
      <c r="H30" s="102">
        <f>2237739.75/unit</f>
        <v>2.23773975E-2</v>
      </c>
      <c r="I30" s="102">
        <f>2766513.96/unit</f>
        <v>2.7665139599999999E-2</v>
      </c>
      <c r="J30" s="102">
        <f>-3549631.76/unit</f>
        <v>-3.5496317600000001E-2</v>
      </c>
      <c r="K30" s="102">
        <f>-1325276.73/unit</f>
        <v>-1.3252767299999999E-2</v>
      </c>
      <c r="L30" s="102">
        <f>2066505.68/unit</f>
        <v>2.0665056799999998E-2</v>
      </c>
      <c r="M30" s="102">
        <f>8382752.92/unit</f>
        <v>8.3827529200000001E-2</v>
      </c>
      <c r="N30" s="102">
        <f>1969803.61/unit</f>
        <v>1.96980361E-2</v>
      </c>
      <c r="O30" s="102">
        <f>11512664.5/unit</f>
        <v>0.115126645</v>
      </c>
      <c r="P30" s="102">
        <f>-2847490.76/unit</f>
        <v>-2.8474907599999998E-2</v>
      </c>
      <c r="Q30" s="102">
        <f>15463731.75/unit</f>
        <v>0.15463731750000001</v>
      </c>
      <c r="R30" s="102">
        <f>-2965534.88/unit</f>
        <v>-2.9655348799999998E-2</v>
      </c>
      <c r="S30" s="102">
        <f>5856900.83/unit</f>
        <v>5.8569008300000003E-2</v>
      </c>
      <c r="T30" s="102">
        <f>2050490.15/unit</f>
        <v>2.0504901499999999E-2</v>
      </c>
    </row>
    <row r="31" spans="1:20" outlineLevel="1">
      <c r="A31" s="101" t="s">
        <v>3554</v>
      </c>
      <c r="B31" s="102">
        <f>0/unit</f>
        <v>0</v>
      </c>
      <c r="C31" s="102">
        <f>0/unit</f>
        <v>0</v>
      </c>
      <c r="D31" s="102">
        <f>0/unit</f>
        <v>0</v>
      </c>
      <c r="E31" s="102">
        <f>0/unit</f>
        <v>0</v>
      </c>
      <c r="F31" s="102">
        <f>0/unit</f>
        <v>0</v>
      </c>
      <c r="G31" s="102">
        <f>0/unit</f>
        <v>0</v>
      </c>
      <c r="H31" s="102">
        <f>0/unit</f>
        <v>0</v>
      </c>
      <c r="I31" s="102">
        <f>0/unit</f>
        <v>0</v>
      </c>
      <c r="J31" s="102">
        <f>0/unit</f>
        <v>0</v>
      </c>
      <c r="K31" s="102">
        <f>0/unit</f>
        <v>0</v>
      </c>
      <c r="L31" s="102">
        <f>0/unit</f>
        <v>0</v>
      </c>
      <c r="M31" s="102">
        <f>0/unit</f>
        <v>0</v>
      </c>
      <c r="N31" s="102">
        <f>0/unit</f>
        <v>0</v>
      </c>
      <c r="O31" s="102">
        <f>0/unit</f>
        <v>0</v>
      </c>
      <c r="P31" s="102">
        <f>0/unit</f>
        <v>0</v>
      </c>
      <c r="Q31" s="102">
        <f>0/unit</f>
        <v>0</v>
      </c>
      <c r="R31" s="102">
        <f>0/unit</f>
        <v>0</v>
      </c>
      <c r="S31" s="102">
        <f>0/unit</f>
        <v>0</v>
      </c>
      <c r="T31" s="102">
        <f>3776793.72/unit</f>
        <v>3.7767937200000004E-2</v>
      </c>
    </row>
    <row r="32" spans="1:20" outlineLevel="1">
      <c r="A32" s="101" t="s">
        <v>1721</v>
      </c>
      <c r="B32" s="102">
        <f>0/unit</f>
        <v>0</v>
      </c>
      <c r="C32" s="102">
        <f>0/unit</f>
        <v>0</v>
      </c>
      <c r="D32" s="102">
        <f>0/unit</f>
        <v>0</v>
      </c>
      <c r="E32" s="102">
        <f>0/unit</f>
        <v>0</v>
      </c>
      <c r="F32" s="102">
        <f>0/unit</f>
        <v>0</v>
      </c>
      <c r="G32" s="102">
        <f>0/unit</f>
        <v>0</v>
      </c>
      <c r="H32" s="102">
        <f>0/unit</f>
        <v>0</v>
      </c>
      <c r="I32" s="102">
        <f>0/unit</f>
        <v>0</v>
      </c>
      <c r="J32" s="102">
        <f>0/unit</f>
        <v>0</v>
      </c>
      <c r="K32" s="102">
        <f>0/unit</f>
        <v>0</v>
      </c>
      <c r="L32" s="102">
        <f>0/unit</f>
        <v>0</v>
      </c>
      <c r="M32" s="102">
        <f>0/unit</f>
        <v>0</v>
      </c>
      <c r="N32" s="102">
        <f>0/unit</f>
        <v>0</v>
      </c>
      <c r="O32" s="102">
        <f>0/unit</f>
        <v>0</v>
      </c>
      <c r="P32" s="102">
        <f>0/unit</f>
        <v>0</v>
      </c>
      <c r="Q32" s="102">
        <f>0/unit</f>
        <v>0</v>
      </c>
      <c r="R32" s="102">
        <f>0/unit</f>
        <v>0</v>
      </c>
      <c r="S32" s="102">
        <f>0/unit</f>
        <v>0</v>
      </c>
      <c r="T32" s="102">
        <f>0/unit</f>
        <v>0</v>
      </c>
    </row>
    <row r="33" spans="1:20" outlineLevel="1">
      <c r="A33" s="99" t="s">
        <v>556</v>
      </c>
      <c r="B33" s="102"/>
      <c r="C33" s="102"/>
      <c r="D33" s="102"/>
      <c r="E33" s="102"/>
      <c r="F33" s="102"/>
      <c r="G33" s="102"/>
      <c r="H33" s="102"/>
      <c r="I33" s="102"/>
      <c r="J33" s="102"/>
      <c r="K33" s="102"/>
      <c r="L33" s="102"/>
      <c r="M33" s="102"/>
      <c r="N33" s="102"/>
      <c r="O33" s="102"/>
      <c r="P33" s="102"/>
      <c r="Q33" s="102"/>
      <c r="R33" s="102"/>
      <c r="S33" s="102"/>
      <c r="T33" s="102"/>
    </row>
    <row r="34" spans="1:20" outlineLevel="1">
      <c r="A34" s="101" t="s">
        <v>1722</v>
      </c>
      <c r="B34" s="102">
        <f>0/unit</f>
        <v>0</v>
      </c>
      <c r="C34" s="102">
        <f>0/unit</f>
        <v>0</v>
      </c>
      <c r="D34" s="102">
        <f>0/unit</f>
        <v>0</v>
      </c>
      <c r="E34" s="102">
        <f>0/unit</f>
        <v>0</v>
      </c>
      <c r="F34" s="102">
        <f>0/unit</f>
        <v>0</v>
      </c>
      <c r="G34" s="102">
        <f>0/unit</f>
        <v>0</v>
      </c>
      <c r="H34" s="102">
        <f>0/unit</f>
        <v>0</v>
      </c>
      <c r="I34" s="102">
        <f>0/unit</f>
        <v>0</v>
      </c>
      <c r="J34" s="102">
        <f>0/unit</f>
        <v>0</v>
      </c>
      <c r="K34" s="102">
        <f>0/unit</f>
        <v>0</v>
      </c>
      <c r="L34" s="102">
        <f>0/unit</f>
        <v>0</v>
      </c>
      <c r="M34" s="102">
        <f>0/unit</f>
        <v>0</v>
      </c>
      <c r="N34" s="102">
        <f>0/unit</f>
        <v>0</v>
      </c>
      <c r="O34" s="102">
        <f>0/unit</f>
        <v>0</v>
      </c>
      <c r="P34" s="102">
        <f>0/unit</f>
        <v>0</v>
      </c>
      <c r="Q34" s="102">
        <f>0/unit</f>
        <v>0</v>
      </c>
      <c r="R34" s="102">
        <f>0/unit</f>
        <v>0</v>
      </c>
      <c r="S34" s="102">
        <f>0/unit</f>
        <v>0</v>
      </c>
      <c r="T34" s="102">
        <f>0/unit</f>
        <v>0</v>
      </c>
    </row>
    <row r="35" spans="1:20" outlineLevel="1">
      <c r="A35" s="101" t="s">
        <v>558</v>
      </c>
      <c r="B35" s="102">
        <f>-576272.42/unit</f>
        <v>-5.7627242000000004E-3</v>
      </c>
      <c r="C35" s="102">
        <f>354472.02/unit</f>
        <v>3.5447202E-3</v>
      </c>
      <c r="D35" s="102">
        <f>-186871.71/unit</f>
        <v>-1.8687171E-3</v>
      </c>
      <c r="E35" s="102">
        <f>-497143.8/unit</f>
        <v>-4.9714379999999999E-3</v>
      </c>
      <c r="F35" s="102">
        <f>-425843.8/unit</f>
        <v>-4.2584379999999998E-3</v>
      </c>
      <c r="G35" s="102">
        <f>3268708.2/unit</f>
        <v>3.2687081999999999E-2</v>
      </c>
      <c r="H35" s="102">
        <f>1819996.5/unit</f>
        <v>1.8199964999999999E-2</v>
      </c>
      <c r="I35" s="102">
        <f>1283833.56/unit</f>
        <v>1.28383356E-2</v>
      </c>
      <c r="J35" s="102">
        <f>632275.38/unit</f>
        <v>6.3227537999999998E-3</v>
      </c>
      <c r="K35" s="102">
        <f>32748600.65/unit</f>
        <v>0.32748600649999998</v>
      </c>
      <c r="L35" s="102">
        <f>-616293.23/unit</f>
        <v>-6.1629323E-3</v>
      </c>
      <c r="M35" s="102">
        <f>41511991.94/unit</f>
        <v>0.41511991939999998</v>
      </c>
      <c r="N35" s="102">
        <f>28469505.97/unit</f>
        <v>0.28469505969999997</v>
      </c>
      <c r="O35" s="102">
        <f>72424.4200000018/unit</f>
        <v>7.2424420000001804E-4</v>
      </c>
      <c r="P35" s="102">
        <f>95794.06/unit</f>
        <v>9.5794059999999999E-4</v>
      </c>
      <c r="Q35" s="102">
        <f>-283513.009999998/unit</f>
        <v>-2.8351300999999796E-3</v>
      </c>
      <c r="R35" s="102">
        <f>-549530.97/unit</f>
        <v>-5.4953097000000001E-3</v>
      </c>
      <c r="S35" s="102">
        <f>-612282.47/unit</f>
        <v>-6.1228246999999996E-3</v>
      </c>
      <c r="T35" s="102">
        <f>124179.66/unit</f>
        <v>1.2417966000000001E-3</v>
      </c>
    </row>
    <row r="36" spans="1:20" outlineLevel="1">
      <c r="A36" s="101" t="s">
        <v>1723</v>
      </c>
      <c r="B36" s="102">
        <f>-1187051.83/unit</f>
        <v>-1.1870518300000001E-2</v>
      </c>
      <c r="C36" s="102">
        <f>248198.05/unit</f>
        <v>2.4819804999999997E-3</v>
      </c>
      <c r="D36" s="102">
        <f>-332711.7/unit</f>
        <v>-3.3271170000000001E-3</v>
      </c>
      <c r="E36" s="102">
        <f>-497143.8/unit</f>
        <v>-4.9714379999999999E-3</v>
      </c>
      <c r="F36" s="102">
        <f>-425843.8/unit</f>
        <v>-4.2584379999999998E-3</v>
      </c>
      <c r="G36" s="102">
        <f>3268708.2/unit</f>
        <v>3.2687081999999999E-2</v>
      </c>
      <c r="H36" s="102">
        <f>1819996.5/unit</f>
        <v>1.8199964999999999E-2</v>
      </c>
      <c r="I36" s="102">
        <f>1283833.56/unit</f>
        <v>1.28383356E-2</v>
      </c>
      <c r="J36" s="102">
        <f>632275.38/unit</f>
        <v>6.3227537999999998E-3</v>
      </c>
      <c r="K36" s="102">
        <f>32748600.65/unit</f>
        <v>0.32748600649999998</v>
      </c>
      <c r="L36" s="102">
        <f>-616293.23/unit</f>
        <v>-6.1629323E-3</v>
      </c>
      <c r="M36" s="102">
        <f>-33847678.23/unit</f>
        <v>-0.33847678229999995</v>
      </c>
      <c r="N36" s="102">
        <f>-1530494.03/unit</f>
        <v>-1.53049403E-2</v>
      </c>
      <c r="O36" s="102">
        <f>-1092639.56/unit</f>
        <v>-1.0926395600000001E-2</v>
      </c>
      <c r="P36" s="102">
        <f>-212241.55/unit</f>
        <v>-2.1224155000000001E-3</v>
      </c>
      <c r="Q36" s="102">
        <f>-283513.01/unit</f>
        <v>-2.8351301E-3</v>
      </c>
      <c r="R36" s="102">
        <f>-549530.97/unit</f>
        <v>-5.4953097000000001E-3</v>
      </c>
      <c r="S36" s="102">
        <f>-612282.47/unit</f>
        <v>-6.1228246999999996E-3</v>
      </c>
      <c r="T36" s="102">
        <f>124179.66/unit</f>
        <v>1.2417966000000001E-3</v>
      </c>
    </row>
    <row r="37" spans="1:20" outlineLevel="1">
      <c r="A37" s="101" t="s">
        <v>1724</v>
      </c>
      <c r="B37" s="102">
        <f>0/unit</f>
        <v>0</v>
      </c>
      <c r="C37" s="102">
        <f>0/unit</f>
        <v>0</v>
      </c>
      <c r="D37" s="102">
        <f>0/unit</f>
        <v>0</v>
      </c>
      <c r="E37" s="102">
        <f>0/unit</f>
        <v>0</v>
      </c>
      <c r="F37" s="102">
        <f>0/unit</f>
        <v>0</v>
      </c>
      <c r="G37" s="102">
        <f>0/unit</f>
        <v>0</v>
      </c>
      <c r="H37" s="102">
        <f>0/unit</f>
        <v>0</v>
      </c>
      <c r="I37" s="102">
        <f>0/unit</f>
        <v>0</v>
      </c>
      <c r="J37" s="102">
        <f>0/unit</f>
        <v>0</v>
      </c>
      <c r="K37" s="102">
        <f>0/unit</f>
        <v>0</v>
      </c>
      <c r="L37" s="102">
        <f>0/unit</f>
        <v>0</v>
      </c>
      <c r="M37" s="102">
        <f>0/unit</f>
        <v>0</v>
      </c>
      <c r="N37" s="102">
        <f>0/unit</f>
        <v>0</v>
      </c>
      <c r="O37" s="102">
        <f>0/unit</f>
        <v>0</v>
      </c>
      <c r="P37" s="102">
        <f>0/unit</f>
        <v>0</v>
      </c>
      <c r="Q37" s="102">
        <f>0/unit</f>
        <v>0</v>
      </c>
      <c r="R37" s="102">
        <f>0/unit</f>
        <v>0</v>
      </c>
      <c r="S37" s="102">
        <f>0/unit</f>
        <v>0</v>
      </c>
      <c r="T37" s="102">
        <f>0/unit</f>
        <v>0</v>
      </c>
    </row>
    <row r="38" spans="1:20" outlineLevel="1">
      <c r="A38" s="101" t="s">
        <v>561</v>
      </c>
      <c r="B38" s="102">
        <f>0/unit</f>
        <v>0</v>
      </c>
      <c r="C38" s="102">
        <f>0/unit</f>
        <v>0</v>
      </c>
      <c r="D38" s="102">
        <f>0/unit</f>
        <v>0</v>
      </c>
      <c r="E38" s="102">
        <f>0/unit</f>
        <v>0</v>
      </c>
      <c r="F38" s="102">
        <f>0/unit</f>
        <v>0</v>
      </c>
      <c r="G38" s="102">
        <f>0/unit</f>
        <v>0</v>
      </c>
      <c r="H38" s="102">
        <f>0/unit</f>
        <v>0</v>
      </c>
      <c r="I38" s="102">
        <f>0/unit</f>
        <v>0</v>
      </c>
      <c r="J38" s="102">
        <f>0/unit</f>
        <v>0</v>
      </c>
      <c r="K38" s="102">
        <f>0/unit</f>
        <v>0</v>
      </c>
      <c r="L38" s="102">
        <f>0/unit</f>
        <v>0</v>
      </c>
      <c r="M38" s="102">
        <f>0/unit</f>
        <v>0</v>
      </c>
      <c r="N38" s="102">
        <f>0/unit</f>
        <v>0</v>
      </c>
      <c r="O38" s="102">
        <f>0/unit</f>
        <v>0</v>
      </c>
      <c r="P38" s="102">
        <f>0/unit</f>
        <v>0</v>
      </c>
      <c r="Q38" s="102">
        <f>0/unit</f>
        <v>0</v>
      </c>
      <c r="R38" s="102">
        <f>0/unit</f>
        <v>0</v>
      </c>
      <c r="S38" s="102">
        <f>0/unit</f>
        <v>0</v>
      </c>
      <c r="T38" s="102">
        <f>3689309.42/unit</f>
        <v>3.6893094199999997E-2</v>
      </c>
    </row>
    <row r="39" spans="1:20" outlineLevel="1">
      <c r="A39" s="103" t="s">
        <v>1267</v>
      </c>
      <c r="B39" s="102">
        <f>0/unit</f>
        <v>0</v>
      </c>
      <c r="C39" s="102">
        <f>0/unit</f>
        <v>0</v>
      </c>
      <c r="D39" s="102">
        <f>0/unit</f>
        <v>0</v>
      </c>
      <c r="E39" s="102">
        <f>0/unit</f>
        <v>0</v>
      </c>
      <c r="F39" s="102">
        <f>0/unit</f>
        <v>0</v>
      </c>
      <c r="G39" s="102">
        <f>0/unit</f>
        <v>0</v>
      </c>
      <c r="H39" s="102">
        <f>0/unit</f>
        <v>0</v>
      </c>
      <c r="I39" s="102">
        <f>0/unit</f>
        <v>0</v>
      </c>
      <c r="J39" s="102">
        <f>0/unit</f>
        <v>0</v>
      </c>
      <c r="K39" s="102">
        <f>0/unit</f>
        <v>0</v>
      </c>
      <c r="L39" s="102">
        <f>0/unit</f>
        <v>0</v>
      </c>
      <c r="M39" s="102">
        <f>0/unit</f>
        <v>0</v>
      </c>
      <c r="N39" s="102">
        <f>0/unit</f>
        <v>0</v>
      </c>
      <c r="O39" s="102">
        <f>0/unit</f>
        <v>0</v>
      </c>
      <c r="P39" s="102">
        <f>-88938.6/unit</f>
        <v>-8.8938600000000004E-4</v>
      </c>
      <c r="Q39" s="102">
        <f>-215313.43/unit</f>
        <v>-2.1531342999999998E-3</v>
      </c>
      <c r="R39" s="102">
        <f>0/unit</f>
        <v>0</v>
      </c>
      <c r="S39" s="102">
        <f>0/unit</f>
        <v>0</v>
      </c>
      <c r="T39" s="102">
        <f>0/unit</f>
        <v>0</v>
      </c>
    </row>
    <row r="40" spans="1:20" outlineLevel="1">
      <c r="A40" s="103" t="s">
        <v>1725</v>
      </c>
      <c r="B40" s="102">
        <f>0/unit</f>
        <v>0</v>
      </c>
      <c r="C40" s="102">
        <f>0/unit</f>
        <v>0</v>
      </c>
      <c r="D40" s="102">
        <f>0/unit</f>
        <v>0</v>
      </c>
      <c r="E40" s="102">
        <f>0/unit</f>
        <v>0</v>
      </c>
      <c r="F40" s="102">
        <f>0/unit</f>
        <v>0</v>
      </c>
      <c r="G40" s="102">
        <f>0/unit</f>
        <v>0</v>
      </c>
      <c r="H40" s="102">
        <f>0/unit</f>
        <v>0</v>
      </c>
      <c r="I40" s="102">
        <f>0/unit</f>
        <v>0</v>
      </c>
      <c r="J40" s="102">
        <f>0/unit</f>
        <v>0</v>
      </c>
      <c r="K40" s="102">
        <f>0/unit</f>
        <v>0</v>
      </c>
      <c r="L40" s="102">
        <f>3819558/unit</f>
        <v>3.819558E-2</v>
      </c>
      <c r="M40" s="102">
        <f>14900648.22/unit</f>
        <v>0.14900648220000001</v>
      </c>
      <c r="N40" s="102">
        <f>3461910/unit</f>
        <v>3.46191E-2</v>
      </c>
      <c r="O40" s="102">
        <f>6049813.18/unit</f>
        <v>6.04981318E-2</v>
      </c>
      <c r="P40" s="102">
        <f>6146403.1/unit</f>
        <v>6.1464030999999995E-2</v>
      </c>
      <c r="Q40" s="102">
        <f>18710149.03/unit</f>
        <v>0.18710149030000001</v>
      </c>
      <c r="R40" s="102">
        <f>6789143.47/unit</f>
        <v>6.7891434700000003E-2</v>
      </c>
      <c r="S40" s="102">
        <f>9464944.27/unit</f>
        <v>9.4649442699999989E-2</v>
      </c>
      <c r="T40" s="102">
        <f>12304959.59/unit</f>
        <v>0.1230495959</v>
      </c>
    </row>
    <row r="41" spans="1:20" outlineLevel="1">
      <c r="A41" s="101" t="s">
        <v>1726</v>
      </c>
      <c r="B41" s="102">
        <f>0/unit</f>
        <v>0</v>
      </c>
      <c r="C41" s="102">
        <f>0/unit</f>
        <v>0</v>
      </c>
      <c r="D41" s="102">
        <f>0/unit</f>
        <v>0</v>
      </c>
      <c r="E41" s="102">
        <f>0/unit</f>
        <v>0</v>
      </c>
      <c r="F41" s="102">
        <f>0/unit</f>
        <v>0</v>
      </c>
      <c r="G41" s="102">
        <f>0/unit</f>
        <v>0</v>
      </c>
      <c r="H41" s="102">
        <f>0/unit</f>
        <v>0</v>
      </c>
      <c r="I41" s="102">
        <f>0/unit</f>
        <v>0</v>
      </c>
      <c r="J41" s="102">
        <f>0/unit</f>
        <v>0</v>
      </c>
      <c r="K41" s="102">
        <f>0/unit</f>
        <v>0</v>
      </c>
      <c r="L41" s="102">
        <f>0/unit</f>
        <v>0</v>
      </c>
      <c r="M41" s="102">
        <f>0/unit</f>
        <v>0</v>
      </c>
      <c r="N41" s="102">
        <f>0/unit</f>
        <v>0</v>
      </c>
      <c r="O41" s="102">
        <f>0/unit</f>
        <v>0</v>
      </c>
      <c r="P41" s="102">
        <f>0/unit</f>
        <v>0</v>
      </c>
      <c r="Q41" s="102">
        <f>0/unit</f>
        <v>0</v>
      </c>
      <c r="R41" s="102">
        <f>0/unit</f>
        <v>0</v>
      </c>
      <c r="S41" s="102">
        <f>0/unit</f>
        <v>0</v>
      </c>
      <c r="T41" s="102">
        <f>0/unit</f>
        <v>0</v>
      </c>
    </row>
    <row r="42" spans="1:20" outlineLevel="1">
      <c r="A42" s="101" t="s">
        <v>1727</v>
      </c>
      <c r="B42" s="102">
        <f>0/unit</f>
        <v>0</v>
      </c>
      <c r="C42" s="102">
        <f>0/unit</f>
        <v>0</v>
      </c>
      <c r="D42" s="102">
        <f>0/unit</f>
        <v>0</v>
      </c>
      <c r="E42" s="102">
        <f>0/unit</f>
        <v>0</v>
      </c>
      <c r="F42" s="102">
        <f>0/unit</f>
        <v>0</v>
      </c>
      <c r="G42" s="102">
        <f>0/unit</f>
        <v>0</v>
      </c>
      <c r="H42" s="102">
        <f>0/unit</f>
        <v>0</v>
      </c>
      <c r="I42" s="102">
        <f>0/unit</f>
        <v>0</v>
      </c>
      <c r="J42" s="102">
        <f>0/unit</f>
        <v>0</v>
      </c>
      <c r="K42" s="102">
        <f>0/unit</f>
        <v>0</v>
      </c>
      <c r="L42" s="102">
        <f>0/unit</f>
        <v>0</v>
      </c>
      <c r="M42" s="102">
        <f>0/unit</f>
        <v>0</v>
      </c>
      <c r="N42" s="102">
        <f>0/unit</f>
        <v>0</v>
      </c>
      <c r="O42" s="102">
        <f>0/unit</f>
        <v>0</v>
      </c>
      <c r="P42" s="102">
        <f>0/unit</f>
        <v>0</v>
      </c>
      <c r="Q42" s="102">
        <f>0/unit</f>
        <v>0</v>
      </c>
      <c r="R42" s="102">
        <f>0/unit</f>
        <v>0</v>
      </c>
      <c r="S42" s="102">
        <f>0/unit</f>
        <v>0</v>
      </c>
      <c r="T42" s="102">
        <f>0/unit</f>
        <v>0</v>
      </c>
    </row>
    <row r="43" spans="1:20" outlineLevel="1">
      <c r="A43" s="99" t="s">
        <v>566</v>
      </c>
      <c r="B43" s="100">
        <f>54317947.64/unit</f>
        <v>0.54317947639999997</v>
      </c>
      <c r="C43" s="100">
        <f>62289315.69/unit</f>
        <v>0.62289315690000002</v>
      </c>
      <c r="D43" s="100">
        <f>74061848.03/unit</f>
        <v>0.74061848029999999</v>
      </c>
      <c r="E43" s="100">
        <f>77109967.97/unit</f>
        <v>0.77109967970000004</v>
      </c>
      <c r="F43" s="100">
        <f>86217321.29/unit</f>
        <v>0.86217321290000004</v>
      </c>
      <c r="G43" s="100">
        <f>85717168.07/unit</f>
        <v>0.85717168069999994</v>
      </c>
      <c r="H43" s="100">
        <f>104707631.89/unit</f>
        <v>1.0470763189000001</v>
      </c>
      <c r="I43" s="100">
        <f>91569719.96/unit</f>
        <v>0.91569719959999996</v>
      </c>
      <c r="J43" s="100">
        <f>73028036.12/unit</f>
        <v>0.73028036120000006</v>
      </c>
      <c r="K43" s="100">
        <f>121980856.37/unit</f>
        <v>1.2198085637</v>
      </c>
      <c r="L43" s="100">
        <f>94508613.97/unit</f>
        <v>0.94508613969999999</v>
      </c>
      <c r="M43" s="100">
        <f>95035229.2/unit</f>
        <v>0.95035229200000004</v>
      </c>
      <c r="N43" s="100">
        <f>115643510.18/unit</f>
        <v>1.1564351018000001</v>
      </c>
      <c r="O43" s="100">
        <f>150763617.18/unit</f>
        <v>1.5076361718</v>
      </c>
      <c r="P43" s="100">
        <f>160283915.57/unit</f>
        <v>1.6028391556999999</v>
      </c>
      <c r="Q43" s="100">
        <f>71260464.33/unit</f>
        <v>0.71260464329999995</v>
      </c>
      <c r="R43" s="100">
        <f>102229213.1/unit</f>
        <v>1.0222921309999999</v>
      </c>
      <c r="S43" s="100">
        <f>131870517.43/unit</f>
        <v>1.3187051743</v>
      </c>
      <c r="T43" s="100">
        <f>121545860.67/unit</f>
        <v>1.2154586066999999</v>
      </c>
    </row>
    <row r="44" spans="1:20" outlineLevel="1">
      <c r="A44" s="101" t="s">
        <v>1728</v>
      </c>
      <c r="B44" s="102">
        <f>1422333.82/unit</f>
        <v>1.4223338200000001E-2</v>
      </c>
      <c r="C44" s="102">
        <f>3963768.6/unit</f>
        <v>3.9637685999999998E-2</v>
      </c>
      <c r="D44" s="102">
        <f>10023374.51/unit</f>
        <v>0.10023374509999999</v>
      </c>
      <c r="E44" s="102">
        <f>7852963.41/unit</f>
        <v>7.8529634099999995E-2</v>
      </c>
      <c r="F44" s="102">
        <f>1649777.54/unit</f>
        <v>1.6497775400000001E-2</v>
      </c>
      <c r="G44" s="102">
        <f>2253919.69/unit</f>
        <v>2.2539196899999999E-2</v>
      </c>
      <c r="H44" s="102">
        <f>5334422.5/unit</f>
        <v>5.3344225000000002E-2</v>
      </c>
      <c r="I44" s="102">
        <f>13505233.73/unit</f>
        <v>0.13505233729999999</v>
      </c>
      <c r="J44" s="102">
        <f>2688158.38/unit</f>
        <v>2.6881583799999997E-2</v>
      </c>
      <c r="K44" s="102">
        <f>1722558.38/unit</f>
        <v>1.7225583799999999E-2</v>
      </c>
      <c r="L44" s="102">
        <f>2226387.09/unit</f>
        <v>2.22638709E-2</v>
      </c>
      <c r="M44" s="102">
        <f>-6067088.09/unit</f>
        <v>-6.0670880900000002E-2</v>
      </c>
      <c r="N44" s="102">
        <f>1926625.7/unit</f>
        <v>1.9266256999999998E-2</v>
      </c>
      <c r="O44" s="102">
        <f>-68025.02/unit</f>
        <v>-6.8025020000000004E-4</v>
      </c>
      <c r="P44" s="102">
        <f>26905.02/unit</f>
        <v>2.6905020000000002E-4</v>
      </c>
      <c r="Q44" s="102">
        <f>57563353.5/unit</f>
        <v>0.57563353500000003</v>
      </c>
      <c r="R44" s="102">
        <f>0/unit</f>
        <v>0</v>
      </c>
      <c r="S44" s="102">
        <f>0/unit</f>
        <v>0</v>
      </c>
      <c r="T44" s="102">
        <f>0/unit</f>
        <v>0</v>
      </c>
    </row>
    <row r="45" spans="1:20" outlineLevel="1">
      <c r="A45" s="101" t="s">
        <v>569</v>
      </c>
      <c r="B45" s="102">
        <f>0/unit</f>
        <v>0</v>
      </c>
      <c r="C45" s="102">
        <f>0/unit</f>
        <v>0</v>
      </c>
      <c r="D45" s="102">
        <f>864468.53/unit</f>
        <v>8.6446852999999997E-3</v>
      </c>
      <c r="E45" s="102">
        <f>611748/unit</f>
        <v>6.1174799999999998E-3</v>
      </c>
      <c r="F45" s="102">
        <f>76291.7/unit</f>
        <v>7.62917E-4</v>
      </c>
      <c r="G45" s="102">
        <f>85714.35/unit</f>
        <v>8.5714350000000005E-4</v>
      </c>
      <c r="H45" s="102">
        <f>769314.82/unit</f>
        <v>7.6931481999999995E-3</v>
      </c>
      <c r="I45" s="102">
        <f>0/unit</f>
        <v>0</v>
      </c>
      <c r="J45" s="102">
        <f>10000/unit</f>
        <v>1E-4</v>
      </c>
      <c r="K45" s="102">
        <f>192094.77/unit</f>
        <v>1.9209476999999999E-3</v>
      </c>
      <c r="L45" s="102">
        <f>4627.63/unit</f>
        <v>4.6276300000000003E-5</v>
      </c>
      <c r="M45" s="102">
        <f>473801.56/unit</f>
        <v>4.7380156000000001E-3</v>
      </c>
      <c r="N45" s="102">
        <f>170577.25/unit</f>
        <v>1.7057725000000001E-3</v>
      </c>
      <c r="O45" s="102">
        <f>-140577.25/unit</f>
        <v>-1.4057725E-3</v>
      </c>
      <c r="P45" s="102">
        <f>10165.2/unit</f>
        <v>1.0165200000000001E-4</v>
      </c>
      <c r="Q45" s="102">
        <f>2512779.46/unit</f>
        <v>2.51277946E-2</v>
      </c>
      <c r="R45" s="102">
        <f>168610.83/unit</f>
        <v>1.6861082999999998E-3</v>
      </c>
      <c r="S45" s="102">
        <f>1269764.01/unit</f>
        <v>1.2697640100000001E-2</v>
      </c>
      <c r="T45" s="102">
        <f>1522531.01/unit</f>
        <v>1.52253101E-2</v>
      </c>
    </row>
    <row r="46" spans="1:20" outlineLevel="1">
      <c r="A46" s="101" t="s">
        <v>570</v>
      </c>
      <c r="B46" s="102">
        <f>0/unit</f>
        <v>0</v>
      </c>
      <c r="C46" s="102">
        <f>0/unit</f>
        <v>0</v>
      </c>
      <c r="D46" s="102">
        <f>864468.53/unit</f>
        <v>8.6446852999999997E-3</v>
      </c>
      <c r="E46" s="102">
        <f>611748/unit</f>
        <v>6.1174799999999998E-3</v>
      </c>
      <c r="F46" s="102">
        <f>76291.7/unit</f>
        <v>7.62917E-4</v>
      </c>
      <c r="G46" s="102">
        <f>85714.35/unit</f>
        <v>8.5714350000000005E-4</v>
      </c>
      <c r="H46" s="102">
        <f>769314.82/unit</f>
        <v>7.6931481999999995E-3</v>
      </c>
      <c r="I46" s="102">
        <f>0/unit</f>
        <v>0</v>
      </c>
      <c r="J46" s="102">
        <f>0/unit</f>
        <v>0</v>
      </c>
      <c r="K46" s="102">
        <f>0/unit</f>
        <v>0</v>
      </c>
      <c r="L46" s="102">
        <f>1700/unit</f>
        <v>1.7E-5</v>
      </c>
      <c r="M46" s="102">
        <f>0/unit</f>
        <v>0</v>
      </c>
      <c r="N46" s="102">
        <f>0/unit</f>
        <v>0</v>
      </c>
      <c r="O46" s="102">
        <f>0/unit</f>
        <v>0</v>
      </c>
      <c r="P46" s="102">
        <f>0/unit</f>
        <v>0</v>
      </c>
      <c r="Q46" s="102">
        <f>0/unit</f>
        <v>0</v>
      </c>
      <c r="R46" s="102">
        <f>0/unit</f>
        <v>0</v>
      </c>
      <c r="S46" s="102">
        <f>0/unit</f>
        <v>0</v>
      </c>
      <c r="T46" s="102">
        <f>0/unit</f>
        <v>0</v>
      </c>
    </row>
    <row r="47" spans="1:20" outlineLevel="1">
      <c r="A47" s="101" t="s">
        <v>1729</v>
      </c>
      <c r="B47" s="102">
        <f>0/unit</f>
        <v>0</v>
      </c>
      <c r="C47" s="102">
        <f>0/unit</f>
        <v>0</v>
      </c>
      <c r="D47" s="102">
        <f>0/unit</f>
        <v>0</v>
      </c>
      <c r="E47" s="102">
        <f>0/unit</f>
        <v>0</v>
      </c>
      <c r="F47" s="102">
        <f>0/unit</f>
        <v>0</v>
      </c>
      <c r="G47" s="102">
        <f>0/unit</f>
        <v>0</v>
      </c>
      <c r="H47" s="102">
        <f>0/unit</f>
        <v>0</v>
      </c>
      <c r="I47" s="102">
        <f>0/unit</f>
        <v>0</v>
      </c>
      <c r="J47" s="102">
        <f>0/unit</f>
        <v>0</v>
      </c>
      <c r="K47" s="102">
        <f>0/unit</f>
        <v>0</v>
      </c>
      <c r="L47" s="102">
        <f>0/unit</f>
        <v>0</v>
      </c>
      <c r="M47" s="102">
        <f>0/unit</f>
        <v>0</v>
      </c>
      <c r="N47" s="102">
        <f>0/unit</f>
        <v>0</v>
      </c>
      <c r="O47" s="102">
        <f>0/unit</f>
        <v>0</v>
      </c>
      <c r="P47" s="102">
        <f>0/unit</f>
        <v>0</v>
      </c>
      <c r="Q47" s="102">
        <f>0/unit</f>
        <v>0</v>
      </c>
      <c r="R47" s="102">
        <f>0/unit</f>
        <v>0</v>
      </c>
      <c r="S47" s="102">
        <f>0/unit</f>
        <v>0</v>
      </c>
      <c r="T47" s="102">
        <f>0/unit</f>
        <v>0</v>
      </c>
    </row>
    <row r="48" spans="1:20" outlineLevel="1">
      <c r="A48" s="101" t="s">
        <v>1730</v>
      </c>
      <c r="B48" s="102">
        <f>0/unit</f>
        <v>0</v>
      </c>
      <c r="C48" s="102">
        <f>0/unit</f>
        <v>0</v>
      </c>
      <c r="D48" s="102">
        <f>0/unit</f>
        <v>0</v>
      </c>
      <c r="E48" s="102">
        <f>0/unit</f>
        <v>0</v>
      </c>
      <c r="F48" s="102">
        <f>0/unit</f>
        <v>0</v>
      </c>
      <c r="G48" s="102">
        <f>0/unit</f>
        <v>0</v>
      </c>
      <c r="H48" s="102">
        <f>0/unit</f>
        <v>0</v>
      </c>
      <c r="I48" s="102">
        <f>0/unit</f>
        <v>0</v>
      </c>
      <c r="J48" s="102">
        <f>0/unit</f>
        <v>0</v>
      </c>
      <c r="K48" s="102">
        <f>0/unit</f>
        <v>0</v>
      </c>
      <c r="L48" s="102">
        <f>0/unit</f>
        <v>0</v>
      </c>
      <c r="M48" s="102">
        <f>0/unit</f>
        <v>0</v>
      </c>
      <c r="N48" s="102">
        <f>0/unit</f>
        <v>0</v>
      </c>
      <c r="O48" s="102">
        <f>0/unit</f>
        <v>0</v>
      </c>
      <c r="P48" s="102">
        <f>0/unit</f>
        <v>0</v>
      </c>
      <c r="Q48" s="102">
        <f>0/unit</f>
        <v>0</v>
      </c>
      <c r="R48" s="102">
        <f>0/unit</f>
        <v>0</v>
      </c>
      <c r="S48" s="102">
        <f>0/unit</f>
        <v>0</v>
      </c>
      <c r="T48" s="102">
        <f>0/unit</f>
        <v>0</v>
      </c>
    </row>
    <row r="49" spans="1:20" outlineLevel="1">
      <c r="A49" s="99" t="s">
        <v>573</v>
      </c>
      <c r="B49" s="100">
        <f>55740281.46/unit</f>
        <v>0.55740281459999996</v>
      </c>
      <c r="C49" s="100">
        <f>66253084.29/unit</f>
        <v>0.66253084289999997</v>
      </c>
      <c r="D49" s="100">
        <f>83220754.01/unit</f>
        <v>0.83220754010000009</v>
      </c>
      <c r="E49" s="100">
        <f>84351183.38/unit</f>
        <v>0.84351183379999994</v>
      </c>
      <c r="F49" s="100">
        <f>87790807.13/unit</f>
        <v>0.87790807129999993</v>
      </c>
      <c r="G49" s="100">
        <f>87885373.41/unit</f>
        <v>0.87885373410000001</v>
      </c>
      <c r="H49" s="100">
        <f>109272739.57/unit</f>
        <v>1.0927273956999999</v>
      </c>
      <c r="I49" s="100">
        <f>105074953.69/unit</f>
        <v>1.0507495368999999</v>
      </c>
      <c r="J49" s="100">
        <f>75706194.5/unit</f>
        <v>0.75706194500000001</v>
      </c>
      <c r="K49" s="100">
        <f>123511319.98/unit</f>
        <v>1.2351131998</v>
      </c>
      <c r="L49" s="100">
        <f>96730373.43/unit</f>
        <v>0.96730373430000005</v>
      </c>
      <c r="M49" s="100">
        <f>88494339.55/unit</f>
        <v>0.88494339550000001</v>
      </c>
      <c r="N49" s="100">
        <f>117399558.63/unit</f>
        <v>1.1739955863</v>
      </c>
      <c r="O49" s="100">
        <f>150836169.41/unit</f>
        <v>1.5083616941</v>
      </c>
      <c r="P49" s="100">
        <f>160300655.39/unit</f>
        <v>1.6030065538999998</v>
      </c>
      <c r="Q49" s="100">
        <f>126311038.37/unit</f>
        <v>1.2631103837</v>
      </c>
      <c r="R49" s="100">
        <f>102060602.27/unit</f>
        <v>1.0206060227</v>
      </c>
      <c r="S49" s="100">
        <f>130606063.15/unit</f>
        <v>1.3060606315000001</v>
      </c>
      <c r="T49" s="100">
        <f>120023329.66/unit</f>
        <v>1.2002332966</v>
      </c>
    </row>
    <row r="50" spans="1:20" outlineLevel="1">
      <c r="A50" s="101" t="s">
        <v>574</v>
      </c>
      <c r="B50" s="102">
        <f>8651603.26/unit</f>
        <v>8.6516032600000001E-2</v>
      </c>
      <c r="C50" s="102">
        <f>-4234563.61/unit</f>
        <v>-4.23456361E-2</v>
      </c>
      <c r="D50" s="102">
        <f>9775579.07/unit</f>
        <v>9.7755790699999998E-2</v>
      </c>
      <c r="E50" s="102">
        <f>13836987.61/unit</f>
        <v>0.13836987609999998</v>
      </c>
      <c r="F50" s="102">
        <f>12389205.8/unit</f>
        <v>0.12389205800000001</v>
      </c>
      <c r="G50" s="102">
        <f>-11147651.27/unit</f>
        <v>-0.1114765127</v>
      </c>
      <c r="H50" s="102">
        <f>14718964.8/unit</f>
        <v>0.14718964800000001</v>
      </c>
      <c r="I50" s="102">
        <f>16011921.71/unit</f>
        <v>0.16011921710000002</v>
      </c>
      <c r="J50" s="102">
        <f>11161541.29/unit</f>
        <v>0.11161541289999999</v>
      </c>
      <c r="K50" s="102">
        <f>12293063.18/unit</f>
        <v>0.1229306318</v>
      </c>
      <c r="L50" s="102">
        <f>12626817.51/unit</f>
        <v>0.12626817509999999</v>
      </c>
      <c r="M50" s="102">
        <f>4317001.65000001/unit</f>
        <v>4.3170016500000095E-2</v>
      </c>
      <c r="N50" s="102">
        <f>14413481.48/unit</f>
        <v>0.14413481480000001</v>
      </c>
      <c r="O50" s="102">
        <f>24420347.63/unit</f>
        <v>0.2442034763</v>
      </c>
      <c r="P50" s="102">
        <f>24105151.55/unit</f>
        <v>0.24105151550000001</v>
      </c>
      <c r="Q50" s="102">
        <f>8938484.15000001/unit</f>
        <v>8.9384841500000103E-2</v>
      </c>
      <c r="R50" s="102">
        <f>16711050.99/unit</f>
        <v>0.16711050990000001</v>
      </c>
      <c r="S50" s="102">
        <f>17520563.86/unit</f>
        <v>0.17520563859999999</v>
      </c>
      <c r="T50" s="102">
        <f>16805342.67/unit</f>
        <v>0.16805342670000001</v>
      </c>
    </row>
    <row r="51" spans="1:20" outlineLevel="1">
      <c r="A51" s="101" t="s">
        <v>575</v>
      </c>
      <c r="B51" s="102">
        <f>0/unit</f>
        <v>0</v>
      </c>
      <c r="C51" s="102">
        <f>0/unit</f>
        <v>0</v>
      </c>
      <c r="D51" s="102">
        <f>0/unit</f>
        <v>0</v>
      </c>
      <c r="E51" s="102">
        <f>0/unit</f>
        <v>0</v>
      </c>
      <c r="F51" s="102">
        <f>0/unit</f>
        <v>0</v>
      </c>
      <c r="G51" s="102">
        <f>0/unit</f>
        <v>0</v>
      </c>
      <c r="H51" s="102">
        <f>0/unit</f>
        <v>0</v>
      </c>
      <c r="I51" s="102">
        <f>0/unit</f>
        <v>0</v>
      </c>
      <c r="J51" s="102">
        <f>0/unit</f>
        <v>0</v>
      </c>
      <c r="K51" s="102">
        <f>0/unit</f>
        <v>0</v>
      </c>
      <c r="L51" s="102">
        <f>0/unit</f>
        <v>0</v>
      </c>
      <c r="M51" s="102">
        <f>0/unit</f>
        <v>0</v>
      </c>
      <c r="N51" s="102">
        <f>0/unit</f>
        <v>0</v>
      </c>
      <c r="O51" s="102">
        <f>0/unit</f>
        <v>0</v>
      </c>
      <c r="P51" s="102">
        <f>0/unit</f>
        <v>0</v>
      </c>
      <c r="Q51" s="102">
        <f>0/unit</f>
        <v>0</v>
      </c>
      <c r="R51" s="102">
        <f>0/unit</f>
        <v>0</v>
      </c>
      <c r="S51" s="102">
        <f>0/unit</f>
        <v>0</v>
      </c>
      <c r="T51" s="102">
        <f>0/unit</f>
        <v>0</v>
      </c>
    </row>
    <row r="52" spans="1:20" outlineLevel="1">
      <c r="A52" s="101" t="s">
        <v>576</v>
      </c>
      <c r="B52" s="102">
        <f>0/unit</f>
        <v>0</v>
      </c>
      <c r="C52" s="102">
        <f>0/unit</f>
        <v>0</v>
      </c>
      <c r="D52" s="102">
        <f>0/unit</f>
        <v>0</v>
      </c>
      <c r="E52" s="102">
        <f>0/unit</f>
        <v>0</v>
      </c>
      <c r="F52" s="102">
        <f>0/unit</f>
        <v>0</v>
      </c>
      <c r="G52" s="102">
        <f>0/unit</f>
        <v>0</v>
      </c>
      <c r="H52" s="102">
        <f>0/unit</f>
        <v>0</v>
      </c>
      <c r="I52" s="102">
        <f>0/unit</f>
        <v>0</v>
      </c>
      <c r="J52" s="102">
        <f>0/unit</f>
        <v>0</v>
      </c>
      <c r="K52" s="102">
        <f>0/unit</f>
        <v>0</v>
      </c>
      <c r="L52" s="102">
        <f>0/unit</f>
        <v>0</v>
      </c>
      <c r="M52" s="102">
        <f>0/unit</f>
        <v>0</v>
      </c>
      <c r="N52" s="102">
        <f>0/unit</f>
        <v>0</v>
      </c>
      <c r="O52" s="102">
        <f>0/unit</f>
        <v>0</v>
      </c>
      <c r="P52" s="102">
        <f>0/unit</f>
        <v>0</v>
      </c>
      <c r="Q52" s="102">
        <f>0/unit</f>
        <v>0</v>
      </c>
      <c r="R52" s="102">
        <f>0/unit</f>
        <v>0</v>
      </c>
      <c r="S52" s="102">
        <f>0/unit</f>
        <v>0</v>
      </c>
      <c r="T52" s="102">
        <f>0/unit</f>
        <v>0</v>
      </c>
    </row>
    <row r="53" spans="1:20" outlineLevel="1">
      <c r="A53" s="101" t="s">
        <v>577</v>
      </c>
      <c r="B53" s="102">
        <f>0/unit</f>
        <v>0</v>
      </c>
      <c r="C53" s="102">
        <f>0/unit</f>
        <v>0</v>
      </c>
      <c r="D53" s="102">
        <f>0/unit</f>
        <v>0</v>
      </c>
      <c r="E53" s="102">
        <f>0/unit</f>
        <v>0</v>
      </c>
      <c r="F53" s="102">
        <f>0/unit</f>
        <v>0</v>
      </c>
      <c r="G53" s="102">
        <f>0/unit</f>
        <v>0</v>
      </c>
      <c r="H53" s="102">
        <f>0/unit</f>
        <v>0</v>
      </c>
      <c r="I53" s="102">
        <f>0/unit</f>
        <v>0</v>
      </c>
      <c r="J53" s="102">
        <f>0/unit</f>
        <v>0</v>
      </c>
      <c r="K53" s="102">
        <f>0/unit</f>
        <v>0</v>
      </c>
      <c r="L53" s="102">
        <f>0/unit</f>
        <v>0</v>
      </c>
      <c r="M53" s="102">
        <f>0/unit</f>
        <v>0</v>
      </c>
      <c r="N53" s="102">
        <f>0/unit</f>
        <v>0</v>
      </c>
      <c r="O53" s="102">
        <f>0/unit</f>
        <v>0</v>
      </c>
      <c r="P53" s="102">
        <f>0/unit</f>
        <v>0</v>
      </c>
      <c r="Q53" s="102">
        <f>0/unit</f>
        <v>0</v>
      </c>
      <c r="R53" s="102">
        <f>0/unit</f>
        <v>0</v>
      </c>
      <c r="S53" s="102">
        <f>0/unit</f>
        <v>0</v>
      </c>
      <c r="T53" s="102">
        <f>0/unit</f>
        <v>0</v>
      </c>
    </row>
    <row r="54" spans="1:20" outlineLevel="1">
      <c r="A54" s="99" t="s">
        <v>578</v>
      </c>
      <c r="B54" s="100">
        <f>47088678.2/unit</f>
        <v>0.470886782</v>
      </c>
      <c r="C54" s="100">
        <f>70487647.9/unit</f>
        <v>0.70487647900000006</v>
      </c>
      <c r="D54" s="100">
        <f>73445174.94/unit</f>
        <v>0.73445174940000002</v>
      </c>
      <c r="E54" s="100">
        <f>70514195.77/unit</f>
        <v>0.70514195769999999</v>
      </c>
      <c r="F54" s="100">
        <f>75401601.33/unit</f>
        <v>0.75401601330000001</v>
      </c>
      <c r="G54" s="100">
        <f>99033024.68/unit</f>
        <v>0.99033024680000004</v>
      </c>
      <c r="H54" s="100">
        <f>94553774.77/unit</f>
        <v>0.94553774769999999</v>
      </c>
      <c r="I54" s="100">
        <f>89063031.98/unit</f>
        <v>0.89063031980000007</v>
      </c>
      <c r="J54" s="100">
        <f>64544653.21/unit</f>
        <v>0.64544653210000003</v>
      </c>
      <c r="K54" s="100">
        <f>111218256.8/unit</f>
        <v>1.1121825679999999</v>
      </c>
      <c r="L54" s="100">
        <f>84103555.92/unit</f>
        <v>0.84103555920000006</v>
      </c>
      <c r="M54" s="100">
        <f>84177337.9/unit</f>
        <v>0.84177337900000004</v>
      </c>
      <c r="N54" s="100">
        <f>102986077.15/unit</f>
        <v>1.0298607715000001</v>
      </c>
      <c r="O54" s="100">
        <f>126415821.78/unit</f>
        <v>1.2641582177999999</v>
      </c>
      <c r="P54" s="100">
        <f>136195503.84/unit</f>
        <v>1.3619550384000001</v>
      </c>
      <c r="Q54" s="100">
        <f>117372554.22/unit</f>
        <v>1.1737255421999999</v>
      </c>
      <c r="R54" s="100">
        <f>85349551.28/unit</f>
        <v>0.85349551280000002</v>
      </c>
      <c r="S54" s="100">
        <f>113085499.29/unit</f>
        <v>1.1308549929</v>
      </c>
      <c r="T54" s="100">
        <f>103217986.99/unit</f>
        <v>1.0321798699</v>
      </c>
    </row>
    <row r="55" spans="1:20" outlineLevel="1">
      <c r="A55" s="101" t="s">
        <v>579</v>
      </c>
      <c r="B55" s="102">
        <f>-521322.86/unit</f>
        <v>-5.2132285999999996E-3</v>
      </c>
      <c r="C55" s="102">
        <f>-383549.44/unit</f>
        <v>-3.8354944000000002E-3</v>
      </c>
      <c r="D55" s="102">
        <f>-351739.47/unit</f>
        <v>-3.5173946999999999E-3</v>
      </c>
      <c r="E55" s="102">
        <f>-585613.67/unit</f>
        <v>-5.8561367000000003E-3</v>
      </c>
      <c r="F55" s="102">
        <f>-368905.83/unit</f>
        <v>-3.6890583000000004E-3</v>
      </c>
      <c r="G55" s="102">
        <f>-421486.78/unit</f>
        <v>-4.2148678E-3</v>
      </c>
      <c r="H55" s="102">
        <f>-255653.15/unit</f>
        <v>-2.5565315000000001E-3</v>
      </c>
      <c r="I55" s="102">
        <f>-33979.5600000001/unit</f>
        <v>-3.3979560000000101E-4</v>
      </c>
      <c r="J55" s="102">
        <f>-361091.04/unit</f>
        <v>-3.6109103999999999E-3</v>
      </c>
      <c r="K55" s="102">
        <f>2300517.87/unit</f>
        <v>2.30051787E-2</v>
      </c>
      <c r="L55" s="102">
        <f>1302383.4/unit</f>
        <v>1.3023834E-2</v>
      </c>
      <c r="M55" s="102">
        <f>-472039.42/unit</f>
        <v>-4.7203942000000002E-3</v>
      </c>
      <c r="N55" s="102">
        <f>1038442.77/unit</f>
        <v>1.0384427700000001E-2</v>
      </c>
      <c r="O55" s="102">
        <f>2039625.62/unit</f>
        <v>2.0396256200000001E-2</v>
      </c>
      <c r="P55" s="102">
        <f>1160092.11/unit</f>
        <v>1.1600921100000001E-2</v>
      </c>
      <c r="Q55" s="102">
        <f>147425.8/unit</f>
        <v>1.4742579999999998E-3</v>
      </c>
      <c r="R55" s="102">
        <f>1454489.39/unit</f>
        <v>1.45448939E-2</v>
      </c>
      <c r="S55" s="102">
        <f>1886023.65/unit</f>
        <v>1.8860236499999999E-2</v>
      </c>
      <c r="T55" s="102">
        <f>1533798.41/unit</f>
        <v>1.5337984099999999E-2</v>
      </c>
    </row>
    <row r="56" spans="1:20" outlineLevel="1">
      <c r="A56" s="99" t="s">
        <v>580</v>
      </c>
      <c r="B56" s="100">
        <f>47610001.06/unit</f>
        <v>0.47610001060000001</v>
      </c>
      <c r="C56" s="100">
        <f>70871197.34/unit</f>
        <v>0.70871197340000003</v>
      </c>
      <c r="D56" s="100">
        <f>73796914.41/unit</f>
        <v>0.73796914409999992</v>
      </c>
      <c r="E56" s="100">
        <f>71099809.44/unit</f>
        <v>0.71099809439999995</v>
      </c>
      <c r="F56" s="100">
        <f>75770507.16/unit</f>
        <v>0.7577050716</v>
      </c>
      <c r="G56" s="100">
        <f>99454511.46/unit</f>
        <v>0.99454511459999995</v>
      </c>
      <c r="H56" s="100">
        <f>94809427.92/unit</f>
        <v>0.9480942792</v>
      </c>
      <c r="I56" s="100">
        <f>89097011.54/unit</f>
        <v>0.89097011540000004</v>
      </c>
      <c r="J56" s="100">
        <f>64905744.25/unit</f>
        <v>0.64905744249999997</v>
      </c>
      <c r="K56" s="100">
        <f>108917738.93/unit</f>
        <v>1.0891773893000001</v>
      </c>
      <c r="L56" s="100">
        <f>82801172.52/unit</f>
        <v>0.82801172519999999</v>
      </c>
      <c r="M56" s="100">
        <f>84649377.32/unit</f>
        <v>0.84649377319999997</v>
      </c>
      <c r="N56" s="100">
        <f>101947634.38/unit</f>
        <v>1.0194763437999999</v>
      </c>
      <c r="O56" s="100">
        <f>124376196.16/unit</f>
        <v>1.2437619616</v>
      </c>
      <c r="P56" s="100">
        <f>135035411.73/unit</f>
        <v>1.3503541173</v>
      </c>
      <c r="Q56" s="100">
        <f>117225128.42/unit</f>
        <v>1.1722512841999999</v>
      </c>
      <c r="R56" s="100">
        <f>83895061.89/unit</f>
        <v>0.8389506189</v>
      </c>
      <c r="S56" s="100">
        <f>111199475.64/unit</f>
        <v>1.1119947563999999</v>
      </c>
      <c r="T56" s="100">
        <f>101684188.58/unit</f>
        <v>1.0168418857999999</v>
      </c>
    </row>
    <row r="57" spans="1:20" outlineLevel="1">
      <c r="A57" s="99" t="s">
        <v>581</v>
      </c>
      <c r="B57" s="102"/>
      <c r="C57" s="102"/>
      <c r="D57" s="102"/>
      <c r="E57" s="102"/>
      <c r="F57" s="102"/>
      <c r="G57" s="102"/>
      <c r="H57" s="102"/>
      <c r="I57" s="102"/>
      <c r="J57" s="102"/>
      <c r="K57" s="102"/>
      <c r="L57" s="102"/>
      <c r="M57" s="102"/>
      <c r="N57" s="102"/>
      <c r="O57" s="102"/>
      <c r="P57" s="102"/>
      <c r="Q57" s="102"/>
      <c r="R57" s="102"/>
      <c r="S57" s="102"/>
      <c r="T57" s="102"/>
    </row>
    <row r="58" spans="1:20" outlineLevel="1">
      <c r="A58" s="101" t="s">
        <v>582</v>
      </c>
      <c r="B58" s="102">
        <f>0.06/unit</f>
        <v>6E-10</v>
      </c>
      <c r="C58" s="102">
        <f>0.1/unit</f>
        <v>1.0000000000000001E-9</v>
      </c>
      <c r="D58" s="102">
        <f>0.1/unit</f>
        <v>1.0000000000000001E-9</v>
      </c>
      <c r="E58" s="102">
        <f>0.1/unit</f>
        <v>1.0000000000000001E-9</v>
      </c>
      <c r="F58" s="102">
        <f>0.1/unit</f>
        <v>1.0000000000000001E-9</v>
      </c>
      <c r="G58" s="102">
        <f>0.14/unit</f>
        <v>1.4000000000000001E-9</v>
      </c>
      <c r="H58" s="102">
        <f>0.13/unit</f>
        <v>1.3000000000000001E-9</v>
      </c>
      <c r="I58" s="102">
        <f>0.12/unit</f>
        <v>1.2E-9</v>
      </c>
      <c r="J58" s="102">
        <f>0.09/unit</f>
        <v>8.9999999999999999E-10</v>
      </c>
      <c r="K58" s="102">
        <f>0.14/unit</f>
        <v>1.4000000000000001E-9</v>
      </c>
      <c r="L58" s="102">
        <f>0.11/unit</f>
        <v>1.0999999999999999E-9</v>
      </c>
      <c r="M58" s="102">
        <f>0.1/unit</f>
        <v>1.0000000000000001E-9</v>
      </c>
      <c r="N58" s="102">
        <f>0.12/unit</f>
        <v>1.2E-9</v>
      </c>
      <c r="O58" s="102">
        <f>0.16/unit</f>
        <v>1.6000000000000001E-9</v>
      </c>
      <c r="P58" s="102">
        <f>0.16/unit</f>
        <v>1.6000000000000001E-9</v>
      </c>
      <c r="Q58" s="102">
        <f>0.15/unit</f>
        <v>1.5E-9</v>
      </c>
      <c r="R58" s="102">
        <f>0.1/unit</f>
        <v>1.0000000000000001E-9</v>
      </c>
      <c r="S58" s="102">
        <f>0.14/unit</f>
        <v>1.4000000000000001E-9</v>
      </c>
      <c r="T58" s="102">
        <f>0.13/unit</f>
        <v>1.3000000000000001E-9</v>
      </c>
    </row>
    <row r="59" spans="1:20" outlineLevel="1">
      <c r="A59" s="101" t="s">
        <v>583</v>
      </c>
      <c r="B59" s="102">
        <f>0.06/unit</f>
        <v>6E-10</v>
      </c>
      <c r="C59" s="102">
        <f>0.1/unit</f>
        <v>1.0000000000000001E-9</v>
      </c>
      <c r="D59" s="102">
        <f>0.1/unit</f>
        <v>1.0000000000000001E-9</v>
      </c>
      <c r="E59" s="102">
        <f>0.1/unit</f>
        <v>1.0000000000000001E-9</v>
      </c>
      <c r="F59" s="102">
        <f>0.1/unit</f>
        <v>1.0000000000000001E-9</v>
      </c>
      <c r="G59" s="102">
        <f>0.14/unit</f>
        <v>1.4000000000000001E-9</v>
      </c>
      <c r="H59" s="102">
        <f>0.13/unit</f>
        <v>1.3000000000000001E-9</v>
      </c>
      <c r="I59" s="102">
        <f>0.12/unit</f>
        <v>1.2E-9</v>
      </c>
      <c r="J59" s="102">
        <f>0.09/unit</f>
        <v>8.9999999999999999E-10</v>
      </c>
      <c r="K59" s="102">
        <f>0.14/unit</f>
        <v>1.4000000000000001E-9</v>
      </c>
      <c r="L59" s="102">
        <f>0.11/unit</f>
        <v>1.0999999999999999E-9</v>
      </c>
      <c r="M59" s="102">
        <f>0.1/unit</f>
        <v>1.0000000000000001E-9</v>
      </c>
      <c r="N59" s="102">
        <f>0.12/unit</f>
        <v>1.2E-9</v>
      </c>
      <c r="O59" s="102">
        <f>0.16/unit</f>
        <v>1.6000000000000001E-9</v>
      </c>
      <c r="P59" s="102">
        <f>0.16/unit</f>
        <v>1.6000000000000001E-9</v>
      </c>
      <c r="Q59" s="102">
        <f>0.15/unit</f>
        <v>1.5E-9</v>
      </c>
      <c r="R59" s="102">
        <f>0.1/unit</f>
        <v>1.0000000000000001E-9</v>
      </c>
      <c r="S59" s="102">
        <f>0.14/unit</f>
        <v>1.4000000000000001E-9</v>
      </c>
      <c r="T59" s="102">
        <f>0.13/unit</f>
        <v>1.3000000000000001E-9</v>
      </c>
    </row>
    <row r="60" spans="1:20" s="75" customFormat="1" ht="15.35">
      <c r="A60" s="101"/>
      <c r="B60" s="104"/>
      <c r="C60" s="104"/>
      <c r="D60" s="104"/>
      <c r="E60" s="104"/>
      <c r="F60" s="104"/>
      <c r="G60" s="104"/>
      <c r="H60" s="104"/>
      <c r="I60" s="104"/>
      <c r="J60" s="104"/>
      <c r="K60" s="104"/>
      <c r="L60" s="104"/>
      <c r="M60" s="104"/>
      <c r="N60" s="104"/>
      <c r="O60" s="104"/>
      <c r="P60" s="104"/>
      <c r="Q60" s="104"/>
      <c r="R60" s="104"/>
      <c r="S60" s="104"/>
      <c r="T60" s="104"/>
    </row>
    <row r="61" spans="1:20" s="75" customFormat="1" ht="15.35">
      <c r="A61" s="101" t="s">
        <v>1731</v>
      </c>
      <c r="B61" s="104"/>
      <c r="C61" s="104"/>
      <c r="D61" s="104"/>
      <c r="E61" s="104"/>
      <c r="F61" s="104"/>
      <c r="G61" s="104"/>
      <c r="H61" s="104"/>
      <c r="I61" s="104"/>
      <c r="J61" s="104"/>
      <c r="K61" s="104"/>
      <c r="L61" s="104"/>
      <c r="M61" s="104"/>
      <c r="N61" s="104"/>
      <c r="O61" s="104"/>
      <c r="P61" s="104"/>
      <c r="Q61" s="104"/>
      <c r="R61" s="104"/>
      <c r="S61" s="104"/>
      <c r="T61" s="104"/>
    </row>
    <row r="62" spans="1:20" s="75" customFormat="1" ht="15.35" hidden="1" outlineLevel="1">
      <c r="A62" s="105" t="s">
        <v>1732</v>
      </c>
      <c r="B62" s="104"/>
      <c r="C62" s="104"/>
      <c r="D62" s="104"/>
      <c r="E62" s="104"/>
      <c r="F62" s="104"/>
      <c r="G62" s="104"/>
      <c r="H62" s="104"/>
      <c r="I62" s="104"/>
      <c r="J62" s="104"/>
      <c r="K62" s="104"/>
      <c r="L62" s="104"/>
      <c r="M62" s="104"/>
      <c r="N62" s="104"/>
      <c r="O62" s="104"/>
      <c r="P62" s="104"/>
      <c r="Q62" s="104"/>
      <c r="R62" s="104"/>
      <c r="S62" s="104"/>
      <c r="T62" s="104"/>
    </row>
    <row r="63" spans="1:20" hidden="1" outlineLevel="1">
      <c r="A63" s="101" t="s">
        <v>586</v>
      </c>
      <c r="B63" s="106"/>
      <c r="C63" s="106"/>
      <c r="D63" s="106"/>
      <c r="E63" s="106"/>
      <c r="F63" s="106"/>
      <c r="G63" s="106"/>
      <c r="H63" s="106"/>
      <c r="I63" s="106"/>
      <c r="J63" s="106"/>
      <c r="K63" s="106"/>
      <c r="L63" s="106"/>
      <c r="M63" s="106"/>
      <c r="N63" s="106"/>
      <c r="O63" s="106"/>
      <c r="P63" s="106"/>
      <c r="Q63" s="106"/>
      <c r="R63" s="106"/>
      <c r="S63" s="106"/>
      <c r="T63" s="106"/>
    </row>
    <row r="64" spans="1:20" hidden="1" outlineLevel="1">
      <c r="A64" s="101" t="s">
        <v>587</v>
      </c>
      <c r="B64" s="106"/>
      <c r="C64" s="106"/>
      <c r="D64" s="106"/>
      <c r="E64" s="106"/>
      <c r="F64" s="106"/>
      <c r="G64" s="106"/>
      <c r="H64" s="106"/>
      <c r="I64" s="106"/>
      <c r="J64" s="106"/>
      <c r="K64" s="106"/>
      <c r="L64" s="106"/>
      <c r="M64" s="106"/>
      <c r="N64" s="106"/>
      <c r="O64" s="106"/>
      <c r="P64" s="106"/>
      <c r="Q64" s="106"/>
      <c r="R64" s="106"/>
      <c r="S64" s="106"/>
      <c r="T64" s="106"/>
    </row>
    <row r="65" spans="1:20" hidden="1" outlineLevel="1">
      <c r="A65" s="101" t="s">
        <v>588</v>
      </c>
      <c r="B65" s="106"/>
      <c r="C65" s="106"/>
      <c r="D65" s="106"/>
      <c r="E65" s="106"/>
      <c r="F65" s="106"/>
      <c r="G65" s="106"/>
      <c r="H65" s="106"/>
      <c r="I65" s="106"/>
      <c r="J65" s="106"/>
      <c r="K65" s="106"/>
      <c r="L65" s="106"/>
      <c r="M65" s="106"/>
      <c r="N65" s="106"/>
      <c r="O65" s="106"/>
      <c r="P65" s="106"/>
      <c r="Q65" s="106"/>
      <c r="R65" s="106"/>
      <c r="S65" s="106"/>
      <c r="T65" s="106"/>
    </row>
    <row r="66" spans="1:20" hidden="1" outlineLevel="1">
      <c r="A66" s="101" t="s">
        <v>1733</v>
      </c>
      <c r="B66" s="106"/>
      <c r="C66" s="106"/>
      <c r="D66" s="106"/>
      <c r="E66" s="106"/>
      <c r="F66" s="106"/>
      <c r="G66" s="106"/>
      <c r="H66" s="106"/>
      <c r="I66" s="106"/>
      <c r="J66" s="106"/>
      <c r="K66" s="106"/>
      <c r="L66" s="106"/>
      <c r="M66" s="106"/>
      <c r="N66" s="106"/>
      <c r="O66" s="106"/>
      <c r="P66" s="106"/>
      <c r="Q66" s="106"/>
      <c r="R66" s="106"/>
      <c r="S66" s="106"/>
      <c r="T66" s="106"/>
    </row>
    <row r="67" spans="1:20" hidden="1" outlineLevel="1">
      <c r="A67" s="101" t="s">
        <v>1734</v>
      </c>
      <c r="B67" s="106"/>
      <c r="C67" s="106"/>
      <c r="D67" s="106"/>
      <c r="E67" s="106"/>
      <c r="F67" s="106"/>
      <c r="G67" s="106"/>
      <c r="H67" s="106"/>
      <c r="I67" s="106"/>
      <c r="J67" s="106"/>
      <c r="K67" s="106"/>
      <c r="L67" s="106"/>
      <c r="M67" s="106"/>
      <c r="N67" s="106"/>
      <c r="O67" s="106"/>
      <c r="P67" s="106"/>
      <c r="Q67" s="106"/>
      <c r="R67" s="106"/>
      <c r="S67" s="106"/>
      <c r="T67" s="106"/>
    </row>
    <row r="68" spans="1:20" hidden="1" outlineLevel="1">
      <c r="A68" s="101" t="s">
        <v>1735</v>
      </c>
      <c r="B68" s="106"/>
      <c r="C68" s="106"/>
      <c r="D68" s="106"/>
      <c r="E68" s="106"/>
      <c r="F68" s="106"/>
      <c r="G68" s="106"/>
      <c r="H68" s="106"/>
      <c r="I68" s="106"/>
      <c r="J68" s="106"/>
      <c r="K68" s="106"/>
      <c r="L68" s="106"/>
      <c r="M68" s="106"/>
      <c r="N68" s="106"/>
      <c r="O68" s="106"/>
      <c r="P68" s="106"/>
      <c r="Q68" s="106"/>
      <c r="R68" s="106"/>
      <c r="S68" s="106"/>
      <c r="T68" s="106"/>
    </row>
    <row r="69" spans="1:20" hidden="1" outlineLevel="1">
      <c r="A69" s="101" t="s">
        <v>597</v>
      </c>
      <c r="B69" s="106"/>
      <c r="C69" s="106"/>
      <c r="D69" s="106"/>
      <c r="E69" s="106"/>
      <c r="F69" s="106"/>
      <c r="G69" s="106"/>
      <c r="H69" s="106"/>
      <c r="I69" s="106"/>
      <c r="J69" s="106"/>
      <c r="K69" s="106"/>
      <c r="L69" s="106"/>
      <c r="M69" s="106"/>
      <c r="N69" s="106"/>
      <c r="O69" s="106"/>
      <c r="P69" s="106"/>
      <c r="Q69" s="106"/>
      <c r="R69" s="106"/>
      <c r="S69" s="106"/>
      <c r="T69" s="106"/>
    </row>
    <row r="70" spans="1:20" hidden="1" outlineLevel="1">
      <c r="A70" s="101" t="s">
        <v>598</v>
      </c>
      <c r="B70" s="106"/>
      <c r="C70" s="106"/>
      <c r="D70" s="106"/>
      <c r="E70" s="106"/>
      <c r="F70" s="106"/>
      <c r="G70" s="106"/>
      <c r="H70" s="106"/>
      <c r="I70" s="106"/>
      <c r="J70" s="106"/>
      <c r="K70" s="106"/>
      <c r="L70" s="106"/>
      <c r="M70" s="106"/>
      <c r="N70" s="106"/>
      <c r="O70" s="106"/>
      <c r="P70" s="106"/>
      <c r="Q70" s="106"/>
      <c r="R70" s="106"/>
      <c r="S70" s="106"/>
      <c r="T70" s="106"/>
    </row>
    <row r="71" spans="1:20" hidden="1" outlineLevel="1">
      <c r="A71" s="101" t="s">
        <v>599</v>
      </c>
      <c r="B71" s="106"/>
      <c r="C71" s="106"/>
      <c r="D71" s="106"/>
      <c r="E71" s="106"/>
      <c r="F71" s="106"/>
      <c r="G71" s="106"/>
      <c r="H71" s="106"/>
      <c r="I71" s="106"/>
      <c r="J71" s="106"/>
      <c r="K71" s="106"/>
      <c r="L71" s="106"/>
      <c r="M71" s="106"/>
      <c r="N71" s="106"/>
      <c r="O71" s="106"/>
      <c r="P71" s="106"/>
      <c r="Q71" s="106"/>
      <c r="R71" s="106"/>
      <c r="S71" s="106"/>
      <c r="T71" s="106"/>
    </row>
    <row r="72" spans="1:20" hidden="1" outlineLevel="1">
      <c r="A72" s="101" t="s">
        <v>600</v>
      </c>
      <c r="B72" s="106"/>
      <c r="C72" s="106"/>
      <c r="D72" s="106"/>
      <c r="E72" s="106"/>
      <c r="F72" s="106"/>
      <c r="G72" s="106"/>
      <c r="H72" s="106"/>
      <c r="I72" s="106"/>
      <c r="J72" s="106"/>
      <c r="K72" s="106"/>
      <c r="L72" s="106"/>
      <c r="M72" s="106"/>
      <c r="N72" s="106"/>
      <c r="O72" s="106"/>
      <c r="P72" s="106"/>
      <c r="Q72" s="106"/>
      <c r="R72" s="106"/>
      <c r="S72" s="106"/>
      <c r="T72" s="106"/>
    </row>
    <row r="73" spans="1:20" hidden="1" outlineLevel="1">
      <c r="A73" s="101" t="s">
        <v>601</v>
      </c>
      <c r="B73" s="106"/>
      <c r="C73" s="106"/>
      <c r="D73" s="106"/>
      <c r="E73" s="106"/>
      <c r="F73" s="106"/>
      <c r="G73" s="106"/>
      <c r="H73" s="106"/>
      <c r="I73" s="106"/>
      <c r="J73" s="106"/>
      <c r="K73" s="106"/>
      <c r="L73" s="106"/>
      <c r="M73" s="106"/>
      <c r="N73" s="106"/>
      <c r="O73" s="106"/>
      <c r="P73" s="106"/>
      <c r="Q73" s="106"/>
      <c r="R73" s="106"/>
      <c r="S73" s="106"/>
      <c r="T73" s="106"/>
    </row>
    <row r="74" spans="1:20" hidden="1" outlineLevel="1">
      <c r="A74" s="101" t="s">
        <v>1736</v>
      </c>
      <c r="B74" s="106"/>
      <c r="C74" s="106"/>
      <c r="D74" s="106"/>
      <c r="E74" s="106"/>
      <c r="F74" s="106"/>
      <c r="G74" s="106"/>
      <c r="H74" s="106"/>
      <c r="I74" s="106"/>
      <c r="J74" s="106"/>
      <c r="K74" s="106"/>
      <c r="L74" s="106"/>
      <c r="M74" s="106"/>
      <c r="N74" s="106"/>
      <c r="O74" s="106"/>
      <c r="P74" s="106"/>
      <c r="Q74" s="106"/>
      <c r="R74" s="106"/>
      <c r="S74" s="106"/>
      <c r="T74" s="106"/>
    </row>
    <row r="75" spans="1:20" hidden="1" outlineLevel="1">
      <c r="A75" s="101" t="s">
        <v>1737</v>
      </c>
      <c r="B75" s="106"/>
      <c r="C75" s="106"/>
      <c r="D75" s="106"/>
      <c r="E75" s="106"/>
      <c r="F75" s="106"/>
      <c r="G75" s="106"/>
      <c r="H75" s="106"/>
      <c r="I75" s="106"/>
      <c r="J75" s="106"/>
      <c r="K75" s="106"/>
      <c r="L75" s="106"/>
      <c r="M75" s="106"/>
      <c r="N75" s="106"/>
      <c r="O75" s="106"/>
      <c r="P75" s="106"/>
      <c r="Q75" s="106"/>
      <c r="R75" s="106"/>
      <c r="S75" s="106"/>
      <c r="T75" s="106"/>
    </row>
    <row r="76" spans="1:20" hidden="1" outlineLevel="1">
      <c r="A76" s="101" t="s">
        <v>1738</v>
      </c>
      <c r="B76" s="109"/>
      <c r="C76" s="426"/>
      <c r="D76" s="426"/>
      <c r="E76" s="426"/>
      <c r="F76" s="426"/>
      <c r="G76" s="426"/>
      <c r="H76" s="426"/>
      <c r="I76" s="426"/>
      <c r="J76" s="426"/>
      <c r="K76" s="426"/>
      <c r="L76" s="426"/>
      <c r="M76" s="426"/>
      <c r="N76" s="426"/>
      <c r="O76" s="426"/>
      <c r="P76" s="426"/>
      <c r="Q76" s="426"/>
      <c r="R76" s="426"/>
      <c r="S76" s="426"/>
      <c r="T76" s="426"/>
    </row>
    <row r="77" spans="1:20" hidden="1" outlineLevel="1">
      <c r="A77" s="101" t="s">
        <v>1739</v>
      </c>
      <c r="B77" s="106"/>
      <c r="C77" s="106"/>
      <c r="D77" s="106"/>
      <c r="E77" s="106"/>
      <c r="F77" s="106"/>
      <c r="G77" s="106"/>
      <c r="H77" s="106"/>
      <c r="I77" s="106"/>
      <c r="J77" s="106"/>
      <c r="K77" s="106"/>
      <c r="L77" s="106"/>
      <c r="M77" s="106"/>
      <c r="N77" s="106"/>
      <c r="O77" s="106"/>
      <c r="P77" s="106"/>
      <c r="Q77" s="106"/>
      <c r="R77" s="106"/>
      <c r="S77" s="106"/>
      <c r="T77" s="106"/>
    </row>
    <row r="78" spans="1:20" hidden="1" outlineLevel="1">
      <c r="A78" s="101" t="s">
        <v>1740</v>
      </c>
      <c r="B78" s="106"/>
      <c r="C78" s="106"/>
      <c r="D78" s="106"/>
      <c r="E78" s="106"/>
      <c r="F78" s="106"/>
      <c r="G78" s="106"/>
      <c r="H78" s="106"/>
      <c r="I78" s="106"/>
      <c r="J78" s="106"/>
      <c r="K78" s="106"/>
      <c r="L78" s="106"/>
      <c r="M78" s="106"/>
      <c r="N78" s="106"/>
      <c r="O78" s="106"/>
      <c r="P78" s="106"/>
      <c r="Q78" s="106"/>
      <c r="R78" s="106"/>
      <c r="S78" s="106"/>
      <c r="T78" s="106"/>
    </row>
    <row r="79" spans="1:20" hidden="1" outlineLevel="1">
      <c r="A79" s="101" t="s">
        <v>613</v>
      </c>
      <c r="B79" s="109"/>
      <c r="C79" s="426"/>
      <c r="D79" s="426"/>
      <c r="E79" s="426"/>
      <c r="F79" s="426"/>
      <c r="G79" s="426"/>
      <c r="H79" s="426"/>
      <c r="I79" s="426"/>
      <c r="J79" s="426"/>
      <c r="K79" s="426"/>
      <c r="L79" s="426"/>
      <c r="M79" s="426"/>
      <c r="N79" s="426"/>
      <c r="O79" s="426"/>
      <c r="P79" s="426"/>
      <c r="Q79" s="426"/>
      <c r="R79" s="426"/>
      <c r="S79" s="426"/>
      <c r="T79" s="426"/>
    </row>
    <row r="80" spans="1:20" hidden="1" outlineLevel="1">
      <c r="A80" s="101" t="s">
        <v>1741</v>
      </c>
      <c r="B80" s="106"/>
      <c r="C80" s="106"/>
      <c r="D80" s="106"/>
      <c r="E80" s="106"/>
      <c r="F80" s="106"/>
      <c r="G80" s="106"/>
      <c r="H80" s="106"/>
      <c r="I80" s="106"/>
      <c r="J80" s="106"/>
      <c r="K80" s="106"/>
      <c r="L80" s="106"/>
      <c r="M80" s="106"/>
      <c r="N80" s="106"/>
      <c r="O80" s="106"/>
      <c r="P80" s="106"/>
      <c r="Q80" s="106"/>
      <c r="R80" s="106"/>
      <c r="S80" s="106"/>
      <c r="T80" s="106"/>
    </row>
    <row r="81" spans="1:20" hidden="1" outlineLevel="1">
      <c r="A81" s="101" t="s">
        <v>615</v>
      </c>
      <c r="B81" s="106"/>
      <c r="C81" s="106"/>
      <c r="D81" s="106"/>
      <c r="E81" s="106"/>
      <c r="F81" s="106"/>
      <c r="G81" s="106"/>
      <c r="H81" s="106"/>
      <c r="I81" s="106"/>
      <c r="J81" s="106"/>
      <c r="K81" s="106"/>
      <c r="L81" s="106"/>
      <c r="M81" s="106"/>
      <c r="N81" s="106"/>
      <c r="O81" s="106"/>
      <c r="P81" s="106"/>
      <c r="Q81" s="106"/>
      <c r="R81" s="106"/>
      <c r="S81" s="106"/>
      <c r="T81" s="106"/>
    </row>
    <row r="82" spans="1:20" hidden="1" outlineLevel="1">
      <c r="A82" s="101" t="s">
        <v>1742</v>
      </c>
      <c r="B82" s="109"/>
      <c r="C82" s="426"/>
      <c r="D82" s="426"/>
      <c r="E82" s="426"/>
      <c r="F82" s="426"/>
      <c r="G82" s="426"/>
      <c r="H82" s="426"/>
      <c r="I82" s="426"/>
      <c r="J82" s="426"/>
      <c r="K82" s="426"/>
      <c r="L82" s="426"/>
      <c r="M82" s="426"/>
      <c r="N82" s="426"/>
      <c r="O82" s="426"/>
      <c r="P82" s="426"/>
      <c r="Q82" s="426"/>
      <c r="R82" s="426"/>
      <c r="S82" s="426"/>
      <c r="T82" s="426"/>
    </row>
    <row r="83" spans="1:20" hidden="1" outlineLevel="1">
      <c r="A83" s="101" t="s">
        <v>1743</v>
      </c>
      <c r="B83" s="106"/>
      <c r="C83" s="106"/>
      <c r="D83" s="106"/>
      <c r="E83" s="106"/>
      <c r="F83" s="106"/>
      <c r="G83" s="106"/>
      <c r="H83" s="106"/>
      <c r="I83" s="106"/>
      <c r="J83" s="106"/>
      <c r="K83" s="106"/>
      <c r="L83" s="106"/>
      <c r="M83" s="106"/>
      <c r="N83" s="106"/>
      <c r="O83" s="106"/>
      <c r="P83" s="106"/>
      <c r="Q83" s="106"/>
      <c r="R83" s="106"/>
      <c r="S83" s="106"/>
      <c r="T83" s="106"/>
    </row>
    <row r="84" spans="1:20" hidden="1" outlineLevel="1">
      <c r="A84" s="99" t="s">
        <v>618</v>
      </c>
      <c r="B84" s="106"/>
      <c r="C84" s="106"/>
      <c r="D84" s="106"/>
      <c r="E84" s="106"/>
      <c r="F84" s="106"/>
      <c r="G84" s="106"/>
      <c r="H84" s="106"/>
      <c r="I84" s="106"/>
      <c r="J84" s="106"/>
      <c r="K84" s="106"/>
      <c r="L84" s="106"/>
      <c r="M84" s="106"/>
      <c r="N84" s="106"/>
      <c r="O84" s="106"/>
      <c r="P84" s="106"/>
      <c r="Q84" s="106"/>
      <c r="R84" s="106"/>
      <c r="S84" s="106"/>
      <c r="T84" s="106"/>
    </row>
    <row r="85" spans="1:20" hidden="1" outlineLevel="1">
      <c r="A85" s="99" t="s">
        <v>619</v>
      </c>
    </row>
    <row r="86" spans="1:20" hidden="1" outlineLevel="1">
      <c r="A86" s="101" t="s">
        <v>1744</v>
      </c>
    </row>
    <row r="87" spans="1:20" hidden="1" outlineLevel="1">
      <c r="A87" s="101" t="s">
        <v>625</v>
      </c>
    </row>
    <row r="88" spans="1:20" hidden="1" outlineLevel="1">
      <c r="A88" s="101" t="s">
        <v>626</v>
      </c>
    </row>
    <row r="89" spans="1:20" hidden="1" outlineLevel="1">
      <c r="A89" s="101" t="s">
        <v>627</v>
      </c>
    </row>
    <row r="90" spans="1:20" hidden="1" outlineLevel="1">
      <c r="A90" s="101" t="s">
        <v>1745</v>
      </c>
    </row>
    <row r="91" spans="1:20" hidden="1" outlineLevel="1">
      <c r="A91" s="101" t="s">
        <v>631</v>
      </c>
    </row>
    <row r="92" spans="1:20" hidden="1" outlineLevel="1">
      <c r="A92" s="101" t="s">
        <v>632</v>
      </c>
    </row>
    <row r="93" spans="1:20" hidden="1" outlineLevel="1">
      <c r="A93" s="101" t="s">
        <v>633</v>
      </c>
    </row>
    <row r="94" spans="1:20" hidden="1" outlineLevel="1">
      <c r="A94" s="101" t="s">
        <v>634</v>
      </c>
    </row>
    <row r="95" spans="1:20" hidden="1" outlineLevel="1">
      <c r="A95" s="101" t="s">
        <v>635</v>
      </c>
    </row>
    <row r="96" spans="1:20" hidden="1" outlineLevel="1">
      <c r="A96" s="101" t="s">
        <v>636</v>
      </c>
    </row>
    <row r="97" spans="1:1" hidden="1" outlineLevel="1">
      <c r="A97" s="101" t="s">
        <v>637</v>
      </c>
    </row>
    <row r="98" spans="1:1" hidden="1" outlineLevel="1">
      <c r="A98" s="101" t="s">
        <v>638</v>
      </c>
    </row>
    <row r="99" spans="1:1" hidden="1" outlineLevel="1">
      <c r="A99" s="101" t="s">
        <v>639</v>
      </c>
    </row>
    <row r="100" spans="1:1" hidden="1" outlineLevel="1">
      <c r="A100" s="101" t="s">
        <v>640</v>
      </c>
    </row>
    <row r="101" spans="1:1" hidden="1" outlineLevel="1">
      <c r="A101" s="101" t="s">
        <v>641</v>
      </c>
    </row>
    <row r="102" spans="1:1" hidden="1" outlineLevel="1">
      <c r="A102" s="101" t="s">
        <v>642</v>
      </c>
    </row>
    <row r="103" spans="1:1" hidden="1" outlineLevel="1">
      <c r="A103" s="101" t="s">
        <v>643</v>
      </c>
    </row>
    <row r="104" spans="1:1" hidden="1" outlineLevel="1">
      <c r="A104" s="101" t="s">
        <v>1746</v>
      </c>
    </row>
    <row r="105" spans="1:1" hidden="1" outlineLevel="1">
      <c r="A105" s="101" t="s">
        <v>1747</v>
      </c>
    </row>
    <row r="106" spans="1:1" hidden="1" outlineLevel="1">
      <c r="A106" s="99" t="s">
        <v>646</v>
      </c>
    </row>
    <row r="107" spans="1:1" hidden="1" outlineLevel="1">
      <c r="A107" s="101" t="s">
        <v>1748</v>
      </c>
    </row>
    <row r="108" spans="1:1" hidden="1" outlineLevel="1">
      <c r="A108" s="101" t="s">
        <v>1749</v>
      </c>
    </row>
    <row r="109" spans="1:1" hidden="1" outlineLevel="1">
      <c r="A109" s="99" t="s">
        <v>649</v>
      </c>
    </row>
    <row r="110" spans="1:1" hidden="1" outlineLevel="1">
      <c r="A110" s="99" t="s">
        <v>650</v>
      </c>
    </row>
    <row r="111" spans="1:1" hidden="1" outlineLevel="1">
      <c r="A111" s="101" t="s">
        <v>651</v>
      </c>
    </row>
    <row r="112" spans="1:1" hidden="1" outlineLevel="1">
      <c r="A112" s="101" t="s">
        <v>652</v>
      </c>
    </row>
    <row r="113" spans="1:1" hidden="1" outlineLevel="1">
      <c r="A113" s="101" t="s">
        <v>1750</v>
      </c>
    </row>
    <row r="114" spans="1:1" hidden="1" outlineLevel="1">
      <c r="A114" s="101" t="s">
        <v>654</v>
      </c>
    </row>
    <row r="115" spans="1:1" hidden="1" outlineLevel="1">
      <c r="A115" s="101" t="s">
        <v>1751</v>
      </c>
    </row>
    <row r="116" spans="1:1" hidden="1" outlineLevel="1">
      <c r="A116" s="101" t="s">
        <v>1752</v>
      </c>
    </row>
    <row r="117" spans="1:1" hidden="1" outlineLevel="1">
      <c r="A117" s="101" t="s">
        <v>1753</v>
      </c>
    </row>
    <row r="118" spans="1:1" hidden="1" outlineLevel="1">
      <c r="A118" s="101" t="s">
        <v>662</v>
      </c>
    </row>
    <row r="119" spans="1:1" hidden="1" outlineLevel="1">
      <c r="A119" s="101" t="s">
        <v>1754</v>
      </c>
    </row>
    <row r="120" spans="1:1" hidden="1" outlineLevel="1">
      <c r="A120" s="101" t="s">
        <v>1755</v>
      </c>
    </row>
    <row r="121" spans="1:1" hidden="1" outlineLevel="1">
      <c r="A121" s="101" t="s">
        <v>666</v>
      </c>
    </row>
    <row r="122" spans="1:1" hidden="1" outlineLevel="1">
      <c r="A122" s="101" t="s">
        <v>667</v>
      </c>
    </row>
    <row r="123" spans="1:1" hidden="1" outlineLevel="1">
      <c r="A123" s="101" t="s">
        <v>668</v>
      </c>
    </row>
    <row r="124" spans="1:1" hidden="1" outlineLevel="1">
      <c r="A124" s="101" t="s">
        <v>672</v>
      </c>
    </row>
    <row r="125" spans="1:1" hidden="1" outlineLevel="1">
      <c r="A125" s="101" t="s">
        <v>1756</v>
      </c>
    </row>
    <row r="126" spans="1:1" hidden="1" outlineLevel="1">
      <c r="A126" s="101" t="s">
        <v>1757</v>
      </c>
    </row>
    <row r="127" spans="1:1" hidden="1" outlineLevel="1">
      <c r="A127" s="101" t="s">
        <v>1758</v>
      </c>
    </row>
    <row r="128" spans="1:1" hidden="1" outlineLevel="1">
      <c r="A128" s="101" t="s">
        <v>1759</v>
      </c>
    </row>
    <row r="129" spans="1:1" hidden="1" outlineLevel="1">
      <c r="A129" s="101" t="s">
        <v>681</v>
      </c>
    </row>
    <row r="130" spans="1:1" hidden="1" outlineLevel="1">
      <c r="A130" s="101" t="s">
        <v>669</v>
      </c>
    </row>
    <row r="131" spans="1:1" hidden="1" outlineLevel="1">
      <c r="A131" s="101" t="s">
        <v>1760</v>
      </c>
    </row>
    <row r="132" spans="1:1" hidden="1" outlineLevel="1">
      <c r="A132" s="101" t="s">
        <v>1761</v>
      </c>
    </row>
    <row r="133" spans="1:1" hidden="1" outlineLevel="1">
      <c r="A133" s="101" t="s">
        <v>1762</v>
      </c>
    </row>
    <row r="134" spans="1:1" hidden="1" outlineLevel="1">
      <c r="A134" s="101" t="s">
        <v>683</v>
      </c>
    </row>
    <row r="135" spans="1:1" hidden="1" outlineLevel="1">
      <c r="A135" s="101" t="s">
        <v>1763</v>
      </c>
    </row>
    <row r="136" spans="1:1" hidden="1" outlineLevel="1">
      <c r="A136" s="101" t="s">
        <v>1764</v>
      </c>
    </row>
    <row r="137" spans="1:1" hidden="1" outlineLevel="1">
      <c r="A137" s="99" t="s">
        <v>686</v>
      </c>
    </row>
    <row r="138" spans="1:1" hidden="1" outlineLevel="1">
      <c r="A138" s="99" t="s">
        <v>687</v>
      </c>
    </row>
    <row r="139" spans="1:1" hidden="1" outlineLevel="1">
      <c r="A139" s="101" t="s">
        <v>688</v>
      </c>
    </row>
    <row r="140" spans="1:1" hidden="1" outlineLevel="1">
      <c r="A140" s="101" t="s">
        <v>690</v>
      </c>
    </row>
    <row r="141" spans="1:1" hidden="1" outlineLevel="1">
      <c r="A141" s="101" t="s">
        <v>693</v>
      </c>
    </row>
    <row r="142" spans="1:1" hidden="1" outlineLevel="1">
      <c r="A142" s="101" t="s">
        <v>695</v>
      </c>
    </row>
    <row r="143" spans="1:1" hidden="1" outlineLevel="1">
      <c r="A143" s="101" t="s">
        <v>696</v>
      </c>
    </row>
    <row r="144" spans="1:1" hidden="1" outlineLevel="1">
      <c r="A144" s="101" t="s">
        <v>697</v>
      </c>
    </row>
    <row r="145" spans="1:1" hidden="1" outlineLevel="1">
      <c r="A145" s="101" t="s">
        <v>1765</v>
      </c>
    </row>
    <row r="146" spans="1:1" hidden="1" outlineLevel="1">
      <c r="A146" s="101" t="s">
        <v>699</v>
      </c>
    </row>
    <row r="147" spans="1:1" hidden="1" outlineLevel="1">
      <c r="A147" s="101" t="s">
        <v>1766</v>
      </c>
    </row>
    <row r="148" spans="1:1" hidden="1" outlineLevel="1">
      <c r="A148" s="101" t="s">
        <v>1767</v>
      </c>
    </row>
    <row r="149" spans="1:1" hidden="1" outlineLevel="1">
      <c r="A149" s="99" t="s">
        <v>702</v>
      </c>
    </row>
    <row r="150" spans="1:1" hidden="1" outlineLevel="1">
      <c r="A150" s="101" t="s">
        <v>1768</v>
      </c>
    </row>
    <row r="151" spans="1:1" hidden="1" outlineLevel="1">
      <c r="A151" s="101" t="s">
        <v>1769</v>
      </c>
    </row>
    <row r="152" spans="1:1" hidden="1" outlineLevel="1">
      <c r="A152" s="99" t="s">
        <v>705</v>
      </c>
    </row>
    <row r="153" spans="1:1" hidden="1" outlineLevel="1">
      <c r="A153" s="99" t="s">
        <v>706</v>
      </c>
    </row>
    <row r="154" spans="1:1" hidden="1" outlineLevel="1">
      <c r="A154" s="101" t="s">
        <v>707</v>
      </c>
    </row>
    <row r="155" spans="1:1" hidden="1" outlineLevel="1">
      <c r="A155" s="101" t="s">
        <v>712</v>
      </c>
    </row>
    <row r="156" spans="1:1" hidden="1" outlineLevel="1">
      <c r="A156" s="101" t="s">
        <v>713</v>
      </c>
    </row>
    <row r="157" spans="1:1" hidden="1" outlineLevel="1">
      <c r="A157" s="101" t="s">
        <v>716</v>
      </c>
    </row>
    <row r="158" spans="1:1" hidden="1" outlineLevel="1">
      <c r="A158" s="101" t="s">
        <v>717</v>
      </c>
    </row>
    <row r="159" spans="1:1" hidden="1" outlineLevel="1">
      <c r="A159" s="101" t="s">
        <v>719</v>
      </c>
    </row>
    <row r="160" spans="1:1" hidden="1" outlineLevel="1">
      <c r="A160" s="101" t="s">
        <v>721</v>
      </c>
    </row>
    <row r="161" spans="1:20" hidden="1" outlineLevel="1">
      <c r="A161" s="101" t="s">
        <v>718</v>
      </c>
    </row>
    <row r="162" spans="1:20" hidden="1" outlineLevel="1">
      <c r="A162" s="101" t="s">
        <v>725</v>
      </c>
    </row>
    <row r="163" spans="1:20" hidden="1" outlineLevel="1">
      <c r="A163" s="101" t="s">
        <v>1770</v>
      </c>
    </row>
    <row r="164" spans="1:20" hidden="1" outlineLevel="1">
      <c r="A164" s="101" t="s">
        <v>1771</v>
      </c>
    </row>
    <row r="165" spans="1:20" hidden="1" outlineLevel="1">
      <c r="A165" s="99" t="s">
        <v>724</v>
      </c>
    </row>
    <row r="166" spans="1:20" hidden="1" outlineLevel="1">
      <c r="A166" s="99" t="s">
        <v>1772</v>
      </c>
    </row>
    <row r="167" spans="1:20" hidden="1" outlineLevel="1">
      <c r="A167" s="101" t="s">
        <v>1773</v>
      </c>
    </row>
    <row r="168" spans="1:20" hidden="1" outlineLevel="1">
      <c r="A168" s="101" t="s">
        <v>1774</v>
      </c>
    </row>
    <row r="169" spans="1:20" hidden="1" outlineLevel="1">
      <c r="A169" s="99" t="s">
        <v>1775</v>
      </c>
    </row>
    <row r="170" spans="1:20" collapsed="1">
      <c r="A170" s="103"/>
    </row>
    <row r="171" spans="1:20">
      <c r="A171" s="97" t="s">
        <v>1776</v>
      </c>
    </row>
    <row r="172" spans="1:20" outlineLevel="1">
      <c r="A172" s="99" t="s">
        <v>733</v>
      </c>
    </row>
    <row r="173" spans="1:20" outlineLevel="1">
      <c r="A173" s="101" t="s">
        <v>734</v>
      </c>
      <c r="B173" s="102"/>
      <c r="C173" s="102"/>
      <c r="D173" s="102"/>
      <c r="E173" s="102"/>
      <c r="F173" s="102"/>
      <c r="G173" s="102"/>
      <c r="H173" s="102"/>
      <c r="I173" s="102"/>
      <c r="J173" s="102"/>
      <c r="K173" s="102"/>
      <c r="L173" s="102"/>
      <c r="M173" s="102"/>
      <c r="N173" s="102"/>
      <c r="O173" s="102"/>
      <c r="P173" s="102"/>
      <c r="Q173" s="102"/>
      <c r="R173" s="102"/>
      <c r="S173" s="102"/>
      <c r="T173" s="102"/>
    </row>
    <row r="174" spans="1:20" outlineLevel="1">
      <c r="A174" s="101" t="s">
        <v>735</v>
      </c>
      <c r="B174" s="102">
        <f>298634212.35/unit</f>
        <v>2.9863421235000001</v>
      </c>
      <c r="C174" s="102">
        <f>325411192.37/unit</f>
        <v>3.2541119237</v>
      </c>
      <c r="D174" s="102">
        <f>332052691.35/unit</f>
        <v>3.3205269135000002</v>
      </c>
      <c r="E174" s="102">
        <f>402043600.9/unit</f>
        <v>4.020436009</v>
      </c>
      <c r="F174" s="102">
        <f>363409374.68/unit</f>
        <v>3.6340937468000001</v>
      </c>
      <c r="G174" s="102">
        <f>372115608.38/unit</f>
        <v>3.7211560838</v>
      </c>
      <c r="H174" s="102">
        <f>360183658.43/unit</f>
        <v>3.6018365843</v>
      </c>
      <c r="I174" s="102">
        <f>464502745.15/unit</f>
        <v>4.6450274514999998</v>
      </c>
      <c r="J174" s="102">
        <f>466919347.02/unit</f>
        <v>4.6691934701999998</v>
      </c>
      <c r="K174" s="102">
        <f>504014370.68/unit</f>
        <v>5.0401437068000003</v>
      </c>
      <c r="L174" s="102">
        <f>525316865.48/unit</f>
        <v>5.2531686548000005</v>
      </c>
      <c r="M174" s="102">
        <f>648619034.3/unit</f>
        <v>6.4861903429999996</v>
      </c>
      <c r="N174" s="102">
        <f>658412494.14/unit</f>
        <v>6.5841249413999998</v>
      </c>
      <c r="O174" s="102">
        <f>585207611.22/unit</f>
        <v>5.8520761122000007</v>
      </c>
      <c r="P174" s="102">
        <f>670931134.12/unit</f>
        <v>6.7093113412000003</v>
      </c>
      <c r="Q174" s="102">
        <f>674152134.81/unit</f>
        <v>6.7415213480999991</v>
      </c>
      <c r="R174" s="102">
        <f>553586302.95/unit</f>
        <v>5.5358630295000006</v>
      </c>
      <c r="S174" s="102">
        <f>645568822.83/unit</f>
        <v>6.4556882283000006</v>
      </c>
      <c r="T174" s="102">
        <f>778530603.88/unit</f>
        <v>7.7853060387999999</v>
      </c>
    </row>
    <row r="175" spans="1:20" outlineLevel="1">
      <c r="A175" s="101" t="s">
        <v>736</v>
      </c>
      <c r="B175" s="102">
        <f>0/unit</f>
        <v>0</v>
      </c>
      <c r="C175" s="102">
        <f>0/unit</f>
        <v>0</v>
      </c>
      <c r="D175" s="102">
        <f>0/unit</f>
        <v>0</v>
      </c>
      <c r="E175" s="102">
        <f>0/unit</f>
        <v>0</v>
      </c>
      <c r="F175" s="102">
        <f>0/unit</f>
        <v>0</v>
      </c>
      <c r="G175" s="102">
        <f>0/unit</f>
        <v>0</v>
      </c>
      <c r="H175" s="102">
        <f>0/unit</f>
        <v>0</v>
      </c>
      <c r="I175" s="102">
        <f>0/unit</f>
        <v>0</v>
      </c>
      <c r="J175" s="102">
        <f>0/unit</f>
        <v>0</v>
      </c>
      <c r="K175" s="102">
        <f>0/unit</f>
        <v>0</v>
      </c>
      <c r="L175" s="102">
        <f>0/unit</f>
        <v>0</v>
      </c>
      <c r="M175" s="102">
        <f>0/unit</f>
        <v>0</v>
      </c>
      <c r="N175" s="102">
        <f>0/unit</f>
        <v>0</v>
      </c>
      <c r="O175" s="102">
        <f>0/unit</f>
        <v>0</v>
      </c>
      <c r="P175" s="102">
        <f>0/unit</f>
        <v>0</v>
      </c>
      <c r="Q175" s="102">
        <f>0/unit</f>
        <v>0</v>
      </c>
      <c r="R175" s="102">
        <f>0/unit</f>
        <v>0</v>
      </c>
      <c r="S175" s="102">
        <f>0/unit</f>
        <v>0</v>
      </c>
      <c r="T175" s="102">
        <f>0/unit</f>
        <v>0</v>
      </c>
    </row>
    <row r="176" spans="1:20" outlineLevel="1">
      <c r="A176" s="101" t="s">
        <v>737</v>
      </c>
      <c r="B176" s="102">
        <f>0/unit</f>
        <v>0</v>
      </c>
      <c r="C176" s="102">
        <f>0/unit</f>
        <v>0</v>
      </c>
      <c r="D176" s="102">
        <f>0/unit</f>
        <v>0</v>
      </c>
      <c r="E176" s="102">
        <f>0/unit</f>
        <v>0</v>
      </c>
      <c r="F176" s="102">
        <f>0/unit</f>
        <v>0</v>
      </c>
      <c r="G176" s="102">
        <f>0/unit</f>
        <v>0</v>
      </c>
      <c r="H176" s="102">
        <f>0/unit</f>
        <v>0</v>
      </c>
      <c r="I176" s="102">
        <f>0/unit</f>
        <v>0</v>
      </c>
      <c r="J176" s="102">
        <f>0/unit</f>
        <v>0</v>
      </c>
      <c r="K176" s="102">
        <f>0/unit</f>
        <v>0</v>
      </c>
      <c r="L176" s="102">
        <f>0/unit</f>
        <v>0</v>
      </c>
      <c r="M176" s="102">
        <f>0/unit</f>
        <v>0</v>
      </c>
      <c r="N176" s="102">
        <f>0/unit</f>
        <v>0</v>
      </c>
      <c r="O176" s="102">
        <f>0/unit</f>
        <v>0</v>
      </c>
      <c r="P176" s="102">
        <f>0/unit</f>
        <v>0</v>
      </c>
      <c r="Q176" s="102">
        <f>0/unit</f>
        <v>0</v>
      </c>
      <c r="R176" s="102">
        <f>0/unit</f>
        <v>0</v>
      </c>
      <c r="S176" s="102">
        <f>0/unit</f>
        <v>0</v>
      </c>
      <c r="T176" s="102">
        <f>0/unit</f>
        <v>0</v>
      </c>
    </row>
    <row r="177" spans="1:20" outlineLevel="1">
      <c r="A177" s="101" t="s">
        <v>738</v>
      </c>
      <c r="B177" s="102">
        <f>0/unit</f>
        <v>0</v>
      </c>
      <c r="C177" s="102">
        <f>0/unit</f>
        <v>0</v>
      </c>
      <c r="D177" s="102">
        <f>0/unit</f>
        <v>0</v>
      </c>
      <c r="E177" s="102">
        <f>0/unit</f>
        <v>0</v>
      </c>
      <c r="F177" s="102">
        <f>0/unit</f>
        <v>0</v>
      </c>
      <c r="G177" s="102">
        <f>0/unit</f>
        <v>0</v>
      </c>
      <c r="H177" s="102">
        <f>0/unit</f>
        <v>0</v>
      </c>
      <c r="I177" s="102">
        <f>0/unit</f>
        <v>0</v>
      </c>
      <c r="J177" s="102">
        <f>0/unit</f>
        <v>0</v>
      </c>
      <c r="K177" s="102">
        <f>0/unit</f>
        <v>0</v>
      </c>
      <c r="L177" s="102">
        <f>0/unit</f>
        <v>0</v>
      </c>
      <c r="M177" s="102">
        <f>0/unit</f>
        <v>0</v>
      </c>
      <c r="N177" s="102">
        <f>0/unit</f>
        <v>0</v>
      </c>
      <c r="O177" s="102">
        <f>0/unit</f>
        <v>0</v>
      </c>
      <c r="P177" s="102">
        <f>0/unit</f>
        <v>0</v>
      </c>
      <c r="Q177" s="102">
        <f>0/unit</f>
        <v>0</v>
      </c>
      <c r="R177" s="102">
        <f>0/unit</f>
        <v>0</v>
      </c>
      <c r="S177" s="102">
        <f>0/unit</f>
        <v>0</v>
      </c>
      <c r="T177" s="102">
        <f>0/unit</f>
        <v>0</v>
      </c>
    </row>
    <row r="178" spans="1:20" outlineLevel="1">
      <c r="A178" s="101" t="s">
        <v>739</v>
      </c>
      <c r="B178" s="102">
        <f>0/unit</f>
        <v>0</v>
      </c>
      <c r="C178" s="102">
        <f>0/unit</f>
        <v>0</v>
      </c>
      <c r="D178" s="102">
        <f>0/unit</f>
        <v>0</v>
      </c>
      <c r="E178" s="102">
        <f>0/unit</f>
        <v>0</v>
      </c>
      <c r="F178" s="102">
        <f>0/unit</f>
        <v>0</v>
      </c>
      <c r="G178" s="102">
        <f>0/unit</f>
        <v>0</v>
      </c>
      <c r="H178" s="102">
        <f>0/unit</f>
        <v>0</v>
      </c>
      <c r="I178" s="102">
        <f>0/unit</f>
        <v>0</v>
      </c>
      <c r="J178" s="102">
        <f>0/unit</f>
        <v>0</v>
      </c>
      <c r="K178" s="102">
        <f>0/unit</f>
        <v>0</v>
      </c>
      <c r="L178" s="102">
        <f>0/unit</f>
        <v>0</v>
      </c>
      <c r="M178" s="102">
        <f>0/unit</f>
        <v>0</v>
      </c>
      <c r="N178" s="102">
        <f>0/unit</f>
        <v>0</v>
      </c>
      <c r="O178" s="102">
        <f>0/unit</f>
        <v>0</v>
      </c>
      <c r="P178" s="102">
        <f>0/unit</f>
        <v>0</v>
      </c>
      <c r="Q178" s="102">
        <f>0/unit</f>
        <v>0</v>
      </c>
      <c r="R178" s="102">
        <f>0/unit</f>
        <v>0</v>
      </c>
      <c r="S178" s="102">
        <f>0/unit</f>
        <v>0</v>
      </c>
      <c r="T178" s="102">
        <f>0/unit</f>
        <v>0</v>
      </c>
    </row>
    <row r="179" spans="1:20" outlineLevel="1">
      <c r="A179" s="101" t="s">
        <v>740</v>
      </c>
      <c r="B179" s="102">
        <f>0/unit</f>
        <v>0</v>
      </c>
      <c r="C179" s="102">
        <f>0/unit</f>
        <v>0</v>
      </c>
      <c r="D179" s="102">
        <f>0/unit</f>
        <v>0</v>
      </c>
      <c r="E179" s="102">
        <f>0/unit</f>
        <v>0</v>
      </c>
      <c r="F179" s="102">
        <f>0/unit</f>
        <v>0</v>
      </c>
      <c r="G179" s="102">
        <f>0/unit</f>
        <v>0</v>
      </c>
      <c r="H179" s="102">
        <f>0/unit</f>
        <v>0</v>
      </c>
      <c r="I179" s="102">
        <f>0/unit</f>
        <v>0</v>
      </c>
      <c r="J179" s="102">
        <f>0/unit</f>
        <v>0</v>
      </c>
      <c r="K179" s="102">
        <f>0/unit</f>
        <v>0</v>
      </c>
      <c r="L179" s="102">
        <f>0/unit</f>
        <v>0</v>
      </c>
      <c r="M179" s="102">
        <f>0/unit</f>
        <v>0</v>
      </c>
      <c r="N179" s="102">
        <f>0/unit</f>
        <v>0</v>
      </c>
      <c r="O179" s="102">
        <f>0/unit</f>
        <v>0</v>
      </c>
      <c r="P179" s="102">
        <f>0/unit</f>
        <v>0</v>
      </c>
      <c r="Q179" s="102">
        <f>0/unit</f>
        <v>0</v>
      </c>
      <c r="R179" s="102">
        <f>0/unit</f>
        <v>0</v>
      </c>
      <c r="S179" s="102">
        <f>0/unit</f>
        <v>0</v>
      </c>
      <c r="T179" s="102">
        <f>0/unit</f>
        <v>0</v>
      </c>
    </row>
    <row r="180" spans="1:20" outlineLevel="1">
      <c r="A180" s="101" t="s">
        <v>741</v>
      </c>
      <c r="B180" s="102">
        <f>0/unit</f>
        <v>0</v>
      </c>
      <c r="C180" s="102">
        <f>0/unit</f>
        <v>0</v>
      </c>
      <c r="D180" s="102">
        <f>0/unit</f>
        <v>0</v>
      </c>
      <c r="E180" s="102">
        <f>0/unit</f>
        <v>0</v>
      </c>
      <c r="F180" s="102">
        <f>0/unit</f>
        <v>0</v>
      </c>
      <c r="G180" s="102">
        <f>0/unit</f>
        <v>0</v>
      </c>
      <c r="H180" s="102">
        <f>0/unit</f>
        <v>0</v>
      </c>
      <c r="I180" s="102">
        <f>0/unit</f>
        <v>0</v>
      </c>
      <c r="J180" s="102">
        <f>0/unit</f>
        <v>0</v>
      </c>
      <c r="K180" s="102">
        <f>0/unit</f>
        <v>0</v>
      </c>
      <c r="L180" s="102">
        <f>0/unit</f>
        <v>0</v>
      </c>
      <c r="M180" s="102">
        <f>0/unit</f>
        <v>0</v>
      </c>
      <c r="N180" s="102">
        <f>0/unit</f>
        <v>0</v>
      </c>
      <c r="O180" s="102">
        <f>0/unit</f>
        <v>0</v>
      </c>
      <c r="P180" s="102">
        <f>0/unit</f>
        <v>0</v>
      </c>
      <c r="Q180" s="102">
        <f>0/unit</f>
        <v>0</v>
      </c>
      <c r="R180" s="102">
        <f>0/unit</f>
        <v>0</v>
      </c>
      <c r="S180" s="102">
        <f>0/unit</f>
        <v>0</v>
      </c>
      <c r="T180" s="102">
        <f>0/unit</f>
        <v>0</v>
      </c>
    </row>
    <row r="181" spans="1:20" outlineLevel="1">
      <c r="A181" s="101" t="s">
        <v>742</v>
      </c>
      <c r="B181" s="102">
        <f>0/unit</f>
        <v>0</v>
      </c>
      <c r="C181" s="102">
        <f>0/unit</f>
        <v>0</v>
      </c>
      <c r="D181" s="102">
        <f>0/unit</f>
        <v>0</v>
      </c>
      <c r="E181" s="102">
        <f>0/unit</f>
        <v>0</v>
      </c>
      <c r="F181" s="102">
        <f>0/unit</f>
        <v>0</v>
      </c>
      <c r="G181" s="102">
        <f>0/unit</f>
        <v>0</v>
      </c>
      <c r="H181" s="102">
        <f>0/unit</f>
        <v>0</v>
      </c>
      <c r="I181" s="102">
        <f>0/unit</f>
        <v>0</v>
      </c>
      <c r="J181" s="102">
        <f>0/unit</f>
        <v>0</v>
      </c>
      <c r="K181" s="102">
        <f>0/unit</f>
        <v>0</v>
      </c>
      <c r="L181" s="102">
        <f>0/unit</f>
        <v>0</v>
      </c>
      <c r="M181" s="102">
        <f>0/unit</f>
        <v>0</v>
      </c>
      <c r="N181" s="102">
        <f>0/unit</f>
        <v>0</v>
      </c>
      <c r="O181" s="102">
        <f>0/unit</f>
        <v>0</v>
      </c>
      <c r="P181" s="102">
        <f>0/unit</f>
        <v>0</v>
      </c>
      <c r="Q181" s="102">
        <f>0/unit</f>
        <v>0</v>
      </c>
      <c r="R181" s="102">
        <f>0/unit</f>
        <v>0</v>
      </c>
      <c r="S181" s="102">
        <f>0/unit</f>
        <v>0</v>
      </c>
      <c r="T181" s="102">
        <f>0/unit</f>
        <v>0</v>
      </c>
    </row>
    <row r="182" spans="1:20" outlineLevel="1">
      <c r="A182" s="101" t="s">
        <v>743</v>
      </c>
      <c r="B182" s="102">
        <f>0/unit</f>
        <v>0</v>
      </c>
      <c r="C182" s="102">
        <f>0/unit</f>
        <v>0</v>
      </c>
      <c r="D182" s="102">
        <f>0/unit</f>
        <v>0</v>
      </c>
      <c r="E182" s="102">
        <f>0/unit</f>
        <v>0</v>
      </c>
      <c r="F182" s="102">
        <f>0/unit</f>
        <v>0</v>
      </c>
      <c r="G182" s="102">
        <f>0/unit</f>
        <v>0</v>
      </c>
      <c r="H182" s="102">
        <f>0/unit</f>
        <v>0</v>
      </c>
      <c r="I182" s="102">
        <f>0/unit</f>
        <v>0</v>
      </c>
      <c r="J182" s="102">
        <f>0/unit</f>
        <v>0</v>
      </c>
      <c r="K182" s="102">
        <f>0/unit</f>
        <v>0</v>
      </c>
      <c r="L182" s="102">
        <f>0/unit</f>
        <v>0</v>
      </c>
      <c r="M182" s="102">
        <f>0/unit</f>
        <v>0</v>
      </c>
      <c r="N182" s="102">
        <f>0/unit</f>
        <v>0</v>
      </c>
      <c r="O182" s="102">
        <f>0/unit</f>
        <v>0</v>
      </c>
      <c r="P182" s="102">
        <f>0/unit</f>
        <v>0</v>
      </c>
      <c r="Q182" s="102">
        <f>0/unit</f>
        <v>0</v>
      </c>
      <c r="R182" s="102">
        <f>0/unit</f>
        <v>0</v>
      </c>
      <c r="S182" s="102">
        <f>0/unit</f>
        <v>0</v>
      </c>
      <c r="T182" s="102">
        <f>0/unit</f>
        <v>0</v>
      </c>
    </row>
    <row r="183" spans="1:20" outlineLevel="1">
      <c r="A183" s="101" t="s">
        <v>744</v>
      </c>
      <c r="B183" s="102">
        <f>0/unit</f>
        <v>0</v>
      </c>
      <c r="C183" s="102">
        <f>0/unit</f>
        <v>0</v>
      </c>
      <c r="D183" s="102">
        <f>0/unit</f>
        <v>0</v>
      </c>
      <c r="E183" s="102">
        <f>0/unit</f>
        <v>0</v>
      </c>
      <c r="F183" s="102">
        <f>0/unit</f>
        <v>0</v>
      </c>
      <c r="G183" s="102">
        <f>0/unit</f>
        <v>0</v>
      </c>
      <c r="H183" s="102">
        <f>0/unit</f>
        <v>0</v>
      </c>
      <c r="I183" s="102">
        <f>0/unit</f>
        <v>0</v>
      </c>
      <c r="J183" s="102">
        <f>0/unit</f>
        <v>0</v>
      </c>
      <c r="K183" s="102">
        <f>0/unit</f>
        <v>0</v>
      </c>
      <c r="L183" s="102">
        <f>0/unit</f>
        <v>0</v>
      </c>
      <c r="M183" s="102">
        <f>0/unit</f>
        <v>0</v>
      </c>
      <c r="N183" s="102">
        <f>0/unit</f>
        <v>0</v>
      </c>
      <c r="O183" s="102">
        <f>0/unit</f>
        <v>0</v>
      </c>
      <c r="P183" s="102">
        <f>0/unit</f>
        <v>0</v>
      </c>
      <c r="Q183" s="102">
        <f>0/unit</f>
        <v>0</v>
      </c>
      <c r="R183" s="102">
        <f>0/unit</f>
        <v>0</v>
      </c>
      <c r="S183" s="102">
        <f>0/unit</f>
        <v>0</v>
      </c>
      <c r="T183" s="102">
        <f>0/unit</f>
        <v>0</v>
      </c>
    </row>
    <row r="184" spans="1:20" outlineLevel="1">
      <c r="A184" s="101" t="s">
        <v>745</v>
      </c>
      <c r="B184" s="102">
        <f>0/unit</f>
        <v>0</v>
      </c>
      <c r="C184" s="102">
        <f>0/unit</f>
        <v>0</v>
      </c>
      <c r="D184" s="102">
        <f>0/unit</f>
        <v>0</v>
      </c>
      <c r="E184" s="102">
        <f>0/unit</f>
        <v>0</v>
      </c>
      <c r="F184" s="102">
        <f>0/unit</f>
        <v>0</v>
      </c>
      <c r="G184" s="102">
        <f>0/unit</f>
        <v>0</v>
      </c>
      <c r="H184" s="102">
        <f>0/unit</f>
        <v>0</v>
      </c>
      <c r="I184" s="102">
        <f>0/unit</f>
        <v>0</v>
      </c>
      <c r="J184" s="102">
        <f>0/unit</f>
        <v>0</v>
      </c>
      <c r="K184" s="102">
        <f>0/unit</f>
        <v>0</v>
      </c>
      <c r="L184" s="102">
        <f>0/unit</f>
        <v>0</v>
      </c>
      <c r="M184" s="102">
        <f>0/unit</f>
        <v>0</v>
      </c>
      <c r="N184" s="102">
        <f>0/unit</f>
        <v>0</v>
      </c>
      <c r="O184" s="102">
        <f>0/unit</f>
        <v>0</v>
      </c>
      <c r="P184" s="102">
        <f>0/unit</f>
        <v>0</v>
      </c>
      <c r="Q184" s="102">
        <f>0/unit</f>
        <v>0</v>
      </c>
      <c r="R184" s="102">
        <f>0/unit</f>
        <v>0</v>
      </c>
      <c r="S184" s="102">
        <f>0/unit</f>
        <v>0</v>
      </c>
      <c r="T184" s="102">
        <f>0/unit</f>
        <v>0</v>
      </c>
    </row>
    <row r="185" spans="1:20" outlineLevel="1">
      <c r="A185" s="110" t="s">
        <v>746</v>
      </c>
      <c r="B185" s="102">
        <f>0/unit</f>
        <v>0</v>
      </c>
      <c r="C185" s="102">
        <f>0/unit</f>
        <v>0</v>
      </c>
      <c r="D185" s="102">
        <f>0/unit</f>
        <v>0</v>
      </c>
      <c r="E185" s="102">
        <f>0/unit</f>
        <v>0</v>
      </c>
      <c r="F185" s="102">
        <f>0/unit</f>
        <v>0</v>
      </c>
      <c r="G185" s="102">
        <f>0/unit</f>
        <v>0</v>
      </c>
      <c r="H185" s="102">
        <f>0/unit</f>
        <v>0</v>
      </c>
      <c r="I185" s="102">
        <f>0/unit</f>
        <v>0</v>
      </c>
      <c r="J185" s="102">
        <f>0/unit</f>
        <v>0</v>
      </c>
      <c r="K185" s="102">
        <f>0/unit</f>
        <v>0</v>
      </c>
      <c r="L185" s="102">
        <f>0/unit</f>
        <v>0</v>
      </c>
      <c r="M185" s="102">
        <f>0/unit</f>
        <v>0</v>
      </c>
      <c r="N185" s="102">
        <f>0/unit</f>
        <v>0</v>
      </c>
      <c r="O185" s="102">
        <f>0/unit</f>
        <v>0</v>
      </c>
      <c r="P185" s="102">
        <f>0/unit</f>
        <v>0</v>
      </c>
      <c r="Q185" s="102">
        <f>0/unit</f>
        <v>0</v>
      </c>
      <c r="R185" s="102">
        <f>0/unit</f>
        <v>0</v>
      </c>
      <c r="S185" s="102">
        <f>0/unit</f>
        <v>0</v>
      </c>
      <c r="T185" s="102">
        <f>0/unit</f>
        <v>0</v>
      </c>
    </row>
    <row r="186" spans="1:20" outlineLevel="1">
      <c r="A186" s="101" t="s">
        <v>747</v>
      </c>
      <c r="B186" s="102">
        <f>304310.66/unit</f>
        <v>3.0431065999999996E-3</v>
      </c>
      <c r="C186" s="102">
        <f>1522650.81/unit</f>
        <v>1.5226508100000001E-2</v>
      </c>
      <c r="D186" s="102">
        <f>223930.67/unit</f>
        <v>2.2393067000000002E-3</v>
      </c>
      <c r="E186" s="102">
        <f>325694.07/unit</f>
        <v>3.2569407000000001E-3</v>
      </c>
      <c r="F186" s="102">
        <f>139426.44/unit</f>
        <v>1.3942644E-3</v>
      </c>
      <c r="G186" s="102">
        <f>6958614.39/unit</f>
        <v>6.9586143899999994E-2</v>
      </c>
      <c r="H186" s="102">
        <f>1702101.78/unit</f>
        <v>1.70210178E-2</v>
      </c>
      <c r="I186" s="102">
        <f>-6919016.76/unit</f>
        <v>-6.9190167599999991E-2</v>
      </c>
      <c r="J186" s="102">
        <f>10538063.7/unit</f>
        <v>0.105380637</v>
      </c>
      <c r="K186" s="102">
        <f>3214164.83/unit</f>
        <v>3.2141648299999999E-2</v>
      </c>
      <c r="L186" s="102">
        <f>1101363.52/unit</f>
        <v>1.10136352E-2</v>
      </c>
      <c r="M186" s="102">
        <f>920654.16/unit</f>
        <v>9.2065415999999997E-3</v>
      </c>
      <c r="N186" s="102">
        <f>614997.84/unit</f>
        <v>6.1499783999999997E-3</v>
      </c>
      <c r="O186" s="102">
        <f>45686.3200000001/unit</f>
        <v>4.56863200000001E-4</v>
      </c>
      <c r="P186" s="102">
        <f>2359218.76/unit</f>
        <v>2.3592187599999998E-2</v>
      </c>
      <c r="Q186" s="102">
        <f>-1265942.74/unit</f>
        <v>-1.2659427399999999E-2</v>
      </c>
      <c r="R186" s="102">
        <f>1096913.16/unit</f>
        <v>1.0969131599999999E-2</v>
      </c>
      <c r="S186" s="102">
        <f>4256681.63/unit</f>
        <v>4.2566816299999997E-2</v>
      </c>
      <c r="T186" s="102">
        <f>11737193.67/unit</f>
        <v>0.1173719367</v>
      </c>
    </row>
    <row r="187" spans="1:20" outlineLevel="1">
      <c r="A187" s="101" t="s">
        <v>748</v>
      </c>
      <c r="B187" s="102">
        <f>3258601.68/unit</f>
        <v>3.2586016799999999E-2</v>
      </c>
      <c r="C187" s="102">
        <f>19630363.99/unit</f>
        <v>0.19630363989999999</v>
      </c>
      <c r="D187" s="102">
        <f>19912826.19/unit</f>
        <v>0.19912826190000002</v>
      </c>
      <c r="E187" s="102">
        <f>-15366055.37/unit</f>
        <v>-0.15366055369999998</v>
      </c>
      <c r="F187" s="102">
        <f>10008913.59/unit</f>
        <v>0.1000891359</v>
      </c>
      <c r="G187" s="102">
        <f>25277037.41/unit</f>
        <v>0.25277037410000003</v>
      </c>
      <c r="H187" s="102">
        <f>10432529.31/unit</f>
        <v>0.10432529310000001</v>
      </c>
      <c r="I187" s="102">
        <f>-23628858.23/unit</f>
        <v>-0.23628858229999999</v>
      </c>
      <c r="J187" s="102">
        <f>48193254.2/unit</f>
        <v>0.48193254200000002</v>
      </c>
      <c r="K187" s="102">
        <f>34253731.22/unit</f>
        <v>0.3425373122</v>
      </c>
      <c r="L187" s="102">
        <f>16116570.23/unit</f>
        <v>0.16116570229999999</v>
      </c>
      <c r="M187" s="102">
        <f>23269296.01/unit</f>
        <v>0.23269296010000001</v>
      </c>
      <c r="N187" s="102">
        <f>13380782.82/unit</f>
        <v>0.13380782820000001</v>
      </c>
      <c r="O187" s="102">
        <f>21308809.29/unit</f>
        <v>0.2130880929</v>
      </c>
      <c r="P187" s="102">
        <f>16540706.42/unit</f>
        <v>0.16540706420000001</v>
      </c>
      <c r="Q187" s="102">
        <f>109900728.91/unit</f>
        <v>1.0990072891</v>
      </c>
      <c r="R187" s="102">
        <f>8150488.29/unit</f>
        <v>8.1504882900000006E-2</v>
      </c>
      <c r="S187" s="102">
        <f>8111283.9/unit</f>
        <v>8.1112839000000006E-2</v>
      </c>
      <c r="T187" s="102">
        <f>17160569.9/unit</f>
        <v>0.17160569899999997</v>
      </c>
    </row>
    <row r="188" spans="1:20" outlineLevel="1">
      <c r="A188" s="101" t="s">
        <v>749</v>
      </c>
      <c r="B188" s="102">
        <f>0/unit</f>
        <v>0</v>
      </c>
      <c r="C188" s="102">
        <f>0/unit</f>
        <v>0</v>
      </c>
      <c r="D188" s="102">
        <f>0/unit</f>
        <v>0</v>
      </c>
      <c r="E188" s="102">
        <f>0/unit</f>
        <v>0</v>
      </c>
      <c r="F188" s="102">
        <f>0/unit</f>
        <v>0</v>
      </c>
      <c r="G188" s="102">
        <f>0/unit</f>
        <v>0</v>
      </c>
      <c r="H188" s="102">
        <f>0/unit</f>
        <v>0</v>
      </c>
      <c r="I188" s="102">
        <f>0/unit</f>
        <v>0</v>
      </c>
      <c r="J188" s="102">
        <f>0/unit</f>
        <v>0</v>
      </c>
      <c r="K188" s="102">
        <f>0/unit</f>
        <v>0</v>
      </c>
      <c r="L188" s="102">
        <f>0/unit</f>
        <v>0</v>
      </c>
      <c r="M188" s="102">
        <f>0/unit</f>
        <v>0</v>
      </c>
      <c r="N188" s="102">
        <f>0/unit</f>
        <v>0</v>
      </c>
      <c r="O188" s="102">
        <f>0/unit</f>
        <v>0</v>
      </c>
      <c r="P188" s="102">
        <f>0/unit</f>
        <v>0</v>
      </c>
      <c r="Q188" s="102">
        <f>0/unit</f>
        <v>0</v>
      </c>
      <c r="R188" s="102">
        <f>0/unit</f>
        <v>0</v>
      </c>
      <c r="S188" s="102">
        <f>0/unit</f>
        <v>0</v>
      </c>
      <c r="T188" s="102">
        <f>0/unit</f>
        <v>0</v>
      </c>
    </row>
    <row r="189" spans="1:20" outlineLevel="1">
      <c r="A189" s="101" t="s">
        <v>750</v>
      </c>
      <c r="B189" s="102">
        <f>0/unit</f>
        <v>0</v>
      </c>
      <c r="C189" s="102">
        <f>0/unit</f>
        <v>0</v>
      </c>
      <c r="D189" s="102">
        <f>0/unit</f>
        <v>0</v>
      </c>
      <c r="E189" s="102">
        <f>0/unit</f>
        <v>0</v>
      </c>
      <c r="F189" s="102">
        <f>0/unit</f>
        <v>0</v>
      </c>
      <c r="G189" s="102">
        <f>0/unit</f>
        <v>0</v>
      </c>
      <c r="H189" s="102">
        <f>0/unit</f>
        <v>0</v>
      </c>
      <c r="I189" s="102">
        <f>0/unit</f>
        <v>0</v>
      </c>
      <c r="J189" s="102">
        <f>0/unit</f>
        <v>0</v>
      </c>
      <c r="K189" s="102">
        <f>0/unit</f>
        <v>0</v>
      </c>
      <c r="L189" s="102">
        <f>0/unit</f>
        <v>0</v>
      </c>
      <c r="M189" s="102">
        <f>0/unit</f>
        <v>0</v>
      </c>
      <c r="N189" s="102">
        <f>0/unit</f>
        <v>0</v>
      </c>
      <c r="O189" s="102">
        <f>0/unit</f>
        <v>0</v>
      </c>
      <c r="P189" s="102">
        <f>0/unit</f>
        <v>0</v>
      </c>
      <c r="Q189" s="102">
        <f>0/unit</f>
        <v>0</v>
      </c>
      <c r="R189" s="102">
        <f>0/unit</f>
        <v>0</v>
      </c>
      <c r="S189" s="102">
        <f>0/unit</f>
        <v>0</v>
      </c>
      <c r="T189" s="102">
        <f>0/unit</f>
        <v>0</v>
      </c>
    </row>
    <row r="190" spans="1:20" outlineLevel="1">
      <c r="A190" s="101" t="s">
        <v>751</v>
      </c>
      <c r="B190" s="102">
        <f>302197124.69/unit</f>
        <v>3.0219712469000002</v>
      </c>
      <c r="C190" s="102">
        <f>346564207.17/unit</f>
        <v>3.4656420717</v>
      </c>
      <c r="D190" s="102">
        <f>352189448.21/unit</f>
        <v>3.5218944821</v>
      </c>
      <c r="E190" s="102">
        <f>387003239.6/unit</f>
        <v>3.870032396</v>
      </c>
      <c r="F190" s="102">
        <f>373557714.71/unit</f>
        <v>3.7355771470999999</v>
      </c>
      <c r="G190" s="102">
        <f>404351260.18/unit</f>
        <v>4.0435126017999998</v>
      </c>
      <c r="H190" s="102">
        <f>372318289.52/unit</f>
        <v>3.7231828951999999</v>
      </c>
      <c r="I190" s="102">
        <f>433954870.16/unit</f>
        <v>4.3395487016000001</v>
      </c>
      <c r="J190" s="102">
        <f>525650664.92/unit</f>
        <v>5.2565066492000003</v>
      </c>
      <c r="K190" s="102">
        <f>541482266.73/unit</f>
        <v>5.4148226673000002</v>
      </c>
      <c r="L190" s="102">
        <f>542534799.23/unit</f>
        <v>5.4253479922999999</v>
      </c>
      <c r="M190" s="102">
        <f>672808984.47/unit</f>
        <v>6.7280898447000004</v>
      </c>
      <c r="N190" s="102">
        <f>672408274.8/unit</f>
        <v>6.7240827479999998</v>
      </c>
      <c r="O190" s="102">
        <f>606562106.83/unit</f>
        <v>6.0656210683000005</v>
      </c>
      <c r="P190" s="102">
        <f>689831059.3/unit</f>
        <v>6.8983105929999997</v>
      </c>
      <c r="Q190" s="102">
        <f>782786920.98/unit</f>
        <v>7.8278692098000002</v>
      </c>
      <c r="R190" s="102">
        <f>562833704.4/unit</f>
        <v>5.6283370439999993</v>
      </c>
      <c r="S190" s="102">
        <f>657936788.36/unit</f>
        <v>6.5793678835999998</v>
      </c>
      <c r="T190" s="102">
        <f>807428367.45/unit</f>
        <v>8.0742836745000002</v>
      </c>
    </row>
    <row r="191" spans="1:20" outlineLevel="1">
      <c r="A191" s="101" t="s">
        <v>752</v>
      </c>
      <c r="B191" s="102">
        <f>137183108.55/unit</f>
        <v>1.3718310855000002</v>
      </c>
      <c r="C191" s="102">
        <f>172552504.34/unit</f>
        <v>1.7255250434</v>
      </c>
      <c r="D191" s="102">
        <f>162511813.41/unit</f>
        <v>1.6251181341000001</v>
      </c>
      <c r="E191" s="102">
        <f>209372672.1/unit</f>
        <v>2.0937267209999999</v>
      </c>
      <c r="F191" s="102">
        <f>200835901.9/unit</f>
        <v>2.0083590190000002</v>
      </c>
      <c r="G191" s="102">
        <f>167759952.79/unit</f>
        <v>1.6775995279</v>
      </c>
      <c r="H191" s="102">
        <f>212757541.47/unit</f>
        <v>2.1275754146999999</v>
      </c>
      <c r="I191" s="102">
        <f>172153575.06/unit</f>
        <v>1.7215357506</v>
      </c>
      <c r="J191" s="102">
        <f>248764753.34/unit</f>
        <v>2.4876475334000001</v>
      </c>
      <c r="K191" s="102">
        <f>184512805.46/unit</f>
        <v>1.8451280546000002</v>
      </c>
      <c r="L191" s="102">
        <f>294162322.09/unit</f>
        <v>2.9416232208999999</v>
      </c>
      <c r="M191" s="102">
        <f>376471724.5/unit</f>
        <v>3.7647172449999999</v>
      </c>
      <c r="N191" s="102">
        <f>229769365.09/unit</f>
        <v>2.2976936508999999</v>
      </c>
      <c r="O191" s="102">
        <f>317120627.2/unit</f>
        <v>3.171206272</v>
      </c>
      <c r="P191" s="102">
        <f>312249122.62/unit</f>
        <v>3.1224912262000002</v>
      </c>
      <c r="Q191" s="102">
        <f>449360342.04/unit</f>
        <v>4.4936034204000004</v>
      </c>
      <c r="R191" s="102">
        <f>247307468.04/unit</f>
        <v>2.4730746803999999</v>
      </c>
      <c r="S191" s="102">
        <f>287165677.76/unit</f>
        <v>2.8716567775999997</v>
      </c>
      <c r="T191" s="102">
        <f>407408747.3/unit</f>
        <v>4.0740874730000005</v>
      </c>
    </row>
    <row r="192" spans="1:20" outlineLevel="1">
      <c r="A192" s="101" t="s">
        <v>753</v>
      </c>
      <c r="B192" s="102">
        <f>0/unit</f>
        <v>0</v>
      </c>
      <c r="C192" s="102">
        <f>0/unit</f>
        <v>0</v>
      </c>
      <c r="D192" s="102">
        <f>0/unit</f>
        <v>0</v>
      </c>
      <c r="E192" s="102">
        <f>0/unit</f>
        <v>0</v>
      </c>
      <c r="F192" s="102">
        <f>0/unit</f>
        <v>0</v>
      </c>
      <c r="G192" s="102">
        <f>0/unit</f>
        <v>0</v>
      </c>
      <c r="H192" s="102">
        <f>0/unit</f>
        <v>0</v>
      </c>
      <c r="I192" s="102">
        <f>0/unit</f>
        <v>0</v>
      </c>
      <c r="J192" s="102">
        <f>0/unit</f>
        <v>0</v>
      </c>
      <c r="K192" s="102">
        <f>0/unit</f>
        <v>0</v>
      </c>
      <c r="L192" s="102">
        <f>0/unit</f>
        <v>0</v>
      </c>
      <c r="M192" s="102">
        <f>0/unit</f>
        <v>0</v>
      </c>
      <c r="N192" s="102">
        <f>0/unit</f>
        <v>0</v>
      </c>
      <c r="O192" s="102">
        <f>0/unit</f>
        <v>0</v>
      </c>
      <c r="P192" s="102">
        <f>0/unit</f>
        <v>0</v>
      </c>
      <c r="Q192" s="102">
        <f>0/unit</f>
        <v>0</v>
      </c>
      <c r="R192" s="102">
        <f>0/unit</f>
        <v>0</v>
      </c>
      <c r="S192" s="102">
        <f>0/unit</f>
        <v>0</v>
      </c>
      <c r="T192" s="102">
        <f>0/unit</f>
        <v>0</v>
      </c>
    </row>
    <row r="193" spans="1:20" outlineLevel="1">
      <c r="A193" s="101" t="s">
        <v>754</v>
      </c>
      <c r="B193" s="102">
        <f>0/unit</f>
        <v>0</v>
      </c>
      <c r="C193" s="102">
        <f>0/unit</f>
        <v>0</v>
      </c>
      <c r="D193" s="102">
        <f>0/unit</f>
        <v>0</v>
      </c>
      <c r="E193" s="102">
        <f>0/unit</f>
        <v>0</v>
      </c>
      <c r="F193" s="102">
        <f>0/unit</f>
        <v>0</v>
      </c>
      <c r="G193" s="102">
        <f>0/unit</f>
        <v>0</v>
      </c>
      <c r="H193" s="102">
        <f>0/unit</f>
        <v>0</v>
      </c>
      <c r="I193" s="102">
        <f>0/unit</f>
        <v>0</v>
      </c>
      <c r="J193" s="102">
        <f>0/unit</f>
        <v>0</v>
      </c>
      <c r="K193" s="102">
        <f>0/unit</f>
        <v>0</v>
      </c>
      <c r="L193" s="102">
        <f>0/unit</f>
        <v>0</v>
      </c>
      <c r="M193" s="102">
        <f>0/unit</f>
        <v>0</v>
      </c>
      <c r="N193" s="102">
        <f>0/unit</f>
        <v>0</v>
      </c>
      <c r="O193" s="102">
        <f>0/unit</f>
        <v>0</v>
      </c>
      <c r="P193" s="102">
        <f>0/unit</f>
        <v>0</v>
      </c>
      <c r="Q193" s="102">
        <f>0/unit</f>
        <v>0</v>
      </c>
      <c r="R193" s="102">
        <f>0/unit</f>
        <v>0</v>
      </c>
      <c r="S193" s="102">
        <f>0/unit</f>
        <v>0</v>
      </c>
      <c r="T193" s="102">
        <f>0/unit</f>
        <v>0</v>
      </c>
    </row>
    <row r="194" spans="1:20" outlineLevel="1">
      <c r="A194" s="101" t="s">
        <v>755</v>
      </c>
      <c r="B194" s="102">
        <f>0/unit</f>
        <v>0</v>
      </c>
      <c r="C194" s="102">
        <f>0/unit</f>
        <v>0</v>
      </c>
      <c r="D194" s="102">
        <f>0/unit</f>
        <v>0</v>
      </c>
      <c r="E194" s="102">
        <f>0/unit</f>
        <v>0</v>
      </c>
      <c r="F194" s="102">
        <f>0/unit</f>
        <v>0</v>
      </c>
      <c r="G194" s="102">
        <f>0/unit</f>
        <v>0</v>
      </c>
      <c r="H194" s="102">
        <f>0/unit</f>
        <v>0</v>
      </c>
      <c r="I194" s="102">
        <f>0/unit</f>
        <v>0</v>
      </c>
      <c r="J194" s="102">
        <f>0/unit</f>
        <v>0</v>
      </c>
      <c r="K194" s="102">
        <f>0/unit</f>
        <v>0</v>
      </c>
      <c r="L194" s="102">
        <f>0/unit</f>
        <v>0</v>
      </c>
      <c r="M194" s="102">
        <f>0/unit</f>
        <v>0</v>
      </c>
      <c r="N194" s="102">
        <f>0/unit</f>
        <v>0</v>
      </c>
      <c r="O194" s="102">
        <f>0/unit</f>
        <v>0</v>
      </c>
      <c r="P194" s="102">
        <f>0/unit</f>
        <v>0</v>
      </c>
      <c r="Q194" s="102">
        <f>0/unit</f>
        <v>0</v>
      </c>
      <c r="R194" s="102">
        <f>0/unit</f>
        <v>0</v>
      </c>
      <c r="S194" s="102">
        <f>0/unit</f>
        <v>0</v>
      </c>
      <c r="T194" s="102">
        <f>0/unit</f>
        <v>0</v>
      </c>
    </row>
    <row r="195" spans="1:20" outlineLevel="1">
      <c r="A195" s="101" t="s">
        <v>756</v>
      </c>
      <c r="B195" s="102">
        <f>0/unit</f>
        <v>0</v>
      </c>
      <c r="C195" s="102">
        <f>0/unit</f>
        <v>0</v>
      </c>
      <c r="D195" s="102">
        <f>0/unit</f>
        <v>0</v>
      </c>
      <c r="E195" s="102">
        <f>0/unit</f>
        <v>0</v>
      </c>
      <c r="F195" s="102">
        <f>0/unit</f>
        <v>0</v>
      </c>
      <c r="G195" s="102">
        <f>0/unit</f>
        <v>0</v>
      </c>
      <c r="H195" s="102">
        <f>0/unit</f>
        <v>0</v>
      </c>
      <c r="I195" s="102">
        <f>0/unit</f>
        <v>0</v>
      </c>
      <c r="J195" s="102">
        <f>0/unit</f>
        <v>0</v>
      </c>
      <c r="K195" s="102">
        <f>0/unit</f>
        <v>0</v>
      </c>
      <c r="L195" s="102">
        <f>0/unit</f>
        <v>0</v>
      </c>
      <c r="M195" s="102">
        <f>0/unit</f>
        <v>0</v>
      </c>
      <c r="N195" s="102">
        <f>0/unit</f>
        <v>0</v>
      </c>
      <c r="O195" s="102">
        <f>0/unit</f>
        <v>0</v>
      </c>
      <c r="P195" s="102">
        <f>0/unit</f>
        <v>0</v>
      </c>
      <c r="Q195" s="102">
        <f>0/unit</f>
        <v>0</v>
      </c>
      <c r="R195" s="102">
        <f>0/unit</f>
        <v>0</v>
      </c>
      <c r="S195" s="102">
        <f>0/unit</f>
        <v>0</v>
      </c>
      <c r="T195" s="102">
        <f>0/unit</f>
        <v>0</v>
      </c>
    </row>
    <row r="196" spans="1:20" outlineLevel="1">
      <c r="A196" s="101" t="s">
        <v>757</v>
      </c>
      <c r="B196" s="102">
        <f>0/unit</f>
        <v>0</v>
      </c>
      <c r="C196" s="102">
        <f>0/unit</f>
        <v>0</v>
      </c>
      <c r="D196" s="102">
        <f>0/unit</f>
        <v>0</v>
      </c>
      <c r="E196" s="102">
        <f>0/unit</f>
        <v>0</v>
      </c>
      <c r="F196" s="102">
        <f>0/unit</f>
        <v>0</v>
      </c>
      <c r="G196" s="102">
        <f>0/unit</f>
        <v>0</v>
      </c>
      <c r="H196" s="102">
        <f>0/unit</f>
        <v>0</v>
      </c>
      <c r="I196" s="102">
        <f>0/unit</f>
        <v>0</v>
      </c>
      <c r="J196" s="102">
        <f>0/unit</f>
        <v>0</v>
      </c>
      <c r="K196" s="102">
        <f>0/unit</f>
        <v>0</v>
      </c>
      <c r="L196" s="102">
        <f>0/unit</f>
        <v>0</v>
      </c>
      <c r="M196" s="102">
        <f>0/unit</f>
        <v>0</v>
      </c>
      <c r="N196" s="102">
        <f>0/unit</f>
        <v>0</v>
      </c>
      <c r="O196" s="102">
        <f>0/unit</f>
        <v>0</v>
      </c>
      <c r="P196" s="102">
        <f>0/unit</f>
        <v>0</v>
      </c>
      <c r="Q196" s="102">
        <f>0/unit</f>
        <v>0</v>
      </c>
      <c r="R196" s="102">
        <f>0/unit</f>
        <v>0</v>
      </c>
      <c r="S196" s="102">
        <f>0/unit</f>
        <v>0</v>
      </c>
      <c r="T196" s="102">
        <f>0/unit</f>
        <v>0</v>
      </c>
    </row>
    <row r="197" spans="1:20" outlineLevel="1">
      <c r="A197" s="101" t="s">
        <v>758</v>
      </c>
      <c r="B197" s="102">
        <f>67590999.64/unit</f>
        <v>0.67590999640000005</v>
      </c>
      <c r="C197" s="102">
        <f>52650415.72/unit</f>
        <v>0.52650415719999999</v>
      </c>
      <c r="D197" s="102">
        <f>52960432.85/unit</f>
        <v>0.52960432850000005</v>
      </c>
      <c r="E197" s="102">
        <f>68530963.18/unit</f>
        <v>0.68530963180000004</v>
      </c>
      <c r="F197" s="102">
        <f>77830583.4/unit</f>
        <v>0.77830583400000009</v>
      </c>
      <c r="G197" s="102">
        <f>60190666.25/unit</f>
        <v>0.60190666250000002</v>
      </c>
      <c r="H197" s="102">
        <f>56729668.11/unit</f>
        <v>0.56729668109999998</v>
      </c>
      <c r="I197" s="102">
        <f>76697417.54/unit</f>
        <v>0.76697417540000001</v>
      </c>
      <c r="J197" s="102">
        <f>112906528.96/unit</f>
        <v>1.1290652896</v>
      </c>
      <c r="K197" s="102">
        <f>90143422.35/unit</f>
        <v>0.90143422349999991</v>
      </c>
      <c r="L197" s="102">
        <f>80227520.65/unit</f>
        <v>0.80227520650000006</v>
      </c>
      <c r="M197" s="102">
        <f>98768355.9/unit</f>
        <v>0.98768355900000004</v>
      </c>
      <c r="N197" s="102">
        <f>127255256.18/unit</f>
        <v>1.2725525618</v>
      </c>
      <c r="O197" s="102">
        <f>90942294.9/unit</f>
        <v>0.90942294900000009</v>
      </c>
      <c r="P197" s="102">
        <f>99907258.25/unit</f>
        <v>0.99907258249999997</v>
      </c>
      <c r="Q197" s="102">
        <f>117583381.8/unit</f>
        <v>1.1758338179999999</v>
      </c>
      <c r="R197" s="102">
        <f>135165398.72/unit</f>
        <v>1.3516539872</v>
      </c>
      <c r="S197" s="102">
        <f>109725080.91/unit</f>
        <v>1.0972508090999999</v>
      </c>
      <c r="T197" s="102">
        <f>112588668.31/unit</f>
        <v>1.1258866831000001</v>
      </c>
    </row>
    <row r="198" spans="1:20" outlineLevel="1">
      <c r="A198" s="101" t="s">
        <v>759</v>
      </c>
      <c r="B198" s="102">
        <f>13304828.8/unit</f>
        <v>0.13304828800000001</v>
      </c>
      <c r="C198" s="102">
        <f>23489980.73/unit</f>
        <v>0.23489980730000001</v>
      </c>
      <c r="D198" s="102">
        <f>9753408.3/unit</f>
        <v>9.7534083000000008E-2</v>
      </c>
      <c r="E198" s="102">
        <f>6977280.13/unit</f>
        <v>6.9772801299999992E-2</v>
      </c>
      <c r="F198" s="102">
        <f>32124081.67/unit</f>
        <v>0.32124081670000004</v>
      </c>
      <c r="G198" s="102">
        <f>29551657.56/unit</f>
        <v>0.2955165756</v>
      </c>
      <c r="H198" s="102">
        <f>11561167.36/unit</f>
        <v>0.11561167359999999</v>
      </c>
      <c r="I198" s="102">
        <f>-8083134.68000001/unit</f>
        <v>-8.0831346800000106E-2</v>
      </c>
      <c r="J198" s="102">
        <f>30979231.55/unit</f>
        <v>0.30979231550000003</v>
      </c>
      <c r="K198" s="102">
        <f>36448062.38/unit</f>
        <v>0.36448062380000001</v>
      </c>
      <c r="L198" s="102">
        <f>43698845.03/unit</f>
        <v>0.4369884503</v>
      </c>
      <c r="M198" s="102">
        <f>34691891.87/unit</f>
        <v>0.34691891869999997</v>
      </c>
      <c r="N198" s="102">
        <f>53218004.23/unit</f>
        <v>0.53218004229999993</v>
      </c>
      <c r="O198" s="102">
        <f>38433401.26/unit</f>
        <v>0.3843340126</v>
      </c>
      <c r="P198" s="102">
        <f>77140216.64/unit</f>
        <v>0.77140216640000003</v>
      </c>
      <c r="Q198" s="102">
        <f>28655863.22/unit</f>
        <v>0.2865586322</v>
      </c>
      <c r="R198" s="102">
        <f>40327399.94/unit</f>
        <v>0.40327399939999997</v>
      </c>
      <c r="S198" s="102">
        <f>34548985.33/unit</f>
        <v>0.34548985329999998</v>
      </c>
      <c r="T198" s="102">
        <f>12608131.08/unit</f>
        <v>0.12608131080000001</v>
      </c>
    </row>
    <row r="199" spans="1:20" outlineLevel="1">
      <c r="A199" s="101" t="s">
        <v>760</v>
      </c>
      <c r="B199" s="102">
        <f>14038966.48/unit</f>
        <v>0.14038966480000001</v>
      </c>
      <c r="C199" s="102">
        <f>13203539.99/unit</f>
        <v>0.13203539989999999</v>
      </c>
      <c r="D199" s="102">
        <f>13128915.92/unit</f>
        <v>0.13128915920000001</v>
      </c>
      <c r="E199" s="102">
        <f>15888953.67/unit</f>
        <v>0.1588895367</v>
      </c>
      <c r="F199" s="102">
        <f>16293985.53/unit</f>
        <v>0.16293985529999999</v>
      </c>
      <c r="G199" s="102">
        <f>15816326.16/unit</f>
        <v>0.15816326159999999</v>
      </c>
      <c r="H199" s="102">
        <f>13974123.19/unit</f>
        <v>0.13974123189999998</v>
      </c>
      <c r="I199" s="102">
        <f>12426000.58/unit</f>
        <v>0.1242600058</v>
      </c>
      <c r="J199" s="102">
        <f>50206842.37/unit</f>
        <v>0.50206842369999993</v>
      </c>
      <c r="K199" s="102">
        <f>73040693.93/unit</f>
        <v>0.73040693930000011</v>
      </c>
      <c r="L199" s="102">
        <f>44850721.28/unit</f>
        <v>0.4485072128</v>
      </c>
      <c r="M199" s="102">
        <f>10928949.85/unit</f>
        <v>0.1092894985</v>
      </c>
      <c r="N199" s="102">
        <f>64770651.85/unit</f>
        <v>0.64770651850000005</v>
      </c>
      <c r="O199" s="102">
        <f>33818523.7/unit</f>
        <v>0.33818523700000003</v>
      </c>
      <c r="P199" s="102">
        <f>55250711.28/unit</f>
        <v>0.55250711279999998</v>
      </c>
      <c r="Q199" s="102">
        <f>59004613.84/unit</f>
        <v>0.59004613840000009</v>
      </c>
      <c r="R199" s="102">
        <f>65921110.17/unit</f>
        <v>0.65921110169999997</v>
      </c>
      <c r="S199" s="102">
        <f>49775041.8/unit</f>
        <v>0.49775041799999997</v>
      </c>
      <c r="T199" s="102">
        <f>57517272.4/unit</f>
        <v>0.57517272399999997</v>
      </c>
    </row>
    <row r="200" spans="1:20" outlineLevel="1">
      <c r="A200" s="101" t="s">
        <v>761</v>
      </c>
      <c r="B200" s="102">
        <f>0/unit</f>
        <v>0</v>
      </c>
      <c r="C200" s="102">
        <f>0/unit</f>
        <v>0</v>
      </c>
      <c r="D200" s="102">
        <f>0/unit</f>
        <v>0</v>
      </c>
      <c r="E200" s="102">
        <f>0/unit</f>
        <v>0</v>
      </c>
      <c r="F200" s="102">
        <f>0/unit</f>
        <v>0</v>
      </c>
      <c r="G200" s="102">
        <f>0/unit</f>
        <v>0</v>
      </c>
      <c r="H200" s="102">
        <f>0/unit</f>
        <v>0</v>
      </c>
      <c r="I200" s="102">
        <f>0/unit</f>
        <v>0</v>
      </c>
      <c r="J200" s="102">
        <f>0/unit</f>
        <v>0</v>
      </c>
      <c r="K200" s="102">
        <f>0/unit</f>
        <v>0</v>
      </c>
      <c r="L200" s="102">
        <f>0/unit</f>
        <v>0</v>
      </c>
      <c r="M200" s="102">
        <f>0/unit</f>
        <v>0</v>
      </c>
      <c r="N200" s="102">
        <f>0/unit</f>
        <v>0</v>
      </c>
      <c r="O200" s="102">
        <f>0/unit</f>
        <v>0</v>
      </c>
      <c r="P200" s="102">
        <f>0/unit</f>
        <v>0</v>
      </c>
      <c r="Q200" s="102">
        <f>0/unit</f>
        <v>0</v>
      </c>
      <c r="R200" s="102">
        <f>0/unit</f>
        <v>0</v>
      </c>
      <c r="S200" s="102">
        <f>0/unit</f>
        <v>0</v>
      </c>
      <c r="T200" s="102">
        <f>0/unit</f>
        <v>0</v>
      </c>
    </row>
    <row r="201" spans="1:20" outlineLevel="1">
      <c r="A201" s="101" t="s">
        <v>762</v>
      </c>
      <c r="B201" s="102">
        <f>0/unit</f>
        <v>0</v>
      </c>
      <c r="C201" s="102">
        <f>0/unit</f>
        <v>0</v>
      </c>
      <c r="D201" s="102">
        <f>0/unit</f>
        <v>0</v>
      </c>
      <c r="E201" s="102">
        <f>0/unit</f>
        <v>0</v>
      </c>
      <c r="F201" s="102">
        <f>0/unit</f>
        <v>0</v>
      </c>
      <c r="G201" s="102">
        <f>0/unit</f>
        <v>0</v>
      </c>
      <c r="H201" s="102">
        <f>0/unit</f>
        <v>0</v>
      </c>
      <c r="I201" s="102">
        <f>0/unit</f>
        <v>0</v>
      </c>
      <c r="J201" s="102">
        <f>0/unit</f>
        <v>0</v>
      </c>
      <c r="K201" s="102">
        <f>0/unit</f>
        <v>0</v>
      </c>
      <c r="L201" s="102">
        <f>0/unit</f>
        <v>0</v>
      </c>
      <c r="M201" s="102">
        <f>0/unit</f>
        <v>0</v>
      </c>
      <c r="N201" s="102">
        <f>0/unit</f>
        <v>0</v>
      </c>
      <c r="O201" s="102">
        <f>0/unit</f>
        <v>0</v>
      </c>
      <c r="P201" s="102">
        <f>0/unit</f>
        <v>0</v>
      </c>
      <c r="Q201" s="102">
        <f>0/unit</f>
        <v>0</v>
      </c>
      <c r="R201" s="102">
        <f>0/unit</f>
        <v>0</v>
      </c>
      <c r="S201" s="102">
        <f>0/unit</f>
        <v>0</v>
      </c>
      <c r="T201" s="102">
        <f>0/unit</f>
        <v>0</v>
      </c>
    </row>
    <row r="202" spans="1:20" outlineLevel="1">
      <c r="A202" s="101" t="s">
        <v>763</v>
      </c>
      <c r="B202" s="102">
        <f>232117903.47/unit</f>
        <v>2.3211790347000001</v>
      </c>
      <c r="C202" s="102">
        <f>261896440.78/unit</f>
        <v>2.6189644078000001</v>
      </c>
      <c r="D202" s="102">
        <f>238354570.48/unit</f>
        <v>2.3835457047999999</v>
      </c>
      <c r="E202" s="102">
        <f>300769869.08/unit</f>
        <v>3.0076986907999999</v>
      </c>
      <c r="F202" s="102">
        <f>327084552.5/unit</f>
        <v>3.2708455249999999</v>
      </c>
      <c r="G202" s="102">
        <f>273318602.76/unit</f>
        <v>2.7331860276</v>
      </c>
      <c r="H202" s="102">
        <f>295022500.13/unit</f>
        <v>2.9502250012999998</v>
      </c>
      <c r="I202" s="102">
        <f>253193858.5/unit</f>
        <v>2.5319385849999998</v>
      </c>
      <c r="J202" s="102">
        <f>442857356.22/unit</f>
        <v>4.4285735622000004</v>
      </c>
      <c r="K202" s="102">
        <f>384144984.12/unit</f>
        <v>3.8414498412000002</v>
      </c>
      <c r="L202" s="102">
        <f>462939409.05/unit</f>
        <v>4.6293940904999999</v>
      </c>
      <c r="M202" s="102">
        <f>520860922.12/unit</f>
        <v>5.2086092211999997</v>
      </c>
      <c r="N202" s="102">
        <f>475013277.35/unit</f>
        <v>4.7501327734999998</v>
      </c>
      <c r="O202" s="102">
        <f>480314847.06/unit</f>
        <v>4.8031484706000001</v>
      </c>
      <c r="P202" s="102">
        <f>544547308.79/unit</f>
        <v>5.4454730879</v>
      </c>
      <c r="Q202" s="102">
        <f>654604200.9/unit</f>
        <v>6.5460420089999998</v>
      </c>
      <c r="R202" s="102">
        <f>488721376.87/unit</f>
        <v>4.8872137686999997</v>
      </c>
      <c r="S202" s="102">
        <f>481214785.8/unit</f>
        <v>4.8121478580000003</v>
      </c>
      <c r="T202" s="102">
        <f>590122819.09/unit</f>
        <v>5.9012281909000004</v>
      </c>
    </row>
    <row r="203" spans="1:20" outlineLevel="1">
      <c r="A203" s="101" t="s">
        <v>764</v>
      </c>
      <c r="B203" s="102">
        <f>0/unit</f>
        <v>0</v>
      </c>
      <c r="C203" s="102">
        <f>0/unit</f>
        <v>0</v>
      </c>
      <c r="D203" s="102">
        <f>0/unit</f>
        <v>0</v>
      </c>
      <c r="E203" s="102">
        <f>0/unit</f>
        <v>0</v>
      </c>
      <c r="F203" s="102">
        <f>0/unit</f>
        <v>0</v>
      </c>
      <c r="G203" s="102">
        <f>0/unit</f>
        <v>0</v>
      </c>
      <c r="H203" s="102">
        <f>0/unit</f>
        <v>0</v>
      </c>
      <c r="I203" s="102">
        <f>0/unit</f>
        <v>0</v>
      </c>
      <c r="J203" s="102">
        <f>0/unit</f>
        <v>0</v>
      </c>
      <c r="K203" s="102">
        <f>0/unit</f>
        <v>0</v>
      </c>
      <c r="L203" s="102">
        <f>0/unit</f>
        <v>0</v>
      </c>
      <c r="M203" s="102">
        <f>0/unit</f>
        <v>0</v>
      </c>
      <c r="N203" s="102">
        <f>0/unit</f>
        <v>0</v>
      </c>
      <c r="O203" s="102">
        <f>0/unit</f>
        <v>0</v>
      </c>
      <c r="P203" s="102">
        <f>0/unit</f>
        <v>0</v>
      </c>
      <c r="Q203" s="102">
        <f>0/unit</f>
        <v>0</v>
      </c>
      <c r="R203" s="102">
        <f>0/unit</f>
        <v>0</v>
      </c>
      <c r="S203" s="102">
        <f>0/unit</f>
        <v>0</v>
      </c>
      <c r="T203" s="102">
        <f>0/unit</f>
        <v>0</v>
      </c>
    </row>
    <row r="204" spans="1:20" outlineLevel="1">
      <c r="A204" s="99" t="s">
        <v>765</v>
      </c>
      <c r="B204" s="102">
        <f>0/unit</f>
        <v>0</v>
      </c>
      <c r="C204" s="102">
        <f>0/unit</f>
        <v>0</v>
      </c>
      <c r="D204" s="102">
        <f>0/unit</f>
        <v>0</v>
      </c>
      <c r="E204" s="102">
        <f>0/unit</f>
        <v>0</v>
      </c>
      <c r="F204" s="102">
        <f>0/unit</f>
        <v>0</v>
      </c>
      <c r="G204" s="102">
        <f>0/unit</f>
        <v>0</v>
      </c>
      <c r="H204" s="102">
        <f>0/unit</f>
        <v>0</v>
      </c>
      <c r="I204" s="102">
        <f>0/unit</f>
        <v>0</v>
      </c>
      <c r="J204" s="102">
        <f>0/unit</f>
        <v>0</v>
      </c>
      <c r="K204" s="102">
        <f>0/unit</f>
        <v>0</v>
      </c>
      <c r="L204" s="102">
        <f>0/unit</f>
        <v>0</v>
      </c>
      <c r="M204" s="102">
        <f>0/unit</f>
        <v>0</v>
      </c>
      <c r="N204" s="102">
        <f>0/unit</f>
        <v>0</v>
      </c>
      <c r="O204" s="102">
        <f>0/unit</f>
        <v>0</v>
      </c>
      <c r="P204" s="102">
        <f>0/unit</f>
        <v>0</v>
      </c>
      <c r="Q204" s="102">
        <f>0/unit</f>
        <v>0</v>
      </c>
      <c r="R204" s="102">
        <f>0/unit</f>
        <v>0</v>
      </c>
      <c r="S204" s="102">
        <f>0/unit</f>
        <v>0</v>
      </c>
      <c r="T204" s="102">
        <f>0/unit</f>
        <v>0</v>
      </c>
    </row>
    <row r="205" spans="1:20" outlineLevel="1">
      <c r="A205" s="99" t="s">
        <v>766</v>
      </c>
      <c r="B205" s="102">
        <f>70079221.22/unit</f>
        <v>0.70079221219999999</v>
      </c>
      <c r="C205" s="102">
        <f>84667766.39/unit</f>
        <v>0.84667766389999999</v>
      </c>
      <c r="D205" s="102">
        <f>113834877.73/unit</f>
        <v>1.1383487773000001</v>
      </c>
      <c r="E205" s="102">
        <f>86233370.52/unit</f>
        <v>0.86233370519999997</v>
      </c>
      <c r="F205" s="102">
        <f>46473162.21/unit</f>
        <v>0.46473162210000002</v>
      </c>
      <c r="G205" s="102">
        <f>131032657.42/unit</f>
        <v>1.3103265742000001</v>
      </c>
      <c r="H205" s="102">
        <f>77295789.39/unit</f>
        <v>0.77295789390000003</v>
      </c>
      <c r="I205" s="102">
        <f>180761011.66/unit</f>
        <v>1.8076101166</v>
      </c>
      <c r="J205" s="102">
        <f>82793308.7/unit</f>
        <v>0.82793308700000001</v>
      </c>
      <c r="K205" s="102">
        <f>157337282.61/unit</f>
        <v>1.5733728261000002</v>
      </c>
      <c r="L205" s="102">
        <f>79595390.18/unit</f>
        <v>0.79595390180000003</v>
      </c>
      <c r="M205" s="102">
        <f>151948062.35/unit</f>
        <v>1.5194806235</v>
      </c>
      <c r="N205" s="102">
        <f>197394997.45/unit</f>
        <v>1.9739499745</v>
      </c>
      <c r="O205" s="102">
        <f>126247259.77/unit</f>
        <v>1.2624725977</v>
      </c>
      <c r="P205" s="102">
        <f>145283750.51/unit</f>
        <v>1.4528375051</v>
      </c>
      <c r="Q205" s="102">
        <f>128182720.08/unit</f>
        <v>1.2818272008</v>
      </c>
      <c r="R205" s="102">
        <f>74112327.53/unit</f>
        <v>0.7411232753</v>
      </c>
      <c r="S205" s="102">
        <f>176722002.56/unit</f>
        <v>1.7672200256000001</v>
      </c>
      <c r="T205" s="102">
        <f>217305548.36/unit</f>
        <v>2.1730554836000002</v>
      </c>
    </row>
    <row r="206" spans="1:20" outlineLevel="1">
      <c r="A206" s="101" t="s">
        <v>767</v>
      </c>
      <c r="B206" s="102"/>
      <c r="C206" s="102"/>
      <c r="D206" s="102"/>
      <c r="E206" s="102"/>
      <c r="F206" s="102"/>
      <c r="G206" s="102"/>
      <c r="H206" s="102"/>
      <c r="I206" s="102"/>
      <c r="J206" s="102"/>
      <c r="K206" s="102"/>
      <c r="L206" s="102"/>
      <c r="M206" s="102"/>
      <c r="N206" s="102"/>
      <c r="O206" s="102"/>
      <c r="P206" s="102"/>
      <c r="Q206" s="102"/>
      <c r="R206" s="102"/>
      <c r="S206" s="102"/>
      <c r="T206" s="102"/>
    </row>
    <row r="207" spans="1:20" outlineLevel="1">
      <c r="A207" s="101" t="s">
        <v>768</v>
      </c>
      <c r="B207" s="102">
        <f>0/unit</f>
        <v>0</v>
      </c>
      <c r="C207" s="102">
        <f>0/unit</f>
        <v>0</v>
      </c>
      <c r="D207" s="102">
        <f>0/unit</f>
        <v>0</v>
      </c>
      <c r="E207" s="102">
        <f>0/unit</f>
        <v>0</v>
      </c>
      <c r="F207" s="102">
        <f>0/unit</f>
        <v>0</v>
      </c>
      <c r="G207" s="102">
        <f>0/unit</f>
        <v>0</v>
      </c>
      <c r="H207" s="102">
        <f>0/unit</f>
        <v>0</v>
      </c>
      <c r="I207" s="102">
        <f>0/unit</f>
        <v>0</v>
      </c>
      <c r="J207" s="102">
        <f>0/unit</f>
        <v>0</v>
      </c>
      <c r="K207" s="102">
        <f>0/unit</f>
        <v>0</v>
      </c>
      <c r="L207" s="102">
        <f>0/unit</f>
        <v>0</v>
      </c>
      <c r="M207" s="102">
        <f>0/unit</f>
        <v>0</v>
      </c>
      <c r="N207" s="102">
        <f>0/unit</f>
        <v>0</v>
      </c>
      <c r="O207" s="102">
        <f>0/unit</f>
        <v>0</v>
      </c>
      <c r="P207" s="102">
        <f>0/unit</f>
        <v>0</v>
      </c>
      <c r="Q207" s="102">
        <f>0/unit</f>
        <v>0</v>
      </c>
      <c r="R207" s="102">
        <f>0/unit</f>
        <v>0</v>
      </c>
      <c r="S207" s="102">
        <f>0/unit</f>
        <v>0</v>
      </c>
      <c r="T207" s="102">
        <f>0/unit</f>
        <v>0</v>
      </c>
    </row>
    <row r="208" spans="1:20" outlineLevel="1">
      <c r="A208" s="101" t="s">
        <v>769</v>
      </c>
      <c r="B208" s="102">
        <f>598615.03/unit</f>
        <v>5.9861503000000005E-3</v>
      </c>
      <c r="C208" s="102">
        <f>106273.97/unit</f>
        <v>1.0627397000000001E-3</v>
      </c>
      <c r="D208" s="102">
        <f>145839.99/unit</f>
        <v>1.4583998999999999E-3</v>
      </c>
      <c r="E208" s="102">
        <f>12164.38/unit</f>
        <v>1.2164379999999999E-4</v>
      </c>
      <c r="F208" s="102">
        <f>0/unit</f>
        <v>0</v>
      </c>
      <c r="G208" s="102">
        <f>0/unit</f>
        <v>0</v>
      </c>
      <c r="H208" s="102">
        <f>0/unit</f>
        <v>0</v>
      </c>
      <c r="I208" s="102">
        <f>0/unit</f>
        <v>0</v>
      </c>
      <c r="J208" s="102">
        <f>0/unit</f>
        <v>0</v>
      </c>
      <c r="K208" s="102">
        <f>0/unit</f>
        <v>0</v>
      </c>
      <c r="L208" s="102">
        <f>0/unit</f>
        <v>0</v>
      </c>
      <c r="M208" s="102">
        <f>0/unit</f>
        <v>0</v>
      </c>
      <c r="N208" s="102">
        <f>0/unit</f>
        <v>0</v>
      </c>
      <c r="O208" s="102">
        <f>0/unit</f>
        <v>0</v>
      </c>
      <c r="P208" s="102">
        <f>308035.61/unit</f>
        <v>3.0803560999999998E-3</v>
      </c>
      <c r="Q208" s="102">
        <f>280831.88/unit</f>
        <v>2.8083188E-3</v>
      </c>
      <c r="R208" s="102">
        <f>0/unit</f>
        <v>0</v>
      </c>
      <c r="S208" s="102">
        <f>0/unit</f>
        <v>0</v>
      </c>
      <c r="T208" s="102">
        <f>0/unit</f>
        <v>0</v>
      </c>
    </row>
    <row r="209" spans="1:20" outlineLevel="1">
      <c r="A209" s="101" t="s">
        <v>770</v>
      </c>
      <c r="B209" s="102">
        <f>0/unit</f>
        <v>0</v>
      </c>
      <c r="C209" s="102">
        <f>0/unit</f>
        <v>0</v>
      </c>
      <c r="D209" s="102">
        <f>0/unit</f>
        <v>0</v>
      </c>
      <c r="E209" s="102">
        <f>0/unit</f>
        <v>0</v>
      </c>
      <c r="F209" s="102">
        <f>140000/unit</f>
        <v>1.4E-3</v>
      </c>
      <c r="G209" s="102">
        <f>0/unit</f>
        <v>0</v>
      </c>
      <c r="H209" s="102">
        <f>0/unit</f>
        <v>0</v>
      </c>
      <c r="I209" s="102">
        <f>1880785.61/unit</f>
        <v>1.8807856100000003E-2</v>
      </c>
      <c r="J209" s="102">
        <f>0/unit</f>
        <v>0</v>
      </c>
      <c r="K209" s="102">
        <f>0/unit</f>
        <v>0</v>
      </c>
      <c r="L209" s="102">
        <f>0/unit</f>
        <v>0</v>
      </c>
      <c r="M209" s="102">
        <f>248370.84/unit</f>
        <v>2.4837084E-3</v>
      </c>
      <c r="N209" s="102">
        <f>10000/unit</f>
        <v>1E-4</v>
      </c>
      <c r="O209" s="102">
        <f>0/unit</f>
        <v>0</v>
      </c>
      <c r="P209" s="102">
        <f>434572.64/unit</f>
        <v>4.3457264000000004E-3</v>
      </c>
      <c r="Q209" s="102">
        <f>5448927.5/unit</f>
        <v>5.4489274999999997E-2</v>
      </c>
      <c r="R209" s="102">
        <f>451824.91/unit</f>
        <v>4.5182490999999998E-3</v>
      </c>
      <c r="S209" s="102">
        <f>545145.78/unit</f>
        <v>5.4514578000000001E-3</v>
      </c>
      <c r="T209" s="102">
        <f>443572.93/unit</f>
        <v>4.4357292999999999E-3</v>
      </c>
    </row>
    <row r="210" spans="1:20" outlineLevel="1">
      <c r="A210" s="101" t="s">
        <v>771</v>
      </c>
      <c r="B210" s="102">
        <f>0/unit</f>
        <v>0</v>
      </c>
      <c r="C210" s="102">
        <f>0/unit</f>
        <v>0</v>
      </c>
      <c r="D210" s="102">
        <f>0/unit</f>
        <v>0</v>
      </c>
      <c r="E210" s="102">
        <f>0/unit</f>
        <v>0</v>
      </c>
      <c r="F210" s="102">
        <f>0/unit</f>
        <v>0</v>
      </c>
      <c r="G210" s="102">
        <f>0/unit</f>
        <v>0</v>
      </c>
      <c r="H210" s="102">
        <f>0/unit</f>
        <v>0</v>
      </c>
      <c r="I210" s="102">
        <f>0/unit</f>
        <v>0</v>
      </c>
      <c r="J210" s="102">
        <f>0/unit</f>
        <v>0</v>
      </c>
      <c r="K210" s="102">
        <f>0/unit</f>
        <v>0</v>
      </c>
      <c r="L210" s="102">
        <f>0/unit</f>
        <v>0</v>
      </c>
      <c r="M210" s="102">
        <f>0/unit</f>
        <v>0</v>
      </c>
      <c r="N210" s="102">
        <f>0/unit</f>
        <v>0</v>
      </c>
      <c r="O210" s="102">
        <f>0/unit</f>
        <v>0</v>
      </c>
      <c r="P210" s="102">
        <f>0/unit</f>
        <v>0</v>
      </c>
      <c r="Q210" s="102">
        <f>0/unit</f>
        <v>0</v>
      </c>
      <c r="R210" s="102">
        <f>0/unit</f>
        <v>0</v>
      </c>
      <c r="S210" s="102">
        <f>0/unit</f>
        <v>0</v>
      </c>
      <c r="T210" s="102">
        <f>0/unit</f>
        <v>0</v>
      </c>
    </row>
    <row r="211" spans="1:20" outlineLevel="1">
      <c r="A211" s="101" t="s">
        <v>772</v>
      </c>
      <c r="B211" s="102">
        <f>0/unit</f>
        <v>0</v>
      </c>
      <c r="C211" s="102">
        <f>0/unit</f>
        <v>0</v>
      </c>
      <c r="D211" s="102">
        <f>0/unit</f>
        <v>0</v>
      </c>
      <c r="E211" s="102">
        <f>0/unit</f>
        <v>0</v>
      </c>
      <c r="F211" s="102">
        <f>0/unit</f>
        <v>0</v>
      </c>
      <c r="G211" s="102">
        <f>0/unit</f>
        <v>0</v>
      </c>
      <c r="H211" s="102">
        <f>0/unit</f>
        <v>0</v>
      </c>
      <c r="I211" s="102">
        <f>0/unit</f>
        <v>0</v>
      </c>
      <c r="J211" s="102">
        <f>0/unit</f>
        <v>0</v>
      </c>
      <c r="K211" s="102">
        <f>0/unit</f>
        <v>0</v>
      </c>
      <c r="L211" s="102">
        <f>0/unit</f>
        <v>0</v>
      </c>
      <c r="M211" s="102">
        <f>0/unit</f>
        <v>0</v>
      </c>
      <c r="N211" s="102">
        <f>0/unit</f>
        <v>0</v>
      </c>
      <c r="O211" s="102">
        <f>0/unit</f>
        <v>0</v>
      </c>
      <c r="P211" s="102">
        <f>0/unit</f>
        <v>0</v>
      </c>
      <c r="Q211" s="102">
        <f>0/unit</f>
        <v>0</v>
      </c>
      <c r="R211" s="102">
        <f>0/unit</f>
        <v>0</v>
      </c>
      <c r="S211" s="102">
        <f>0/unit</f>
        <v>0</v>
      </c>
      <c r="T211" s="102">
        <f>0/unit</f>
        <v>0</v>
      </c>
    </row>
    <row r="212" spans="1:20" outlineLevel="1">
      <c r="A212" s="101" t="s">
        <v>773</v>
      </c>
      <c r="B212" s="102">
        <f>162000000/unit</f>
        <v>1.62</v>
      </c>
      <c r="C212" s="102">
        <f>20000000/unit</f>
        <v>0.2</v>
      </c>
      <c r="D212" s="102">
        <f>15000000/unit</f>
        <v>0.15</v>
      </c>
      <c r="E212" s="102">
        <f>0/unit</f>
        <v>0</v>
      </c>
      <c r="F212" s="102">
        <f>0/unit</f>
        <v>0</v>
      </c>
      <c r="G212" s="102">
        <f>0/unit</f>
        <v>0</v>
      </c>
      <c r="H212" s="102">
        <f>0/unit</f>
        <v>0</v>
      </c>
      <c r="I212" s="102">
        <f>0/unit</f>
        <v>0</v>
      </c>
      <c r="J212" s="102">
        <f>0/unit</f>
        <v>0</v>
      </c>
      <c r="K212" s="102">
        <f>0/unit</f>
        <v>0</v>
      </c>
      <c r="L212" s="102">
        <f>0/unit</f>
        <v>0</v>
      </c>
      <c r="M212" s="102">
        <f>0/unit</f>
        <v>0</v>
      </c>
      <c r="N212" s="102">
        <f>50132814.14/unit</f>
        <v>0.50132814140000004</v>
      </c>
      <c r="O212" s="102">
        <f>-132814.140000001/unit</f>
        <v>-1.32814140000001E-3</v>
      </c>
      <c r="P212" s="102">
        <f>0/unit</f>
        <v>0</v>
      </c>
      <c r="Q212" s="102">
        <f>0/unit</f>
        <v>0</v>
      </c>
      <c r="R212" s="102">
        <f>0/unit</f>
        <v>0</v>
      </c>
      <c r="S212" s="102">
        <f>0/unit</f>
        <v>0</v>
      </c>
      <c r="T212" s="102">
        <f>0/unit</f>
        <v>0</v>
      </c>
    </row>
    <row r="213" spans="1:20" outlineLevel="1">
      <c r="A213" s="101" t="s">
        <v>774</v>
      </c>
      <c r="B213" s="102">
        <f>0/unit</f>
        <v>0</v>
      </c>
      <c r="C213" s="102">
        <f>0/unit</f>
        <v>0</v>
      </c>
      <c r="D213" s="102">
        <f>0/unit</f>
        <v>0</v>
      </c>
      <c r="E213" s="102">
        <f>0/unit</f>
        <v>0</v>
      </c>
      <c r="F213" s="102">
        <f>0/unit</f>
        <v>0</v>
      </c>
      <c r="G213" s="102">
        <f>0/unit</f>
        <v>0</v>
      </c>
      <c r="H213" s="102">
        <f>0/unit</f>
        <v>0</v>
      </c>
      <c r="I213" s="102">
        <f>0/unit</f>
        <v>0</v>
      </c>
      <c r="J213" s="102">
        <f>0/unit</f>
        <v>0</v>
      </c>
      <c r="K213" s="102">
        <f>0/unit</f>
        <v>0</v>
      </c>
      <c r="L213" s="102">
        <f>0/unit</f>
        <v>0</v>
      </c>
      <c r="M213" s="102">
        <f>0/unit</f>
        <v>0</v>
      </c>
      <c r="N213" s="102">
        <f>0/unit</f>
        <v>0</v>
      </c>
      <c r="O213" s="102">
        <f>0/unit</f>
        <v>0</v>
      </c>
      <c r="P213" s="102">
        <f>0/unit</f>
        <v>0</v>
      </c>
      <c r="Q213" s="102">
        <f>0/unit</f>
        <v>0</v>
      </c>
      <c r="R213" s="102">
        <f>0/unit</f>
        <v>0</v>
      </c>
      <c r="S213" s="102">
        <f>0/unit</f>
        <v>0</v>
      </c>
      <c r="T213" s="102">
        <f>0/unit</f>
        <v>0</v>
      </c>
    </row>
    <row r="214" spans="1:20" outlineLevel="1">
      <c r="A214" s="101" t="s">
        <v>775</v>
      </c>
      <c r="B214" s="102">
        <f>0/unit</f>
        <v>0</v>
      </c>
      <c r="C214" s="102">
        <f>0/unit</f>
        <v>0</v>
      </c>
      <c r="D214" s="102">
        <f>0/unit</f>
        <v>0</v>
      </c>
      <c r="E214" s="102">
        <f>0/unit</f>
        <v>0</v>
      </c>
      <c r="F214" s="102">
        <f>0/unit</f>
        <v>0</v>
      </c>
      <c r="G214" s="102">
        <f>0/unit</f>
        <v>0</v>
      </c>
      <c r="H214" s="102">
        <f>0/unit</f>
        <v>0</v>
      </c>
      <c r="I214" s="102">
        <f>0/unit</f>
        <v>0</v>
      </c>
      <c r="J214" s="102">
        <f>0/unit</f>
        <v>0</v>
      </c>
      <c r="K214" s="102">
        <f>0/unit</f>
        <v>0</v>
      </c>
      <c r="L214" s="102">
        <f>0/unit</f>
        <v>0</v>
      </c>
      <c r="M214" s="102">
        <f>0/unit</f>
        <v>0</v>
      </c>
      <c r="N214" s="102">
        <f>0/unit</f>
        <v>0</v>
      </c>
      <c r="O214" s="102">
        <f>0/unit</f>
        <v>0</v>
      </c>
      <c r="P214" s="102">
        <f>0/unit</f>
        <v>0</v>
      </c>
      <c r="Q214" s="102">
        <f>0/unit</f>
        <v>0</v>
      </c>
      <c r="R214" s="102">
        <f>0/unit</f>
        <v>0</v>
      </c>
      <c r="S214" s="102">
        <f>0/unit</f>
        <v>0</v>
      </c>
      <c r="T214" s="102">
        <f>0/unit</f>
        <v>0</v>
      </c>
    </row>
    <row r="215" spans="1:20" outlineLevel="1">
      <c r="A215" s="101" t="s">
        <v>776</v>
      </c>
      <c r="B215" s="102">
        <f>162598615.03/unit</f>
        <v>1.6259861502999999</v>
      </c>
      <c r="C215" s="102">
        <f>20106273.97/unit</f>
        <v>0.20106273969999999</v>
      </c>
      <c r="D215" s="102">
        <f>15145839.99/unit</f>
        <v>0.15145839990000001</v>
      </c>
      <c r="E215" s="102">
        <f>168164.379999995/unit</f>
        <v>1.68164379999995E-3</v>
      </c>
      <c r="F215" s="102">
        <f>140000/unit</f>
        <v>1.4E-3</v>
      </c>
      <c r="G215" s="102">
        <f>0/unit</f>
        <v>0</v>
      </c>
      <c r="H215" s="102">
        <f>0/unit</f>
        <v>0</v>
      </c>
      <c r="I215" s="102">
        <f>1880785.61/unit</f>
        <v>1.8807856100000003E-2</v>
      </c>
      <c r="J215" s="102">
        <f>0/unit</f>
        <v>0</v>
      </c>
      <c r="K215" s="102">
        <f>0/unit</f>
        <v>0</v>
      </c>
      <c r="L215" s="102">
        <f>48000/unit</f>
        <v>4.8000000000000001E-4</v>
      </c>
      <c r="M215" s="102">
        <f>248370.84/unit</f>
        <v>2.4837084E-3</v>
      </c>
      <c r="N215" s="102">
        <f>50142814.14/unit</f>
        <v>0.50142814140000003</v>
      </c>
      <c r="O215" s="102">
        <f>1032249.84/unit</f>
        <v>1.03224984E-2</v>
      </c>
      <c r="P215" s="102">
        <f>742608.25/unit</f>
        <v>7.4260825000000003E-3</v>
      </c>
      <c r="Q215" s="102">
        <f>5729759.38/unit</f>
        <v>5.7297593799999998E-2</v>
      </c>
      <c r="R215" s="102">
        <f>451824.91/unit</f>
        <v>4.5182490999999998E-3</v>
      </c>
      <c r="S215" s="102">
        <f>545145.78/unit</f>
        <v>5.4514578000000001E-3</v>
      </c>
      <c r="T215" s="102">
        <f>443572.93/unit</f>
        <v>4.4357292999999999E-3</v>
      </c>
    </row>
    <row r="216" spans="1:20" outlineLevel="1">
      <c r="A216" s="101" t="s">
        <v>777</v>
      </c>
      <c r="B216" s="102">
        <f>105677929.51/unit</f>
        <v>1.0567792951000001</v>
      </c>
      <c r="C216" s="102">
        <f>91008645.46/unit</f>
        <v>0.91008645459999993</v>
      </c>
      <c r="D216" s="102">
        <f>162092154.81/unit</f>
        <v>1.6209215481000001</v>
      </c>
      <c r="E216" s="102">
        <f>30159026.35/unit</f>
        <v>0.30159026350000001</v>
      </c>
      <c r="F216" s="102">
        <f>112504541.21/unit</f>
        <v>1.1250454121</v>
      </c>
      <c r="G216" s="102">
        <f>194803832.34/unit</f>
        <v>1.9480383234</v>
      </c>
      <c r="H216" s="102">
        <f>243575137.95/unit</f>
        <v>2.4357513795000001</v>
      </c>
      <c r="I216" s="102">
        <f>121337239.63/unit</f>
        <v>1.2133723963</v>
      </c>
      <c r="J216" s="102">
        <f>79405920.49/unit</f>
        <v>0.79405920489999993</v>
      </c>
      <c r="K216" s="102">
        <f>136342723.55/unit</f>
        <v>1.3634272355000001</v>
      </c>
      <c r="L216" s="102">
        <f>116862460.11/unit</f>
        <v>1.1686246011000001</v>
      </c>
      <c r="M216" s="102">
        <f>26194049.33/unit</f>
        <v>0.26194049329999997</v>
      </c>
      <c r="N216" s="102">
        <f>175643377.54/unit</f>
        <v>1.7564337753999999</v>
      </c>
      <c r="O216" s="102">
        <f>137639599.68/unit</f>
        <v>1.3763959968000001</v>
      </c>
      <c r="P216" s="102">
        <f>102527627.23/unit</f>
        <v>1.0252762723</v>
      </c>
      <c r="Q216" s="102">
        <f>12952216.73/unit</f>
        <v>0.12952216729999999</v>
      </c>
      <c r="R216" s="102">
        <f>265442035.66/unit</f>
        <v>2.6544203565999998</v>
      </c>
      <c r="S216" s="102">
        <f>215841607.81/unit</f>
        <v>2.1584160781000001</v>
      </c>
      <c r="T216" s="102">
        <f>168027091.4/unit</f>
        <v>1.6802709140000001</v>
      </c>
    </row>
    <row r="217" spans="1:20" outlineLevel="1">
      <c r="A217" s="101" t="s">
        <v>778</v>
      </c>
      <c r="B217" s="102">
        <f>244547.9/unit</f>
        <v>2.445479E-3</v>
      </c>
      <c r="C217" s="102">
        <f>0/unit</f>
        <v>0</v>
      </c>
      <c r="D217" s="102">
        <f>0/unit</f>
        <v>0</v>
      </c>
      <c r="E217" s="102">
        <f>0/unit</f>
        <v>0</v>
      </c>
      <c r="F217" s="102">
        <f>0/unit</f>
        <v>0</v>
      </c>
      <c r="G217" s="102">
        <f>0/unit</f>
        <v>0</v>
      </c>
      <c r="H217" s="102">
        <f>0/unit</f>
        <v>0</v>
      </c>
      <c r="I217" s="102">
        <f>0/unit</f>
        <v>0</v>
      </c>
      <c r="J217" s="102">
        <f>5000000/unit</f>
        <v>0.05</v>
      </c>
      <c r="K217" s="102">
        <f>180678082.45/unit</f>
        <v>1.8067808244999999</v>
      </c>
      <c r="L217" s="102">
        <f>5000000/unit</f>
        <v>0.05</v>
      </c>
      <c r="M217" s="102">
        <f>-187078082.45/unit</f>
        <v>-1.8707808244999999</v>
      </c>
      <c r="N217" s="102">
        <f>0/unit</f>
        <v>0</v>
      </c>
      <c r="O217" s="102">
        <f>0/unit</f>
        <v>0</v>
      </c>
      <c r="P217" s="102">
        <f>0/unit</f>
        <v>0</v>
      </c>
      <c r="Q217" s="102">
        <f>0/unit</f>
        <v>0</v>
      </c>
      <c r="R217" s="102">
        <f>20000000/unit</f>
        <v>0.2</v>
      </c>
      <c r="S217" s="102">
        <f>0/unit</f>
        <v>0</v>
      </c>
      <c r="T217" s="102">
        <f>0/unit</f>
        <v>0</v>
      </c>
    </row>
    <row r="218" spans="1:20" outlineLevel="1">
      <c r="A218" s="101" t="s">
        <v>779</v>
      </c>
      <c r="B218" s="102">
        <f>0/unit</f>
        <v>0</v>
      </c>
      <c r="C218" s="102">
        <f>0/unit</f>
        <v>0</v>
      </c>
      <c r="D218" s="102">
        <f>0/unit</f>
        <v>0</v>
      </c>
      <c r="E218" s="102">
        <f>0/unit</f>
        <v>0</v>
      </c>
      <c r="F218" s="102">
        <f>0/unit</f>
        <v>0</v>
      </c>
      <c r="G218" s="102">
        <f>0/unit</f>
        <v>0</v>
      </c>
      <c r="H218" s="102">
        <f>0/unit</f>
        <v>0</v>
      </c>
      <c r="I218" s="102">
        <f>0/unit</f>
        <v>0</v>
      </c>
      <c r="J218" s="102">
        <f>0/unit</f>
        <v>0</v>
      </c>
      <c r="K218" s="102">
        <f>0/unit</f>
        <v>0</v>
      </c>
      <c r="L218" s="102">
        <f>0/unit</f>
        <v>0</v>
      </c>
      <c r="M218" s="102">
        <f>0/unit</f>
        <v>0</v>
      </c>
      <c r="N218" s="102">
        <f>0/unit</f>
        <v>0</v>
      </c>
      <c r="O218" s="102">
        <f>0/unit</f>
        <v>0</v>
      </c>
      <c r="P218" s="102">
        <f>0/unit</f>
        <v>0</v>
      </c>
      <c r="Q218" s="102">
        <f>0/unit</f>
        <v>0</v>
      </c>
      <c r="R218" s="102">
        <f>0/unit</f>
        <v>0</v>
      </c>
      <c r="S218" s="102">
        <f>0/unit</f>
        <v>0</v>
      </c>
      <c r="T218" s="102">
        <f>0/unit</f>
        <v>0</v>
      </c>
    </row>
    <row r="219" spans="1:20" outlineLevel="1">
      <c r="A219" s="101" t="s">
        <v>780</v>
      </c>
      <c r="B219" s="102">
        <f>0/unit</f>
        <v>0</v>
      </c>
      <c r="C219" s="102">
        <f>0/unit</f>
        <v>0</v>
      </c>
      <c r="D219" s="102">
        <f>0/unit</f>
        <v>0</v>
      </c>
      <c r="E219" s="102">
        <f>0/unit</f>
        <v>0</v>
      </c>
      <c r="F219" s="102">
        <f>0/unit</f>
        <v>0</v>
      </c>
      <c r="G219" s="102">
        <f>0/unit</f>
        <v>0</v>
      </c>
      <c r="H219" s="102">
        <f>0/unit</f>
        <v>0</v>
      </c>
      <c r="I219" s="102">
        <f>0/unit</f>
        <v>0</v>
      </c>
      <c r="J219" s="102">
        <f>0/unit</f>
        <v>0</v>
      </c>
      <c r="K219" s="102">
        <f>0/unit</f>
        <v>0</v>
      </c>
      <c r="L219" s="102">
        <f>0/unit</f>
        <v>0</v>
      </c>
      <c r="M219" s="102">
        <f>0/unit</f>
        <v>0</v>
      </c>
      <c r="N219" s="102">
        <f>0/unit</f>
        <v>0</v>
      </c>
      <c r="O219" s="102">
        <f>0/unit</f>
        <v>0</v>
      </c>
      <c r="P219" s="102">
        <f>0/unit</f>
        <v>0</v>
      </c>
      <c r="Q219" s="102">
        <f>0/unit</f>
        <v>0</v>
      </c>
      <c r="R219" s="102">
        <f>0/unit</f>
        <v>0</v>
      </c>
      <c r="S219" s="102">
        <f>0/unit</f>
        <v>0</v>
      </c>
      <c r="T219" s="102">
        <f>0/unit</f>
        <v>0</v>
      </c>
    </row>
    <row r="220" spans="1:20" outlineLevel="1">
      <c r="A220" s="101" t="s">
        <v>781</v>
      </c>
      <c r="B220" s="102">
        <f>0/unit</f>
        <v>0</v>
      </c>
      <c r="C220" s="102">
        <f>0/unit</f>
        <v>0</v>
      </c>
      <c r="D220" s="102">
        <f>0/unit</f>
        <v>0</v>
      </c>
      <c r="E220" s="102">
        <f>0/unit</f>
        <v>0</v>
      </c>
      <c r="F220" s="102">
        <f>0/unit</f>
        <v>0</v>
      </c>
      <c r="G220" s="102">
        <f>0/unit</f>
        <v>0</v>
      </c>
      <c r="H220" s="102">
        <f>0/unit</f>
        <v>0</v>
      </c>
      <c r="I220" s="102">
        <f>0/unit</f>
        <v>0</v>
      </c>
      <c r="J220" s="102">
        <f>0/unit</f>
        <v>0</v>
      </c>
      <c r="K220" s="102">
        <f>0/unit</f>
        <v>0</v>
      </c>
      <c r="L220" s="102">
        <f>0/unit</f>
        <v>0</v>
      </c>
      <c r="M220" s="102">
        <f>0/unit</f>
        <v>0</v>
      </c>
      <c r="N220" s="102">
        <f>0/unit</f>
        <v>0</v>
      </c>
      <c r="O220" s="102">
        <f>0/unit</f>
        <v>0</v>
      </c>
      <c r="P220" s="102">
        <f>0/unit</f>
        <v>0</v>
      </c>
      <c r="Q220" s="102">
        <f>0/unit</f>
        <v>0</v>
      </c>
      <c r="R220" s="102">
        <f>0/unit</f>
        <v>0</v>
      </c>
      <c r="S220" s="102">
        <f>0/unit</f>
        <v>0</v>
      </c>
      <c r="T220" s="102">
        <f>0/unit</f>
        <v>0</v>
      </c>
    </row>
    <row r="221" spans="1:20" outlineLevel="1">
      <c r="A221" s="101" t="s">
        <v>782</v>
      </c>
      <c r="B221" s="102">
        <f>137000000/unit</f>
        <v>1.37</v>
      </c>
      <c r="C221" s="102">
        <f>0/unit</f>
        <v>0</v>
      </c>
      <c r="D221" s="102">
        <f>0/unit</f>
        <v>0</v>
      </c>
      <c r="E221" s="102">
        <f>0/unit</f>
        <v>0</v>
      </c>
      <c r="F221" s="102">
        <f>0/unit</f>
        <v>0</v>
      </c>
      <c r="G221" s="102">
        <f>0/unit</f>
        <v>0</v>
      </c>
      <c r="H221" s="102">
        <f>0/unit</f>
        <v>0</v>
      </c>
      <c r="I221" s="102">
        <f>0/unit</f>
        <v>0</v>
      </c>
      <c r="J221" s="102">
        <f>0/unit</f>
        <v>0</v>
      </c>
      <c r="K221" s="102">
        <f>0/unit</f>
        <v>0</v>
      </c>
      <c r="L221" s="102">
        <f>0/unit</f>
        <v>0</v>
      </c>
      <c r="M221" s="102">
        <f>0/unit</f>
        <v>0</v>
      </c>
      <c r="N221" s="102">
        <f>5000000/unit</f>
        <v>0.05</v>
      </c>
      <c r="O221" s="102">
        <f>0/unit</f>
        <v>0</v>
      </c>
      <c r="P221" s="102">
        <f>0/unit</f>
        <v>0</v>
      </c>
      <c r="Q221" s="102">
        <f>0/unit</f>
        <v>0</v>
      </c>
      <c r="R221" s="102">
        <f>0/unit</f>
        <v>0</v>
      </c>
      <c r="S221" s="102">
        <f>0/unit</f>
        <v>0</v>
      </c>
      <c r="T221" s="102">
        <f>0/unit</f>
        <v>0</v>
      </c>
    </row>
    <row r="222" spans="1:20" outlineLevel="1">
      <c r="A222" s="101" t="s">
        <v>783</v>
      </c>
      <c r="B222" s="102">
        <f>0/unit</f>
        <v>0</v>
      </c>
      <c r="C222" s="102">
        <f>0/unit</f>
        <v>0</v>
      </c>
      <c r="D222" s="102">
        <f>0/unit</f>
        <v>0</v>
      </c>
      <c r="E222" s="102">
        <f>0/unit</f>
        <v>0</v>
      </c>
      <c r="F222" s="102">
        <f>0/unit</f>
        <v>0</v>
      </c>
      <c r="G222" s="102">
        <f>0/unit</f>
        <v>0</v>
      </c>
      <c r="H222" s="102">
        <f>0/unit</f>
        <v>0</v>
      </c>
      <c r="I222" s="102">
        <f>0/unit</f>
        <v>0</v>
      </c>
      <c r="J222" s="102">
        <f>0/unit</f>
        <v>0</v>
      </c>
      <c r="K222" s="102">
        <f>0/unit</f>
        <v>0</v>
      </c>
      <c r="L222" s="102">
        <f>0/unit</f>
        <v>0</v>
      </c>
      <c r="M222" s="102">
        <f>0/unit</f>
        <v>0</v>
      </c>
      <c r="N222" s="102">
        <f>0/unit</f>
        <v>0</v>
      </c>
      <c r="O222" s="102">
        <f>0/unit</f>
        <v>0</v>
      </c>
      <c r="P222" s="102">
        <f>0/unit</f>
        <v>0</v>
      </c>
      <c r="Q222" s="102">
        <f>0/unit</f>
        <v>0</v>
      </c>
      <c r="R222" s="102">
        <f>0/unit</f>
        <v>0</v>
      </c>
      <c r="S222" s="102">
        <f>0/unit</f>
        <v>0</v>
      </c>
      <c r="T222" s="102">
        <f>0/unit</f>
        <v>0</v>
      </c>
    </row>
    <row r="223" spans="1:20" outlineLevel="1">
      <c r="A223" s="101" t="s">
        <v>784</v>
      </c>
      <c r="B223" s="102">
        <f>0/unit</f>
        <v>0</v>
      </c>
      <c r="C223" s="102">
        <f>0/unit</f>
        <v>0</v>
      </c>
      <c r="D223" s="102">
        <f>0/unit</f>
        <v>0</v>
      </c>
      <c r="E223" s="102">
        <f>0/unit</f>
        <v>0</v>
      </c>
      <c r="F223" s="102">
        <f>0/unit</f>
        <v>0</v>
      </c>
      <c r="G223" s="102">
        <f>0/unit</f>
        <v>0</v>
      </c>
      <c r="H223" s="102">
        <f>0/unit</f>
        <v>0</v>
      </c>
      <c r="I223" s="102">
        <f>0/unit</f>
        <v>0</v>
      </c>
      <c r="J223" s="102">
        <f>0/unit</f>
        <v>0</v>
      </c>
      <c r="K223" s="102">
        <f>0/unit</f>
        <v>0</v>
      </c>
      <c r="L223" s="102">
        <f>0/unit</f>
        <v>0</v>
      </c>
      <c r="M223" s="102">
        <f>0/unit</f>
        <v>0</v>
      </c>
      <c r="N223" s="102">
        <f>0/unit</f>
        <v>0</v>
      </c>
      <c r="O223" s="102">
        <f>0/unit</f>
        <v>0</v>
      </c>
      <c r="P223" s="102">
        <f>0/unit</f>
        <v>0</v>
      </c>
      <c r="Q223" s="102">
        <f>0/unit</f>
        <v>0</v>
      </c>
      <c r="R223" s="102">
        <f>0/unit</f>
        <v>0</v>
      </c>
      <c r="S223" s="102">
        <f>0/unit</f>
        <v>0</v>
      </c>
      <c r="T223" s="102">
        <f>0/unit</f>
        <v>0</v>
      </c>
    </row>
    <row r="224" spans="1:20" outlineLevel="1">
      <c r="A224" s="101" t="s">
        <v>785</v>
      </c>
      <c r="B224" s="102">
        <f>242922477.41/unit</f>
        <v>2.4292247741000002</v>
      </c>
      <c r="C224" s="102">
        <f>91008645.46/unit</f>
        <v>0.91008645459999993</v>
      </c>
      <c r="D224" s="102">
        <f>162092154.81/unit</f>
        <v>1.6209215481000001</v>
      </c>
      <c r="E224" s="102">
        <f>30159026.35/unit</f>
        <v>0.30159026350000001</v>
      </c>
      <c r="F224" s="102">
        <f>112504541.21/unit</f>
        <v>1.1250454121</v>
      </c>
      <c r="G224" s="102">
        <f>194803832.34/unit</f>
        <v>1.9480383234</v>
      </c>
      <c r="H224" s="102">
        <f>243575137.95/unit</f>
        <v>2.4357513795000001</v>
      </c>
      <c r="I224" s="102">
        <f>121337239.63/unit</f>
        <v>1.2133723963</v>
      </c>
      <c r="J224" s="102">
        <f>84405920.49/unit</f>
        <v>0.84405920489999997</v>
      </c>
      <c r="K224" s="102">
        <f>317020806/unit</f>
        <v>3.1702080600000002</v>
      </c>
      <c r="L224" s="102">
        <f>121862460.11/unit</f>
        <v>1.2186246010999999</v>
      </c>
      <c r="M224" s="102">
        <f>65554759.3299999/unit</f>
        <v>0.65554759329999901</v>
      </c>
      <c r="N224" s="102">
        <f>180643377.54/unit</f>
        <v>1.8064337753999999</v>
      </c>
      <c r="O224" s="102">
        <f>137639599.68/unit</f>
        <v>1.3763959968000001</v>
      </c>
      <c r="P224" s="102">
        <f>102527627.23/unit</f>
        <v>1.0252762723</v>
      </c>
      <c r="Q224" s="102">
        <f>12952216.73/unit</f>
        <v>0.12952216729999999</v>
      </c>
      <c r="R224" s="102">
        <f>285442035.66/unit</f>
        <v>2.8544203566000004</v>
      </c>
      <c r="S224" s="102">
        <f>215841607.81/unit</f>
        <v>2.1584160781000001</v>
      </c>
      <c r="T224" s="102">
        <f>168027091.4/unit</f>
        <v>1.6802709140000001</v>
      </c>
    </row>
    <row r="225" spans="1:20" outlineLevel="1">
      <c r="A225" s="101" t="s">
        <v>786</v>
      </c>
      <c r="B225" s="102">
        <f>0/unit</f>
        <v>0</v>
      </c>
      <c r="C225" s="102">
        <f>0/unit</f>
        <v>0</v>
      </c>
      <c r="D225" s="102">
        <f>0/unit</f>
        <v>0</v>
      </c>
      <c r="E225" s="102">
        <f>0/unit</f>
        <v>0</v>
      </c>
      <c r="F225" s="102">
        <f>0/unit</f>
        <v>0</v>
      </c>
      <c r="G225" s="102">
        <f>0/unit</f>
        <v>0</v>
      </c>
      <c r="H225" s="102">
        <f>0/unit</f>
        <v>0</v>
      </c>
      <c r="I225" s="102">
        <f>0/unit</f>
        <v>0</v>
      </c>
      <c r="J225" s="102">
        <f>0/unit</f>
        <v>0</v>
      </c>
      <c r="K225" s="102">
        <f>0/unit</f>
        <v>0</v>
      </c>
      <c r="L225" s="102">
        <f>0/unit</f>
        <v>0</v>
      </c>
      <c r="M225" s="102">
        <f>0/unit</f>
        <v>0</v>
      </c>
      <c r="N225" s="102">
        <f>0/unit</f>
        <v>0</v>
      </c>
      <c r="O225" s="102">
        <f>0/unit</f>
        <v>0</v>
      </c>
      <c r="P225" s="102">
        <f>0/unit</f>
        <v>0</v>
      </c>
      <c r="Q225" s="102">
        <f>0/unit</f>
        <v>0</v>
      </c>
      <c r="R225" s="102">
        <f>0/unit</f>
        <v>0</v>
      </c>
      <c r="S225" s="102">
        <f>0/unit</f>
        <v>0</v>
      </c>
      <c r="T225" s="102">
        <f>0/unit</f>
        <v>0</v>
      </c>
    </row>
    <row r="226" spans="1:20" outlineLevel="1">
      <c r="A226" s="99" t="s">
        <v>787</v>
      </c>
      <c r="B226" s="102">
        <f>0/unit</f>
        <v>0</v>
      </c>
      <c r="C226" s="102">
        <f>0/unit</f>
        <v>0</v>
      </c>
      <c r="D226" s="102">
        <f>0/unit</f>
        <v>0</v>
      </c>
      <c r="E226" s="102">
        <f>0/unit</f>
        <v>0</v>
      </c>
      <c r="F226" s="102">
        <f>0/unit</f>
        <v>0</v>
      </c>
      <c r="G226" s="102">
        <f>0/unit</f>
        <v>0</v>
      </c>
      <c r="H226" s="102">
        <f>0/unit</f>
        <v>0</v>
      </c>
      <c r="I226" s="102">
        <f>0/unit</f>
        <v>0</v>
      </c>
      <c r="J226" s="102">
        <f>0/unit</f>
        <v>0</v>
      </c>
      <c r="K226" s="102">
        <f>0/unit</f>
        <v>0</v>
      </c>
      <c r="L226" s="102">
        <f>0/unit</f>
        <v>0</v>
      </c>
      <c r="M226" s="102">
        <f>0/unit</f>
        <v>0</v>
      </c>
      <c r="N226" s="102">
        <f>0/unit</f>
        <v>0</v>
      </c>
      <c r="O226" s="102">
        <f>0/unit</f>
        <v>0</v>
      </c>
      <c r="P226" s="102">
        <f>0/unit</f>
        <v>0</v>
      </c>
      <c r="Q226" s="102">
        <f>0/unit</f>
        <v>0</v>
      </c>
      <c r="R226" s="102">
        <f>0/unit</f>
        <v>0</v>
      </c>
      <c r="S226" s="102">
        <f>0/unit</f>
        <v>0</v>
      </c>
      <c r="T226" s="102">
        <f>0/unit</f>
        <v>0</v>
      </c>
    </row>
    <row r="227" spans="1:20" outlineLevel="1">
      <c r="A227" s="99" t="s">
        <v>788</v>
      </c>
      <c r="B227" s="102">
        <f>-80323862.38/unit</f>
        <v>-0.8032386238</v>
      </c>
      <c r="C227" s="102">
        <f>-70902371.49/unit</f>
        <v>-0.70902371489999994</v>
      </c>
      <c r="D227" s="102">
        <f>-146946314.82/unit</f>
        <v>-1.4694631482</v>
      </c>
      <c r="E227" s="102">
        <f>-29990861.97/unit</f>
        <v>-0.29990861969999999</v>
      </c>
      <c r="F227" s="102">
        <f>-112364541.21/unit</f>
        <v>-1.1236454120999999</v>
      </c>
      <c r="G227" s="102">
        <f>-194803832.34/unit</f>
        <v>-1.9480383234</v>
      </c>
      <c r="H227" s="102">
        <f>-243575137.95/unit</f>
        <v>-2.4357513795000001</v>
      </c>
      <c r="I227" s="102">
        <f>-119456454.02/unit</f>
        <v>-1.1945645402</v>
      </c>
      <c r="J227" s="102">
        <f>-84405920.49/unit</f>
        <v>-0.84405920489999997</v>
      </c>
      <c r="K227" s="102">
        <f>-316020806/unit</f>
        <v>-3.16020806</v>
      </c>
      <c r="L227" s="102">
        <f>-121814460.11/unit</f>
        <v>-1.2181446010999999</v>
      </c>
      <c r="M227" s="102">
        <f>-65306388.49/unit</f>
        <v>-0.6530638849</v>
      </c>
      <c r="N227" s="102">
        <f>-130500563.4/unit</f>
        <v>-1.305005634</v>
      </c>
      <c r="O227" s="102">
        <f>-136607349.84/unit</f>
        <v>-1.3660734984</v>
      </c>
      <c r="P227" s="102">
        <f>-101785018.98/unit</f>
        <v>-1.0178501898000001</v>
      </c>
      <c r="Q227" s="102">
        <f>-7222457.34999996/unit</f>
        <v>-7.2224573499999598E-2</v>
      </c>
      <c r="R227" s="102">
        <f>-284990210.75/unit</f>
        <v>-2.8499021075000002</v>
      </c>
      <c r="S227" s="102">
        <f>-215296462.03/unit</f>
        <v>-2.1529646203000001</v>
      </c>
      <c r="T227" s="102">
        <f>-167583518.47/unit</f>
        <v>-1.6758351846999999</v>
      </c>
    </row>
    <row r="228" spans="1:20" outlineLevel="1">
      <c r="A228" s="101" t="s">
        <v>789</v>
      </c>
      <c r="B228" s="102"/>
      <c r="C228" s="102"/>
      <c r="D228" s="102"/>
      <c r="E228" s="102"/>
      <c r="F228" s="102"/>
      <c r="G228" s="102"/>
      <c r="H228" s="102"/>
      <c r="I228" s="102"/>
      <c r="J228" s="102"/>
      <c r="K228" s="102"/>
      <c r="L228" s="102"/>
      <c r="M228" s="102"/>
      <c r="N228" s="102"/>
      <c r="O228" s="102"/>
      <c r="P228" s="102"/>
      <c r="Q228" s="102"/>
      <c r="R228" s="102"/>
      <c r="S228" s="102"/>
      <c r="T228" s="102"/>
    </row>
    <row r="229" spans="1:20" outlineLevel="1">
      <c r="A229" s="101" t="s">
        <v>790</v>
      </c>
      <c r="B229" s="102">
        <f>0/unit</f>
        <v>0</v>
      </c>
      <c r="C229" s="102">
        <f>0/unit</f>
        <v>0</v>
      </c>
      <c r="D229" s="102">
        <f>0/unit</f>
        <v>0</v>
      </c>
      <c r="E229" s="102">
        <f>0/unit</f>
        <v>0</v>
      </c>
      <c r="F229" s="102">
        <f>0/unit</f>
        <v>0</v>
      </c>
      <c r="G229" s="102">
        <f>0/unit</f>
        <v>0</v>
      </c>
      <c r="H229" s="102">
        <f>0/unit</f>
        <v>0</v>
      </c>
      <c r="I229" s="102">
        <f>23509750/unit</f>
        <v>0.23509749999999999</v>
      </c>
      <c r="J229" s="102">
        <f>0/unit</f>
        <v>0</v>
      </c>
      <c r="K229" s="102">
        <f>0/unit</f>
        <v>0</v>
      </c>
      <c r="L229" s="102">
        <f>0/unit</f>
        <v>0</v>
      </c>
      <c r="M229" s="102">
        <f>9616000/unit</f>
        <v>9.6159999999999995E-2</v>
      </c>
      <c r="N229" s="102">
        <f>0/unit</f>
        <v>0</v>
      </c>
      <c r="O229" s="102">
        <f>0/unit</f>
        <v>0</v>
      </c>
      <c r="P229" s="102">
        <f>0/unit</f>
        <v>0</v>
      </c>
      <c r="Q229" s="102">
        <f>0/unit</f>
        <v>0</v>
      </c>
      <c r="R229" s="102">
        <f>0/unit</f>
        <v>0</v>
      </c>
      <c r="S229" s="102">
        <f>0/unit</f>
        <v>0</v>
      </c>
      <c r="T229" s="102">
        <f>0/unit</f>
        <v>0</v>
      </c>
    </row>
    <row r="230" spans="1:20" outlineLevel="1">
      <c r="A230" s="101" t="s">
        <v>791</v>
      </c>
      <c r="B230" s="102">
        <f>0/unit</f>
        <v>0</v>
      </c>
      <c r="C230" s="102">
        <f>0/unit</f>
        <v>0</v>
      </c>
      <c r="D230" s="102">
        <f>0/unit</f>
        <v>0</v>
      </c>
      <c r="E230" s="102">
        <f>0/unit</f>
        <v>0</v>
      </c>
      <c r="F230" s="102">
        <f>0/unit</f>
        <v>0</v>
      </c>
      <c r="G230" s="102">
        <f>0/unit</f>
        <v>0</v>
      </c>
      <c r="H230" s="102">
        <f>0/unit</f>
        <v>0</v>
      </c>
      <c r="I230" s="102">
        <f>0/unit</f>
        <v>0</v>
      </c>
      <c r="J230" s="102">
        <f>0/unit</f>
        <v>0</v>
      </c>
      <c r="K230" s="102">
        <f>0/unit</f>
        <v>0</v>
      </c>
      <c r="L230" s="102">
        <f>0/unit</f>
        <v>0</v>
      </c>
      <c r="M230" s="102">
        <f>0/unit</f>
        <v>0</v>
      </c>
      <c r="N230" s="102">
        <f>0/unit</f>
        <v>0</v>
      </c>
      <c r="O230" s="102">
        <f>0/unit</f>
        <v>0</v>
      </c>
      <c r="P230" s="102">
        <f>0/unit</f>
        <v>0</v>
      </c>
      <c r="Q230" s="102">
        <f>0/unit</f>
        <v>0</v>
      </c>
      <c r="R230" s="102">
        <f>0/unit</f>
        <v>0</v>
      </c>
      <c r="S230" s="102">
        <f>0/unit</f>
        <v>0</v>
      </c>
      <c r="T230" s="102">
        <f>0/unit</f>
        <v>0</v>
      </c>
    </row>
    <row r="231" spans="1:20" outlineLevel="1">
      <c r="A231" s="101" t="s">
        <v>792</v>
      </c>
      <c r="B231" s="102">
        <f>81898489.38/unit</f>
        <v>0.81898489379999995</v>
      </c>
      <c r="C231" s="102">
        <f>326570088.18/unit</f>
        <v>3.2657008818</v>
      </c>
      <c r="D231" s="102">
        <f>42500000/unit</f>
        <v>0.42499999999999999</v>
      </c>
      <c r="E231" s="102">
        <f>151545997.43/unit</f>
        <v>1.5154599743000001</v>
      </c>
      <c r="F231" s="102">
        <f>271670000/unit</f>
        <v>2.7166999999999999</v>
      </c>
      <c r="G231" s="102">
        <f>183750000/unit</f>
        <v>1.8374999999999999</v>
      </c>
      <c r="H231" s="102">
        <f>428915519.62/unit</f>
        <v>4.2891551962000003</v>
      </c>
      <c r="I231" s="102">
        <f>154992850.3/unit</f>
        <v>1.5499285030000001</v>
      </c>
      <c r="J231" s="102">
        <f>127500000/unit</f>
        <v>1.2749999999999999</v>
      </c>
      <c r="K231" s="102">
        <f>157081955.64/unit</f>
        <v>1.5708195563999998</v>
      </c>
      <c r="L231" s="102">
        <f>102100000/unit</f>
        <v>1.0209999999999999</v>
      </c>
      <c r="M231" s="102">
        <f>-9686184.5/unit</f>
        <v>-9.6861845000000002E-2</v>
      </c>
      <c r="N231" s="102">
        <f>8000000/unit</f>
        <v>0.08</v>
      </c>
      <c r="O231" s="102">
        <f>138689724.68/unit</f>
        <v>1.3868972468</v>
      </c>
      <c r="P231" s="102">
        <f>139770000/unit</f>
        <v>1.3976999999999999</v>
      </c>
      <c r="Q231" s="102">
        <f>60074173.89/unit</f>
        <v>0.60074173890000004</v>
      </c>
      <c r="R231" s="102">
        <f>256045669.43/unit</f>
        <v>2.5604566943</v>
      </c>
      <c r="S231" s="102">
        <f>293337230.1/unit</f>
        <v>2.9333723010000003</v>
      </c>
      <c r="T231" s="102">
        <f>230825669.43/unit</f>
        <v>2.3082566943000002</v>
      </c>
    </row>
    <row r="232" spans="1:20" outlineLevel="1">
      <c r="A232" s="101" t="s">
        <v>793</v>
      </c>
      <c r="B232" s="102">
        <f>0/unit</f>
        <v>0</v>
      </c>
      <c r="C232" s="102">
        <f>0/unit</f>
        <v>0</v>
      </c>
      <c r="D232" s="102">
        <f>0/unit</f>
        <v>0</v>
      </c>
      <c r="E232" s="102">
        <f>0/unit</f>
        <v>0</v>
      </c>
      <c r="F232" s="102">
        <f>0/unit</f>
        <v>0</v>
      </c>
      <c r="G232" s="102">
        <f>0/unit</f>
        <v>0</v>
      </c>
      <c r="H232" s="102">
        <f>0/unit</f>
        <v>0</v>
      </c>
      <c r="I232" s="102">
        <f>0/unit</f>
        <v>0</v>
      </c>
      <c r="J232" s="102">
        <f>0/unit</f>
        <v>0</v>
      </c>
      <c r="K232" s="102">
        <f>0/unit</f>
        <v>0</v>
      </c>
      <c r="L232" s="102">
        <f>0/unit</f>
        <v>0</v>
      </c>
      <c r="M232" s="102">
        <f>0/unit</f>
        <v>0</v>
      </c>
      <c r="N232" s="102">
        <f>0/unit</f>
        <v>0</v>
      </c>
      <c r="O232" s="102">
        <f>0/unit</f>
        <v>0</v>
      </c>
      <c r="P232" s="102">
        <f>0/unit</f>
        <v>0</v>
      </c>
      <c r="Q232" s="102">
        <f>0/unit</f>
        <v>0</v>
      </c>
      <c r="R232" s="102">
        <f>0/unit</f>
        <v>0</v>
      </c>
      <c r="S232" s="102">
        <f>0/unit</f>
        <v>0</v>
      </c>
      <c r="T232" s="102">
        <f>0/unit</f>
        <v>0</v>
      </c>
    </row>
    <row r="233" spans="1:20" outlineLevel="1">
      <c r="A233" s="101" t="s">
        <v>794</v>
      </c>
      <c r="B233" s="102">
        <f>235371.24/unit</f>
        <v>2.3537123999999997E-3</v>
      </c>
      <c r="C233" s="102">
        <f>159757.43/unit</f>
        <v>1.5975742999999999E-3</v>
      </c>
      <c r="D233" s="102">
        <f>687.530000000028/unit</f>
        <v>6.8753000000002804E-6</v>
      </c>
      <c r="E233" s="102">
        <f>21327045.27/unit</f>
        <v>0.2132704527</v>
      </c>
      <c r="F233" s="102">
        <f>30000000/unit</f>
        <v>0.3</v>
      </c>
      <c r="G233" s="102">
        <f>0/unit</f>
        <v>0</v>
      </c>
      <c r="H233" s="102">
        <f>0/unit</f>
        <v>0</v>
      </c>
      <c r="I233" s="102">
        <f>-15110168.12/unit</f>
        <v>-0.1511016812</v>
      </c>
      <c r="J233" s="102">
        <f>0/unit</f>
        <v>0</v>
      </c>
      <c r="K233" s="102">
        <f>0/unit</f>
        <v>0</v>
      </c>
      <c r="L233" s="102">
        <f>0/unit</f>
        <v>0</v>
      </c>
      <c r="M233" s="102">
        <f>0/unit</f>
        <v>0</v>
      </c>
      <c r="N233" s="102">
        <f>0/unit</f>
        <v>0</v>
      </c>
      <c r="O233" s="102">
        <f>0/unit</f>
        <v>0</v>
      </c>
      <c r="P233" s="102">
        <f>0/unit</f>
        <v>0</v>
      </c>
      <c r="Q233" s="102">
        <f>0/unit</f>
        <v>0</v>
      </c>
      <c r="R233" s="102">
        <f>0/unit</f>
        <v>0</v>
      </c>
      <c r="S233" s="102">
        <f>0/unit</f>
        <v>0</v>
      </c>
      <c r="T233" s="102">
        <f>0/unit</f>
        <v>0</v>
      </c>
    </row>
    <row r="234" spans="1:20" outlineLevel="1">
      <c r="A234" s="101" t="s">
        <v>795</v>
      </c>
      <c r="B234" s="102">
        <f>0/unit</f>
        <v>0</v>
      </c>
      <c r="C234" s="102">
        <f>0/unit</f>
        <v>0</v>
      </c>
      <c r="D234" s="102">
        <f>0/unit</f>
        <v>0</v>
      </c>
      <c r="E234" s="102">
        <f>0/unit</f>
        <v>0</v>
      </c>
      <c r="F234" s="102">
        <f>0/unit</f>
        <v>0</v>
      </c>
      <c r="G234" s="102">
        <f>0/unit</f>
        <v>0</v>
      </c>
      <c r="H234" s="102">
        <f>0/unit</f>
        <v>0</v>
      </c>
      <c r="I234" s="102">
        <f>0/unit</f>
        <v>0</v>
      </c>
      <c r="J234" s="102">
        <f>0/unit</f>
        <v>0</v>
      </c>
      <c r="K234" s="102">
        <f>0/unit</f>
        <v>0</v>
      </c>
      <c r="L234" s="102">
        <f>0/unit</f>
        <v>0</v>
      </c>
      <c r="M234" s="102">
        <f>0/unit</f>
        <v>0</v>
      </c>
      <c r="N234" s="102">
        <f>0/unit</f>
        <v>0</v>
      </c>
      <c r="O234" s="102">
        <f>0/unit</f>
        <v>0</v>
      </c>
      <c r="P234" s="102">
        <f>0/unit</f>
        <v>0</v>
      </c>
      <c r="Q234" s="102">
        <f>0/unit</f>
        <v>0</v>
      </c>
      <c r="R234" s="102">
        <f>0/unit</f>
        <v>0</v>
      </c>
      <c r="S234" s="102">
        <f>0/unit</f>
        <v>0</v>
      </c>
      <c r="T234" s="102">
        <f>0/unit</f>
        <v>0</v>
      </c>
    </row>
    <row r="235" spans="1:20" outlineLevel="1">
      <c r="A235" s="101" t="s">
        <v>796</v>
      </c>
      <c r="B235" s="102">
        <f>0/unit</f>
        <v>0</v>
      </c>
      <c r="C235" s="102">
        <f>0/unit</f>
        <v>0</v>
      </c>
      <c r="D235" s="102">
        <f>0/unit</f>
        <v>0</v>
      </c>
      <c r="E235" s="102">
        <f>0/unit</f>
        <v>0</v>
      </c>
      <c r="F235" s="102">
        <f>0/unit</f>
        <v>0</v>
      </c>
      <c r="G235" s="102">
        <f>0/unit</f>
        <v>0</v>
      </c>
      <c r="H235" s="102">
        <f>0/unit</f>
        <v>0</v>
      </c>
      <c r="I235" s="102">
        <f>0/unit</f>
        <v>0</v>
      </c>
      <c r="J235" s="102">
        <f>0/unit</f>
        <v>0</v>
      </c>
      <c r="K235" s="102">
        <f>0/unit</f>
        <v>0</v>
      </c>
      <c r="L235" s="102">
        <f>0/unit</f>
        <v>0</v>
      </c>
      <c r="M235" s="102">
        <f>0/unit</f>
        <v>0</v>
      </c>
      <c r="N235" s="102">
        <f>0/unit</f>
        <v>0</v>
      </c>
      <c r="O235" s="102">
        <f>0/unit</f>
        <v>0</v>
      </c>
      <c r="P235" s="102">
        <f>0/unit</f>
        <v>0</v>
      </c>
      <c r="Q235" s="102">
        <f>0/unit</f>
        <v>0</v>
      </c>
      <c r="R235" s="102">
        <f>0/unit</f>
        <v>0</v>
      </c>
      <c r="S235" s="102">
        <f>0/unit</f>
        <v>0</v>
      </c>
      <c r="T235" s="102">
        <f>0/unit</f>
        <v>0</v>
      </c>
    </row>
    <row r="236" spans="1:20" outlineLevel="1">
      <c r="A236" s="101" t="s">
        <v>797</v>
      </c>
      <c r="B236" s="102">
        <f>82133860.62/unit</f>
        <v>0.8213386062000001</v>
      </c>
      <c r="C236" s="102">
        <f>326729845.61/unit</f>
        <v>3.2672984561000002</v>
      </c>
      <c r="D236" s="102">
        <f>42500687.53/unit</f>
        <v>0.42500687530000003</v>
      </c>
      <c r="E236" s="102">
        <f>172873042.7/unit</f>
        <v>1.7287304269999999</v>
      </c>
      <c r="F236" s="102">
        <f>301670000/unit</f>
        <v>3.0167000000000002</v>
      </c>
      <c r="G236" s="102">
        <f>183750000/unit</f>
        <v>1.8374999999999999</v>
      </c>
      <c r="H236" s="102">
        <f>538338569.62/unit</f>
        <v>5.3833856962000004</v>
      </c>
      <c r="I236" s="102">
        <f>163392432.18/unit</f>
        <v>1.6339243218000001</v>
      </c>
      <c r="J236" s="102">
        <f>127500000/unit</f>
        <v>1.2749999999999999</v>
      </c>
      <c r="K236" s="102">
        <f>157081955.64/unit</f>
        <v>1.5708195563999998</v>
      </c>
      <c r="L236" s="102">
        <f>1215974990/unit</f>
        <v>12.1597499</v>
      </c>
      <c r="M236" s="102">
        <f>10282486.25/unit</f>
        <v>0.1028248625</v>
      </c>
      <c r="N236" s="102">
        <f>8000000/unit</f>
        <v>0.08</v>
      </c>
      <c r="O236" s="102">
        <f>138689724.68/unit</f>
        <v>1.3868972468</v>
      </c>
      <c r="P236" s="102">
        <f>143445000/unit</f>
        <v>1.43445</v>
      </c>
      <c r="Q236" s="102">
        <f>60074173.89/unit</f>
        <v>0.60074173890000004</v>
      </c>
      <c r="R236" s="102">
        <f>256045669.43/unit</f>
        <v>2.5604566943</v>
      </c>
      <c r="S236" s="102">
        <f>293337230.1/unit</f>
        <v>2.9333723010000003</v>
      </c>
      <c r="T236" s="102">
        <f>234500669.43/unit</f>
        <v>2.3450066942999999</v>
      </c>
    </row>
    <row r="237" spans="1:20" outlineLevel="1">
      <c r="A237" s="101" t="s">
        <v>798</v>
      </c>
      <c r="B237" s="102">
        <f>37461946.23/unit</f>
        <v>0.37461946229999998</v>
      </c>
      <c r="C237" s="102">
        <f>81936996.48/unit</f>
        <v>0.81936996480000002</v>
      </c>
      <c r="D237" s="102">
        <f>215924285.48/unit</f>
        <v>2.1592428548</v>
      </c>
      <c r="E237" s="102">
        <f>197314070.64/unit</f>
        <v>1.9731407063999999</v>
      </c>
      <c r="F237" s="102">
        <f>108224371.21/unit</f>
        <v>1.0822437120999999</v>
      </c>
      <c r="G237" s="102">
        <f>33000000/unit</f>
        <v>0.33</v>
      </c>
      <c r="H237" s="102">
        <f>282170000/unit</f>
        <v>2.8216999999999999</v>
      </c>
      <c r="I237" s="102">
        <f>239276676.98/unit</f>
        <v>2.3927667697999997</v>
      </c>
      <c r="J237" s="102">
        <f>67500000/unit</f>
        <v>0.67500000000000004</v>
      </c>
      <c r="K237" s="102">
        <f>119752042.71/unit</f>
        <v>1.1975204271</v>
      </c>
      <c r="L237" s="102">
        <f>899158282.85/unit</f>
        <v>8.9915828285000003</v>
      </c>
      <c r="M237" s="102">
        <f>-9686184.5/unit</f>
        <v>-9.6861845000000002E-2</v>
      </c>
      <c r="N237" s="102">
        <f>8000000/unit</f>
        <v>0.08</v>
      </c>
      <c r="O237" s="102">
        <f>12310428.21/unit</f>
        <v>0.1231042821</v>
      </c>
      <c r="P237" s="102">
        <f>270129296.47/unit</f>
        <v>2.7012929647000004</v>
      </c>
      <c r="Q237" s="102">
        <f>0/unit</f>
        <v>0</v>
      </c>
      <c r="R237" s="102">
        <f>20000/unit</f>
        <v>2.0000000000000001E-4</v>
      </c>
      <c r="S237" s="102">
        <f>7337230.1/unit</f>
        <v>7.3372301000000001E-2</v>
      </c>
      <c r="T237" s="102">
        <f>364484891.14/unit</f>
        <v>3.6448489114</v>
      </c>
    </row>
    <row r="238" spans="1:20" outlineLevel="1">
      <c r="A238" s="101" t="s">
        <v>799</v>
      </c>
      <c r="B238" s="102">
        <f>1212300.23/unit</f>
        <v>1.21230023E-2</v>
      </c>
      <c r="C238" s="102">
        <f>3862033.24/unit</f>
        <v>3.8620332400000006E-2</v>
      </c>
      <c r="D238" s="102">
        <f>3316044.67/unit</f>
        <v>3.3160446699999999E-2</v>
      </c>
      <c r="E238" s="102">
        <f>3739801.6/unit</f>
        <v>3.7398015999999999E-2</v>
      </c>
      <c r="F238" s="102">
        <f>2147670.1/unit</f>
        <v>2.1476701000000001E-2</v>
      </c>
      <c r="G238" s="102">
        <f>152854308.61/unit</f>
        <v>1.5285430861000002</v>
      </c>
      <c r="H238" s="102">
        <f>8797977.88/unit</f>
        <v>8.7979778800000005E-2</v>
      </c>
      <c r="I238" s="102">
        <f>11335989.02/unit</f>
        <v>0.11335989019999999</v>
      </c>
      <c r="J238" s="102">
        <f>7446319.47/unit</f>
        <v>7.4463194699999999E-2</v>
      </c>
      <c r="K238" s="102">
        <f>8791284.14/unit</f>
        <v>8.7912841400000011E-2</v>
      </c>
      <c r="L238" s="102">
        <f>171675489.66/unit</f>
        <v>1.7167548965999999</v>
      </c>
      <c r="M238" s="102">
        <f>161663.849999994/unit</f>
        <v>1.6166384999999402E-3</v>
      </c>
      <c r="N238" s="102">
        <f>1014.99/unit</f>
        <v>1.0149900000000001E-5</v>
      </c>
      <c r="O238" s="102">
        <f>163519512.25/unit</f>
        <v>1.6351951225000001</v>
      </c>
      <c r="P238" s="102">
        <f>1587581.19/unit</f>
        <v>1.5875811899999998E-2</v>
      </c>
      <c r="Q238" s="102">
        <f>369978.400000006/unit</f>
        <v>3.6997840000000601E-3</v>
      </c>
      <c r="R238" s="102">
        <f>1711585.11/unit</f>
        <v>1.7115851100000003E-2</v>
      </c>
      <c r="S238" s="102">
        <f>163894407.94/unit</f>
        <v>1.6389440794000001</v>
      </c>
      <c r="T238" s="102">
        <f>5198607.79999998/unit</f>
        <v>5.1986077999999804E-2</v>
      </c>
    </row>
    <row r="239" spans="1:20" outlineLevel="1">
      <c r="A239" s="101" t="s">
        <v>800</v>
      </c>
      <c r="B239" s="102">
        <f>0/unit</f>
        <v>0</v>
      </c>
      <c r="C239" s="102">
        <f>0/unit</f>
        <v>0</v>
      </c>
      <c r="D239" s="102">
        <f>0/unit</f>
        <v>0</v>
      </c>
      <c r="E239" s="102">
        <f>0/unit</f>
        <v>0</v>
      </c>
      <c r="F239" s="102">
        <f>0/unit</f>
        <v>0</v>
      </c>
      <c r="G239" s="102">
        <f>0/unit</f>
        <v>0</v>
      </c>
      <c r="H239" s="102">
        <f>0/unit</f>
        <v>0</v>
      </c>
      <c r="I239" s="102">
        <f>0/unit</f>
        <v>0</v>
      </c>
      <c r="J239" s="102">
        <f>0/unit</f>
        <v>0</v>
      </c>
      <c r="K239" s="102">
        <f>0/unit</f>
        <v>0</v>
      </c>
      <c r="L239" s="102">
        <f>0/unit</f>
        <v>0</v>
      </c>
      <c r="M239" s="102">
        <f>0/unit</f>
        <v>0</v>
      </c>
      <c r="N239" s="102">
        <f>0/unit</f>
        <v>0</v>
      </c>
      <c r="O239" s="102">
        <f>0/unit</f>
        <v>0</v>
      </c>
      <c r="P239" s="102">
        <f>0/unit</f>
        <v>0</v>
      </c>
      <c r="Q239" s="102">
        <f>0/unit</f>
        <v>0</v>
      </c>
      <c r="R239" s="102">
        <f>0/unit</f>
        <v>0</v>
      </c>
      <c r="S239" s="102">
        <f>0/unit</f>
        <v>0</v>
      </c>
      <c r="T239" s="102">
        <f>0/unit</f>
        <v>0</v>
      </c>
    </row>
    <row r="240" spans="1:20" outlineLevel="1">
      <c r="A240" s="101" t="s">
        <v>801</v>
      </c>
      <c r="B240" s="102">
        <f>0/unit</f>
        <v>0</v>
      </c>
      <c r="C240" s="102">
        <f>0/unit</f>
        <v>0</v>
      </c>
      <c r="D240" s="102">
        <f>0/unit</f>
        <v>0</v>
      </c>
      <c r="E240" s="102">
        <f>0/unit</f>
        <v>0</v>
      </c>
      <c r="F240" s="102">
        <f>0/unit</f>
        <v>0</v>
      </c>
      <c r="G240" s="102">
        <f>0/unit</f>
        <v>0</v>
      </c>
      <c r="H240" s="102">
        <f>0/unit</f>
        <v>0</v>
      </c>
      <c r="I240" s="102">
        <f>0/unit</f>
        <v>0</v>
      </c>
      <c r="J240" s="102">
        <f>0/unit</f>
        <v>0</v>
      </c>
      <c r="K240" s="102">
        <f>0/unit</f>
        <v>0</v>
      </c>
      <c r="L240" s="102">
        <f>0/unit</f>
        <v>0</v>
      </c>
      <c r="M240" s="102">
        <f>0/unit</f>
        <v>0</v>
      </c>
      <c r="N240" s="102">
        <f>0/unit</f>
        <v>0</v>
      </c>
      <c r="O240" s="102">
        <f>0/unit</f>
        <v>0</v>
      </c>
      <c r="P240" s="102">
        <f>0/unit</f>
        <v>0</v>
      </c>
      <c r="Q240" s="102">
        <f>0/unit</f>
        <v>0</v>
      </c>
      <c r="R240" s="102">
        <f>0/unit</f>
        <v>0</v>
      </c>
      <c r="S240" s="102">
        <f>0/unit</f>
        <v>0</v>
      </c>
      <c r="T240" s="102">
        <f>0/unit</f>
        <v>0</v>
      </c>
    </row>
    <row r="241" spans="1:20" outlineLevel="1">
      <c r="A241" s="101" t="s">
        <v>1777</v>
      </c>
      <c r="B241" s="102">
        <f>372592.67/unit</f>
        <v>3.7259266999999999E-3</v>
      </c>
      <c r="C241" s="102">
        <f>30000000/unit</f>
        <v>0.3</v>
      </c>
      <c r="D241" s="102">
        <f>0/unit</f>
        <v>0</v>
      </c>
      <c r="E241" s="102">
        <f>21350268.8/unit</f>
        <v>0.213502688</v>
      </c>
      <c r="F241" s="102">
        <f>1300/unit</f>
        <v>1.2999999999999999E-5</v>
      </c>
      <c r="G241" s="102">
        <f>0/unit</f>
        <v>0</v>
      </c>
      <c r="H241" s="102">
        <f>0/unit</f>
        <v>0</v>
      </c>
      <c r="I241" s="102">
        <f>356426.4/unit</f>
        <v>3.5642640000000001E-3</v>
      </c>
      <c r="J241" s="102">
        <f>0/unit</f>
        <v>0</v>
      </c>
      <c r="K241" s="102">
        <f>0/unit</f>
        <v>0</v>
      </c>
      <c r="L241" s="102">
        <f>0/unit</f>
        <v>0</v>
      </c>
      <c r="M241" s="102">
        <f>-696043.7/unit</f>
        <v>-6.9604369999999999E-3</v>
      </c>
      <c r="N241" s="102">
        <f>0/unit</f>
        <v>0</v>
      </c>
      <c r="O241" s="102">
        <f>0/unit</f>
        <v>0</v>
      </c>
      <c r="P241" s="102">
        <f>0/unit</f>
        <v>0</v>
      </c>
      <c r="Q241" s="102">
        <f>30755793.75/unit</f>
        <v>0.30755793749999999</v>
      </c>
      <c r="R241" s="102">
        <f>63592845.96/unit</f>
        <v>0.6359284596</v>
      </c>
      <c r="S241" s="102">
        <f>96334024.04/unit</f>
        <v>0.9633402404000001</v>
      </c>
      <c r="T241" s="102">
        <f>25918.75/unit</f>
        <v>2.5918749999999998E-4</v>
      </c>
    </row>
    <row r="242" spans="1:20" outlineLevel="1">
      <c r="A242" s="101" t="s">
        <v>803</v>
      </c>
      <c r="B242" s="102">
        <f>0/unit</f>
        <v>0</v>
      </c>
      <c r="C242" s="102">
        <f>0/unit</f>
        <v>0</v>
      </c>
      <c r="D242" s="102">
        <f>0/unit</f>
        <v>0</v>
      </c>
      <c r="E242" s="102">
        <f>0/unit</f>
        <v>0</v>
      </c>
      <c r="F242" s="102">
        <f>0/unit</f>
        <v>0</v>
      </c>
      <c r="G242" s="102">
        <f>0/unit</f>
        <v>0</v>
      </c>
      <c r="H242" s="102">
        <f>0/unit</f>
        <v>0</v>
      </c>
      <c r="I242" s="102">
        <f>0/unit</f>
        <v>0</v>
      </c>
      <c r="J242" s="102">
        <f>0/unit</f>
        <v>0</v>
      </c>
      <c r="K242" s="102">
        <f>0/unit</f>
        <v>0</v>
      </c>
      <c r="L242" s="102">
        <f>0/unit</f>
        <v>0</v>
      </c>
      <c r="M242" s="102">
        <f>0/unit</f>
        <v>0</v>
      </c>
      <c r="N242" s="102">
        <f>0/unit</f>
        <v>0</v>
      </c>
      <c r="O242" s="102">
        <f>0/unit</f>
        <v>0</v>
      </c>
      <c r="P242" s="102">
        <f>0/unit</f>
        <v>0</v>
      </c>
      <c r="Q242" s="102">
        <f>0/unit</f>
        <v>0</v>
      </c>
      <c r="R242" s="102">
        <f>0/unit</f>
        <v>0</v>
      </c>
      <c r="S242" s="102">
        <f>0/unit</f>
        <v>0</v>
      </c>
      <c r="T242" s="102">
        <f>0/unit</f>
        <v>0</v>
      </c>
    </row>
    <row r="243" spans="1:20" outlineLevel="1">
      <c r="A243" s="101" t="s">
        <v>804</v>
      </c>
      <c r="B243" s="102">
        <f>0/unit</f>
        <v>0</v>
      </c>
      <c r="C243" s="102">
        <f>0/unit</f>
        <v>0</v>
      </c>
      <c r="D243" s="102">
        <f>0/unit</f>
        <v>0</v>
      </c>
      <c r="E243" s="102">
        <f>0/unit</f>
        <v>0</v>
      </c>
      <c r="F243" s="102">
        <f>0/unit</f>
        <v>0</v>
      </c>
      <c r="G243" s="102">
        <f>0/unit</f>
        <v>0</v>
      </c>
      <c r="H243" s="102">
        <f>0/unit</f>
        <v>0</v>
      </c>
      <c r="I243" s="102">
        <f>0/unit</f>
        <v>0</v>
      </c>
      <c r="J243" s="102">
        <f>0/unit</f>
        <v>0</v>
      </c>
      <c r="K243" s="102">
        <f>0/unit</f>
        <v>0</v>
      </c>
      <c r="L243" s="102">
        <f>0/unit</f>
        <v>0</v>
      </c>
      <c r="M243" s="102">
        <f>0/unit</f>
        <v>0</v>
      </c>
      <c r="N243" s="102">
        <f>0/unit</f>
        <v>0</v>
      </c>
      <c r="O243" s="102">
        <f>0/unit</f>
        <v>0</v>
      </c>
      <c r="P243" s="102">
        <f>0/unit</f>
        <v>0</v>
      </c>
      <c r="Q243" s="102">
        <f>0/unit</f>
        <v>0</v>
      </c>
      <c r="R243" s="102">
        <f>0/unit</f>
        <v>0</v>
      </c>
      <c r="S243" s="102">
        <f>0/unit</f>
        <v>0</v>
      </c>
      <c r="T243" s="102">
        <f>0/unit</f>
        <v>0</v>
      </c>
    </row>
    <row r="244" spans="1:20" outlineLevel="1">
      <c r="A244" s="101" t="s">
        <v>805</v>
      </c>
      <c r="B244" s="102">
        <f>0/unit</f>
        <v>0</v>
      </c>
      <c r="C244" s="102">
        <f>0/unit</f>
        <v>0</v>
      </c>
      <c r="D244" s="102">
        <f>0/unit</f>
        <v>0</v>
      </c>
      <c r="E244" s="102">
        <f>0/unit</f>
        <v>0</v>
      </c>
      <c r="F244" s="102">
        <f>0/unit</f>
        <v>0</v>
      </c>
      <c r="G244" s="102">
        <f>0/unit</f>
        <v>0</v>
      </c>
      <c r="H244" s="102">
        <f>0/unit</f>
        <v>0</v>
      </c>
      <c r="I244" s="102">
        <f>0/unit</f>
        <v>0</v>
      </c>
      <c r="J244" s="102">
        <f>0/unit</f>
        <v>0</v>
      </c>
      <c r="K244" s="102">
        <f>0/unit</f>
        <v>0</v>
      </c>
      <c r="L244" s="102">
        <f>0/unit</f>
        <v>0</v>
      </c>
      <c r="M244" s="102">
        <f>0/unit</f>
        <v>0</v>
      </c>
      <c r="N244" s="102">
        <f>0/unit</f>
        <v>0</v>
      </c>
      <c r="O244" s="102">
        <f>0/unit</f>
        <v>0</v>
      </c>
      <c r="P244" s="102">
        <f>0/unit</f>
        <v>0</v>
      </c>
      <c r="Q244" s="102">
        <f>0/unit</f>
        <v>0</v>
      </c>
      <c r="R244" s="102">
        <f>0/unit</f>
        <v>0</v>
      </c>
      <c r="S244" s="102">
        <f>0/unit</f>
        <v>0</v>
      </c>
      <c r="T244" s="102">
        <f>0/unit</f>
        <v>0</v>
      </c>
    </row>
    <row r="245" spans="1:20" outlineLevel="1">
      <c r="A245" s="101" t="s">
        <v>806</v>
      </c>
      <c r="B245" s="102">
        <f>39046839.13/unit</f>
        <v>0.39046839130000005</v>
      </c>
      <c r="C245" s="102">
        <f>115799029.72/unit</f>
        <v>1.1579902972</v>
      </c>
      <c r="D245" s="102">
        <f>219240330.15/unit</f>
        <v>2.1924033015000002</v>
      </c>
      <c r="E245" s="102">
        <f>222404141.04/unit</f>
        <v>2.2240414103999999</v>
      </c>
      <c r="F245" s="102">
        <f>110373341.31/unit</f>
        <v>1.1037334131000001</v>
      </c>
      <c r="G245" s="102">
        <f>185854308.61/unit</f>
        <v>1.8585430861000001</v>
      </c>
      <c r="H245" s="102">
        <f>290967977.88/unit</f>
        <v>2.9096797788000002</v>
      </c>
      <c r="I245" s="102">
        <f>250969092.4/unit</f>
        <v>2.509690924</v>
      </c>
      <c r="J245" s="102">
        <f>74946319.47/unit</f>
        <v>0.7494631947</v>
      </c>
      <c r="K245" s="102">
        <f>129583326.85/unit</f>
        <v>1.2958332685</v>
      </c>
      <c r="L245" s="102">
        <f>1070833772.51/unit</f>
        <v>10.7083377251</v>
      </c>
      <c r="M245" s="102">
        <f>-10220564.3499999/unit</f>
        <v>-0.10220564349999901</v>
      </c>
      <c r="N245" s="102">
        <f>8001014.99/unit</f>
        <v>8.0010149900000008E-2</v>
      </c>
      <c r="O245" s="102">
        <f>175829940.46/unit</f>
        <v>1.7582994046</v>
      </c>
      <c r="P245" s="102">
        <f>311682817.66/unit</f>
        <v>3.1168281766000003</v>
      </c>
      <c r="Q245" s="102">
        <f>31125772.15/unit</f>
        <v>0.31125772149999997</v>
      </c>
      <c r="R245" s="102">
        <f>65324431.07/unit</f>
        <v>0.6532443107</v>
      </c>
      <c r="S245" s="102">
        <f>267565662.08/unit</f>
        <v>2.6756566208000003</v>
      </c>
      <c r="T245" s="102">
        <f>369709417.69/unit</f>
        <v>3.6970941768999999</v>
      </c>
    </row>
    <row r="246" spans="1:20" outlineLevel="1">
      <c r="A246" s="101" t="s">
        <v>807</v>
      </c>
      <c r="B246" s="102">
        <f>0/unit</f>
        <v>0</v>
      </c>
      <c r="C246" s="102">
        <f>0/unit</f>
        <v>0</v>
      </c>
      <c r="D246" s="102">
        <f>0/unit</f>
        <v>0</v>
      </c>
      <c r="E246" s="102">
        <f>0/unit</f>
        <v>0</v>
      </c>
      <c r="F246" s="102">
        <f>0/unit</f>
        <v>0</v>
      </c>
      <c r="G246" s="102">
        <f>0/unit</f>
        <v>0</v>
      </c>
      <c r="H246" s="102">
        <f>0/unit</f>
        <v>0</v>
      </c>
      <c r="I246" s="102">
        <f>0/unit</f>
        <v>0</v>
      </c>
      <c r="J246" s="102">
        <f>0/unit</f>
        <v>0</v>
      </c>
      <c r="K246" s="102">
        <f>0/unit</f>
        <v>0</v>
      </c>
      <c r="L246" s="102">
        <f>0/unit</f>
        <v>0</v>
      </c>
      <c r="M246" s="102">
        <f>0/unit</f>
        <v>0</v>
      </c>
      <c r="N246" s="102">
        <f>0/unit</f>
        <v>0</v>
      </c>
      <c r="O246" s="102">
        <f>0/unit</f>
        <v>0</v>
      </c>
      <c r="P246" s="102">
        <f>0/unit</f>
        <v>0</v>
      </c>
      <c r="Q246" s="102">
        <f>0/unit</f>
        <v>0</v>
      </c>
      <c r="R246" s="102">
        <f>0/unit</f>
        <v>0</v>
      </c>
      <c r="S246" s="102">
        <f>0/unit</f>
        <v>0</v>
      </c>
      <c r="T246" s="102">
        <f>0/unit</f>
        <v>0</v>
      </c>
    </row>
    <row r="247" spans="1:20" outlineLevel="1">
      <c r="A247" s="99" t="s">
        <v>808</v>
      </c>
      <c r="B247" s="102">
        <f>0/unit</f>
        <v>0</v>
      </c>
      <c r="C247" s="102">
        <f>0/unit</f>
        <v>0</v>
      </c>
      <c r="D247" s="102">
        <f>0/unit</f>
        <v>0</v>
      </c>
      <c r="E247" s="102">
        <f>0/unit</f>
        <v>0</v>
      </c>
      <c r="F247" s="102">
        <f>0/unit</f>
        <v>0</v>
      </c>
      <c r="G247" s="102">
        <f>0/unit</f>
        <v>0</v>
      </c>
      <c r="H247" s="102">
        <f>0/unit</f>
        <v>0</v>
      </c>
      <c r="I247" s="102">
        <f>0/unit</f>
        <v>0</v>
      </c>
      <c r="J247" s="102">
        <f>0/unit</f>
        <v>0</v>
      </c>
      <c r="K247" s="102">
        <f>0/unit</f>
        <v>0</v>
      </c>
      <c r="L247" s="102">
        <f>0/unit</f>
        <v>0</v>
      </c>
      <c r="M247" s="102">
        <f>0/unit</f>
        <v>0</v>
      </c>
      <c r="N247" s="102">
        <f>0/unit</f>
        <v>0</v>
      </c>
      <c r="O247" s="102">
        <f>0/unit</f>
        <v>0</v>
      </c>
      <c r="P247" s="102">
        <f>0/unit</f>
        <v>0</v>
      </c>
      <c r="Q247" s="102">
        <f>0/unit</f>
        <v>0</v>
      </c>
      <c r="R247" s="102">
        <f>0/unit</f>
        <v>0</v>
      </c>
      <c r="S247" s="102">
        <f>0/unit</f>
        <v>0</v>
      </c>
      <c r="T247" s="102">
        <f>0/unit</f>
        <v>0</v>
      </c>
    </row>
    <row r="248" spans="1:20" outlineLevel="1">
      <c r="A248" s="111" t="s">
        <v>809</v>
      </c>
      <c r="B248" s="102">
        <f>43087021.49/unit</f>
        <v>0.43087021490000005</v>
      </c>
      <c r="C248" s="102">
        <f>210930815.89/unit</f>
        <v>2.1093081588999998</v>
      </c>
      <c r="D248" s="102">
        <f>-176739642.62/unit</f>
        <v>-1.7673964262000001</v>
      </c>
      <c r="E248" s="102">
        <f>-49531098.34/unit</f>
        <v>-0.49531098340000002</v>
      </c>
      <c r="F248" s="102">
        <f>191296658.69/unit</f>
        <v>1.9129665868999999</v>
      </c>
      <c r="G248" s="102">
        <f>-2104308.60999998/unit</f>
        <v>-2.1043086099999799E-2</v>
      </c>
      <c r="H248" s="102">
        <f>247370591.74/unit</f>
        <v>2.4737059174000002</v>
      </c>
      <c r="I248" s="102">
        <f>-87576660.22/unit</f>
        <v>-0.87576660220000002</v>
      </c>
      <c r="J248" s="102">
        <f>52553680.53/unit</f>
        <v>0.52553680530000002</v>
      </c>
      <c r="K248" s="102">
        <f>27498628.79/unit</f>
        <v>0.27498628790000001</v>
      </c>
      <c r="L248" s="102">
        <f>145141217.49/unit</f>
        <v>1.4514121749000002</v>
      </c>
      <c r="M248" s="102">
        <f>20503050.6/unit</f>
        <v>0.205030506</v>
      </c>
      <c r="N248" s="102">
        <f>-1014.99/unit</f>
        <v>-1.0149900000000001E-5</v>
      </c>
      <c r="O248" s="102">
        <f>-37140215.78/unit</f>
        <v>-0.37140215780000002</v>
      </c>
      <c r="P248" s="102">
        <f>-168237817.66/unit</f>
        <v>-1.6823781765999999</v>
      </c>
      <c r="Q248" s="102">
        <f>28948401.74/unit</f>
        <v>0.28948401739999996</v>
      </c>
      <c r="R248" s="102">
        <f>190721238.36/unit</f>
        <v>1.9072123836000001</v>
      </c>
      <c r="S248" s="102">
        <f>25771568.02/unit</f>
        <v>0.25771568020000002</v>
      </c>
      <c r="T248" s="102">
        <f>-135208748.26/unit</f>
        <v>-1.3520874826</v>
      </c>
    </row>
    <row r="249" spans="1:20" outlineLevel="1">
      <c r="A249" s="101" t="s">
        <v>1778</v>
      </c>
      <c r="B249" s="102"/>
      <c r="C249" s="102"/>
      <c r="D249" s="102"/>
      <c r="E249" s="102"/>
      <c r="F249" s="102"/>
      <c r="G249" s="102"/>
      <c r="H249" s="102"/>
      <c r="I249" s="102"/>
      <c r="J249" s="102"/>
      <c r="K249" s="102"/>
      <c r="L249" s="102"/>
      <c r="M249" s="102"/>
      <c r="N249" s="102"/>
      <c r="O249" s="102"/>
      <c r="P249" s="102"/>
      <c r="Q249" s="102"/>
      <c r="R249" s="102"/>
      <c r="S249" s="102"/>
      <c r="T249" s="102"/>
    </row>
    <row r="250" spans="1:20" outlineLevel="1">
      <c r="A250" s="101" t="s">
        <v>811</v>
      </c>
      <c r="B250" s="102">
        <f>17603.01/unit</f>
        <v>1.7603009999999999E-4</v>
      </c>
      <c r="C250" s="102">
        <f>-240775.38/unit</f>
        <v>-2.4077538000000002E-3</v>
      </c>
      <c r="D250" s="102">
        <f>1337782.21/unit</f>
        <v>1.3377822099999999E-2</v>
      </c>
      <c r="E250" s="102">
        <f>-1438176.36/unit</f>
        <v>-1.4381763600000002E-2</v>
      </c>
      <c r="F250" s="102">
        <f>1723819.85/unit</f>
        <v>1.7238198499999999E-2</v>
      </c>
      <c r="G250" s="102">
        <f>522237.39/unit</f>
        <v>5.2223739000000005E-3</v>
      </c>
      <c r="H250" s="102">
        <f>2026092.26/unit</f>
        <v>2.0260922600000002E-2</v>
      </c>
      <c r="I250" s="102">
        <f>-3078026.69/unit</f>
        <v>-3.0780266899999999E-2</v>
      </c>
      <c r="J250" s="102">
        <f>184950.89/unit</f>
        <v>1.8495089000000002E-3</v>
      </c>
      <c r="K250" s="102">
        <f>-2357416.1/unit</f>
        <v>-2.3574161E-2</v>
      </c>
      <c r="L250" s="102">
        <f>-3561696.11/unit</f>
        <v>-3.5616961099999997E-2</v>
      </c>
      <c r="M250" s="102">
        <f>-1572514.12/unit</f>
        <v>-1.5725141200000001E-2</v>
      </c>
      <c r="N250" s="102">
        <f>-9587339.37/unit</f>
        <v>-9.587339369999999E-2</v>
      </c>
      <c r="O250" s="102">
        <f>15590071.98/unit</f>
        <v>0.1559007198</v>
      </c>
      <c r="P250" s="102">
        <f>11124280.42/unit</f>
        <v>0.1112428042</v>
      </c>
      <c r="Q250" s="102">
        <f>-12723464.53/unit</f>
        <v>-0.1272346453</v>
      </c>
      <c r="R250" s="102">
        <f>-1178010.92/unit</f>
        <v>-1.17801092E-2</v>
      </c>
      <c r="S250" s="102">
        <f>686540.38/unit</f>
        <v>6.8654038000000002E-3</v>
      </c>
      <c r="T250" s="102">
        <f>2311056.23/unit</f>
        <v>2.3110562299999998E-2</v>
      </c>
    </row>
    <row r="251" spans="1:20" outlineLevel="1">
      <c r="A251" s="101" t="s">
        <v>812</v>
      </c>
      <c r="B251" s="102">
        <f>0/unit</f>
        <v>0</v>
      </c>
      <c r="C251" s="102">
        <f>0/unit</f>
        <v>0</v>
      </c>
      <c r="D251" s="102">
        <f>0/unit</f>
        <v>0</v>
      </c>
      <c r="E251" s="102">
        <f>0/unit</f>
        <v>0</v>
      </c>
      <c r="F251" s="102">
        <f>0/unit</f>
        <v>0</v>
      </c>
      <c r="G251" s="102">
        <f>0/unit</f>
        <v>0</v>
      </c>
      <c r="H251" s="102">
        <f>0/unit</f>
        <v>0</v>
      </c>
      <c r="I251" s="102">
        <f>0/unit</f>
        <v>0</v>
      </c>
      <c r="J251" s="102">
        <f>0/unit</f>
        <v>0</v>
      </c>
      <c r="K251" s="102">
        <f>0/unit</f>
        <v>0</v>
      </c>
      <c r="L251" s="102">
        <f>0/unit</f>
        <v>0</v>
      </c>
      <c r="M251" s="102">
        <f>0/unit</f>
        <v>0</v>
      </c>
      <c r="N251" s="102">
        <f>0/unit</f>
        <v>0</v>
      </c>
      <c r="O251" s="102">
        <f>0/unit</f>
        <v>0</v>
      </c>
      <c r="P251" s="102">
        <f>0/unit</f>
        <v>0</v>
      </c>
      <c r="Q251" s="102">
        <f>0/unit</f>
        <v>0</v>
      </c>
      <c r="R251" s="102">
        <f>0/unit</f>
        <v>0</v>
      </c>
      <c r="S251" s="102">
        <f>0/unit</f>
        <v>0</v>
      </c>
      <c r="T251" s="102">
        <f>0/unit</f>
        <v>0</v>
      </c>
    </row>
    <row r="252" spans="1:20" outlineLevel="1">
      <c r="A252" s="99" t="s">
        <v>813</v>
      </c>
      <c r="B252" s="102">
        <f>0/unit</f>
        <v>0</v>
      </c>
      <c r="C252" s="102">
        <f>0/unit</f>
        <v>0</v>
      </c>
      <c r="D252" s="102">
        <f>0/unit</f>
        <v>0</v>
      </c>
      <c r="E252" s="102">
        <f>0/unit</f>
        <v>0</v>
      </c>
      <c r="F252" s="102">
        <f>0/unit</f>
        <v>0</v>
      </c>
      <c r="G252" s="102">
        <f>0/unit</f>
        <v>0</v>
      </c>
      <c r="H252" s="102">
        <f>0/unit</f>
        <v>0</v>
      </c>
      <c r="I252" s="102">
        <f>0/unit</f>
        <v>0</v>
      </c>
      <c r="J252" s="102">
        <f>0/unit</f>
        <v>0</v>
      </c>
      <c r="K252" s="102">
        <f>0/unit</f>
        <v>0</v>
      </c>
      <c r="L252" s="102">
        <f>0/unit</f>
        <v>0</v>
      </c>
      <c r="M252" s="102">
        <f>0/unit</f>
        <v>0</v>
      </c>
      <c r="N252" s="102">
        <f>0/unit</f>
        <v>0</v>
      </c>
      <c r="O252" s="102">
        <f>0/unit</f>
        <v>0</v>
      </c>
      <c r="P252" s="102">
        <f>0/unit</f>
        <v>0</v>
      </c>
      <c r="Q252" s="102">
        <f>0/unit</f>
        <v>0</v>
      </c>
      <c r="R252" s="102">
        <f>0/unit</f>
        <v>0</v>
      </c>
      <c r="S252" s="102">
        <f>0/unit</f>
        <v>0</v>
      </c>
      <c r="T252" s="102">
        <f>0/unit</f>
        <v>0</v>
      </c>
    </row>
    <row r="253" spans="1:20" outlineLevel="1">
      <c r="A253" s="101" t="s">
        <v>814</v>
      </c>
      <c r="B253" s="102">
        <f>32859983.34/unit</f>
        <v>0.32859983339999999</v>
      </c>
      <c r="C253" s="102">
        <f>224455435.41/unit</f>
        <v>2.2445543540999999</v>
      </c>
      <c r="D253" s="102">
        <f>-208513297.5/unit</f>
        <v>-2.0851329750000001</v>
      </c>
      <c r="E253" s="102">
        <f>5273233.85/unit</f>
        <v>5.2732338499999996E-2</v>
      </c>
      <c r="F253" s="102">
        <f>127129099.54/unit</f>
        <v>1.2712909954</v>
      </c>
      <c r="G253" s="102">
        <f>-65353246.14/unit</f>
        <v>-0.65353246139999999</v>
      </c>
      <c r="H253" s="102">
        <f>83117335.44/unit</f>
        <v>0.83117335439999995</v>
      </c>
      <c r="I253" s="102">
        <f>-29350129.27/unit</f>
        <v>-0.29350129269999997</v>
      </c>
      <c r="J253" s="102">
        <f>51126019.63/unit</f>
        <v>0.51126019630000008</v>
      </c>
      <c r="K253" s="102">
        <f>-133542310.7/unit</f>
        <v>-1.335423107</v>
      </c>
      <c r="L253" s="102">
        <f>99360451.45/unit</f>
        <v>0.99360451449999998</v>
      </c>
      <c r="M253" s="102">
        <f>105572210.34/unit</f>
        <v>1.0557221033999999</v>
      </c>
      <c r="N253" s="102">
        <f>57306079.69/unit</f>
        <v>0.5730607969</v>
      </c>
      <c r="O253" s="102">
        <f>-31910233.87/unit</f>
        <v>-0.31910233869999999</v>
      </c>
      <c r="P253" s="102">
        <f>-113614805.71/unit</f>
        <v>-1.1361480571</v>
      </c>
      <c r="Q253" s="102">
        <f>137185199.94/unit</f>
        <v>1.3718519994</v>
      </c>
      <c r="R253" s="102">
        <f>-21334655.78/unit</f>
        <v>-0.2133465578</v>
      </c>
      <c r="S253" s="102">
        <f>-12116351.07/unit</f>
        <v>-0.1211635107</v>
      </c>
      <c r="T253" s="102">
        <f>-83175662.14/unit</f>
        <v>-0.83175662139999995</v>
      </c>
    </row>
    <row r="254" spans="1:20" outlineLevel="1">
      <c r="A254" s="101" t="s">
        <v>815</v>
      </c>
      <c r="B254" s="102">
        <f>115826096.6/unit</f>
        <v>1.1582609659999998</v>
      </c>
      <c r="C254" s="102">
        <f>148686079.94/unit</f>
        <v>1.4868607994</v>
      </c>
      <c r="D254" s="102">
        <f>373141515.35/unit</f>
        <v>3.7314151535000004</v>
      </c>
      <c r="E254" s="102">
        <f>164628217.85/unit</f>
        <v>1.6462821784999999</v>
      </c>
      <c r="F254" s="102">
        <f>169901451.7/unit</f>
        <v>1.6990145169999999</v>
      </c>
      <c r="G254" s="102">
        <f>297030551.24/unit</f>
        <v>2.9703055124</v>
      </c>
      <c r="H254" s="102">
        <f>231677305.1/unit</f>
        <v>2.3167730509999998</v>
      </c>
      <c r="I254" s="102">
        <f>314794640.54/unit</f>
        <v>3.1479464054000004</v>
      </c>
      <c r="J254" s="102">
        <f>285444511.27/unit</f>
        <v>2.8544451126999997</v>
      </c>
      <c r="K254" s="102">
        <f>336570530.9/unit</f>
        <v>3.365705309</v>
      </c>
      <c r="L254" s="102">
        <f>203028220.2/unit</f>
        <v>2.030282202</v>
      </c>
      <c r="M254" s="102">
        <f>302388671.65/unit</f>
        <v>3.0238867164999998</v>
      </c>
      <c r="N254" s="102">
        <f>407960881.99/unit</f>
        <v>4.0796088198999998</v>
      </c>
      <c r="O254" s="102">
        <f>465266961.68/unit</f>
        <v>4.6526696167999999</v>
      </c>
      <c r="P254" s="102">
        <f>433356727.81/unit</f>
        <v>4.3335672781000003</v>
      </c>
      <c r="Q254" s="102">
        <f>319741922.1/unit</f>
        <v>3.1974192210000001</v>
      </c>
      <c r="R254" s="102">
        <f>456927122.04/unit</f>
        <v>4.5692712204000001</v>
      </c>
      <c r="S254" s="102">
        <f>435592466.26/unit</f>
        <v>4.3559246625999997</v>
      </c>
      <c r="T254" s="102">
        <f>423476115.19/unit</f>
        <v>4.2347611518999999</v>
      </c>
    </row>
    <row r="255" spans="1:20" outlineLevel="1">
      <c r="A255" s="101" t="s">
        <v>816</v>
      </c>
      <c r="B255" s="102">
        <f>0/unit</f>
        <v>0</v>
      </c>
      <c r="C255" s="102">
        <f>0/unit</f>
        <v>0</v>
      </c>
      <c r="D255" s="102">
        <f>0/unit</f>
        <v>0</v>
      </c>
      <c r="E255" s="102">
        <f>0/unit</f>
        <v>0</v>
      </c>
      <c r="F255" s="102">
        <f>0/unit</f>
        <v>0</v>
      </c>
      <c r="G255" s="102">
        <f>0/unit</f>
        <v>0</v>
      </c>
      <c r="H255" s="102">
        <f>0/unit</f>
        <v>0</v>
      </c>
      <c r="I255" s="102">
        <f>0/unit</f>
        <v>0</v>
      </c>
      <c r="J255" s="102">
        <f>0/unit</f>
        <v>0</v>
      </c>
      <c r="K255" s="102">
        <f>0/unit</f>
        <v>0</v>
      </c>
      <c r="L255" s="102">
        <f>0/unit</f>
        <v>0</v>
      </c>
      <c r="M255" s="102">
        <f>0/unit</f>
        <v>0</v>
      </c>
      <c r="N255" s="102">
        <f>0/unit</f>
        <v>0</v>
      </c>
      <c r="O255" s="102">
        <f>0/unit</f>
        <v>0</v>
      </c>
      <c r="P255" s="102">
        <f>0/unit</f>
        <v>0</v>
      </c>
      <c r="Q255" s="102">
        <f>0/unit</f>
        <v>0</v>
      </c>
      <c r="R255" s="102">
        <f>0/unit</f>
        <v>0</v>
      </c>
      <c r="S255" s="102">
        <f>0/unit</f>
        <v>0</v>
      </c>
      <c r="T255" s="102">
        <f>0/unit</f>
        <v>0</v>
      </c>
    </row>
    <row r="256" spans="1:20" outlineLevel="1">
      <c r="A256" s="101" t="s">
        <v>817</v>
      </c>
      <c r="B256" s="102">
        <f>0/unit</f>
        <v>0</v>
      </c>
      <c r="C256" s="102">
        <f>0/unit</f>
        <v>0</v>
      </c>
      <c r="D256" s="102">
        <f>0/unit</f>
        <v>0</v>
      </c>
      <c r="E256" s="102">
        <f>0/unit</f>
        <v>0</v>
      </c>
      <c r="F256" s="102">
        <f>0/unit</f>
        <v>0</v>
      </c>
      <c r="G256" s="102">
        <f>0/unit</f>
        <v>0</v>
      </c>
      <c r="H256" s="102">
        <f>0/unit</f>
        <v>0</v>
      </c>
      <c r="I256" s="102">
        <f>0/unit</f>
        <v>0</v>
      </c>
      <c r="J256" s="102">
        <f>0/unit</f>
        <v>0</v>
      </c>
      <c r="K256" s="102">
        <f>0/unit</f>
        <v>0</v>
      </c>
      <c r="L256" s="102">
        <f>0/unit</f>
        <v>0</v>
      </c>
      <c r="M256" s="102">
        <f>0/unit</f>
        <v>0</v>
      </c>
      <c r="N256" s="102">
        <f>0/unit</f>
        <v>0</v>
      </c>
      <c r="O256" s="102">
        <f>0/unit</f>
        <v>0</v>
      </c>
      <c r="P256" s="102">
        <f>0/unit</f>
        <v>0</v>
      </c>
      <c r="Q256" s="102">
        <f>0/unit</f>
        <v>0</v>
      </c>
      <c r="R256" s="102">
        <f>0/unit</f>
        <v>0</v>
      </c>
      <c r="S256" s="102">
        <f>0/unit</f>
        <v>0</v>
      </c>
      <c r="T256" s="102">
        <f>0/unit</f>
        <v>0</v>
      </c>
    </row>
    <row r="257" spans="1:20">
      <c r="A257" s="101"/>
      <c r="B257" s="102"/>
      <c r="C257" s="102"/>
      <c r="D257" s="102"/>
      <c r="E257" s="102"/>
      <c r="F257" s="102"/>
      <c r="G257" s="102"/>
      <c r="H257" s="102"/>
      <c r="I257" s="102"/>
      <c r="J257" s="102"/>
      <c r="K257" s="102"/>
      <c r="L257" s="102"/>
      <c r="M257" s="102"/>
      <c r="N257" s="102"/>
      <c r="O257" s="102"/>
      <c r="P257" s="102"/>
      <c r="Q257" s="102"/>
      <c r="R257" s="102"/>
      <c r="S257" s="102"/>
      <c r="T257" s="102"/>
    </row>
    <row r="258" spans="1:20">
      <c r="A258" s="101"/>
      <c r="B258" s="102"/>
      <c r="C258" s="102"/>
      <c r="D258" s="102"/>
      <c r="E258" s="102"/>
      <c r="F258" s="102"/>
      <c r="G258" s="102"/>
      <c r="H258" s="102"/>
      <c r="I258" s="102"/>
      <c r="J258" s="102"/>
      <c r="K258" s="102"/>
      <c r="L258" s="102"/>
      <c r="M258" s="102"/>
      <c r="N258" s="102"/>
      <c r="O258" s="102"/>
      <c r="P258" s="102"/>
      <c r="Q258" s="102"/>
      <c r="R258" s="102"/>
      <c r="S258" s="102"/>
      <c r="T258" s="102"/>
    </row>
    <row r="259" spans="1:20">
      <c r="A259" s="97" t="s">
        <v>1779</v>
      </c>
    </row>
    <row r="260" spans="1:20" outlineLevel="1">
      <c r="A260" s="101" t="s">
        <v>1780</v>
      </c>
      <c r="B260" s="102" t="s">
        <v>1262</v>
      </c>
      <c r="C260" s="102">
        <f>IF(ISERROR(C7/B7-1),"0.00",C7/B7-1)</f>
        <v>0.21262274486074473</v>
      </c>
      <c r="D260" s="102">
        <f t="shared" ref="D260:T260" si="0">IF(ISERROR(D7/C7-1),"0.00",D7/C7-1)</f>
        <v>0.14077162165322554</v>
      </c>
      <c r="E260" s="102">
        <f t="shared" si="0"/>
        <v>4.5731427450015794E-2</v>
      </c>
      <c r="F260" s="102">
        <f t="shared" si="0"/>
        <v>-0.11182421249712626</v>
      </c>
      <c r="G260" s="102">
        <f t="shared" si="0"/>
        <v>0.23115716678348064</v>
      </c>
      <c r="H260" s="102">
        <f t="shared" si="0"/>
        <v>0.15470864987280808</v>
      </c>
      <c r="I260" s="102">
        <f t="shared" si="0"/>
        <v>6.3837074988326359E-2</v>
      </c>
      <c r="J260" s="102">
        <f t="shared" si="0"/>
        <v>-0.29201232151824252</v>
      </c>
      <c r="K260" s="102">
        <f t="shared" si="0"/>
        <v>0.26143693345592967</v>
      </c>
      <c r="L260" s="102">
        <f t="shared" si="0"/>
        <v>0.26857885708743612</v>
      </c>
      <c r="M260" s="102">
        <f t="shared" si="0"/>
        <v>3.7607299531099203E-2</v>
      </c>
      <c r="N260" s="102">
        <f t="shared" si="0"/>
        <v>-0.17673320266181958</v>
      </c>
      <c r="O260" s="102">
        <f t="shared" si="0"/>
        <v>0.29607583078179589</v>
      </c>
      <c r="P260" s="102">
        <f t="shared" si="0"/>
        <v>-2.7858908603176857E-2</v>
      </c>
      <c r="Q260" s="102">
        <f t="shared" si="0"/>
        <v>-1.2069099271763473E-2</v>
      </c>
      <c r="R260" s="102">
        <f t="shared" si="0"/>
        <v>-0.1106675306300724</v>
      </c>
      <c r="S260" s="102">
        <f t="shared" si="0"/>
        <v>0.23523251438217252</v>
      </c>
      <c r="T260" s="102">
        <f t="shared" si="0"/>
        <v>6.0910631161221529E-2</v>
      </c>
    </row>
    <row r="261" spans="1:20" outlineLevel="1">
      <c r="A261" s="101" t="s">
        <v>1781</v>
      </c>
      <c r="B261" s="102" t="s">
        <v>1262</v>
      </c>
      <c r="C261" s="102">
        <f>IF(ISERROR(C14/B14-1),"0.00",C14/B14-1)</f>
        <v>0.25020743319870054</v>
      </c>
      <c r="D261" s="102">
        <f t="shared" ref="D261:T261" si="1">IF(ISERROR(D14/C14-1),"0.00",D14/C14-1)</f>
        <v>0.12990113818135973</v>
      </c>
      <c r="E261" s="102">
        <f t="shared" si="1"/>
        <v>4.0006280682091777E-2</v>
      </c>
      <c r="F261" s="102">
        <f t="shared" si="1"/>
        <v>-0.16646650740217417</v>
      </c>
      <c r="G261" s="102">
        <f t="shared" si="1"/>
        <v>0.31988992761887447</v>
      </c>
      <c r="H261" s="102">
        <f t="shared" si="1"/>
        <v>0.1370194065110395</v>
      </c>
      <c r="I261" s="102">
        <f t="shared" si="1"/>
        <v>0.10000019664523818</v>
      </c>
      <c r="J261" s="102">
        <f t="shared" si="1"/>
        <v>-0.34315141997008491</v>
      </c>
      <c r="K261" s="102">
        <f t="shared" si="1"/>
        <v>0.31580694006552923</v>
      </c>
      <c r="L261" s="102">
        <f t="shared" si="1"/>
        <v>0.3513182452750665</v>
      </c>
      <c r="M261" s="102">
        <f t="shared" si="1"/>
        <v>0.12811963450668884</v>
      </c>
      <c r="N261" s="102">
        <f t="shared" si="1"/>
        <v>-0.24532483131693006</v>
      </c>
      <c r="O261" s="102">
        <f t="shared" si="1"/>
        <v>0.24817433640684494</v>
      </c>
      <c r="P261" s="102">
        <f t="shared" si="1"/>
        <v>-6.3588089293746153E-2</v>
      </c>
      <c r="Q261" s="102">
        <f t="shared" si="1"/>
        <v>0.1019017975630212</v>
      </c>
      <c r="R261" s="102">
        <f t="shared" si="1"/>
        <v>-0.15939721465340384</v>
      </c>
      <c r="S261" s="102">
        <f t="shared" si="1"/>
        <v>0.21864266434037205</v>
      </c>
      <c r="T261" s="102">
        <f t="shared" si="1"/>
        <v>9.6219299897027932E-2</v>
      </c>
    </row>
    <row r="262" spans="1:20" outlineLevel="1">
      <c r="A262" s="101" t="s">
        <v>1782</v>
      </c>
      <c r="B262" s="102" t="s">
        <v>1262</v>
      </c>
      <c r="C262" s="102">
        <f>IF(ISERROR(C43/B43-1),"0.00",C43/B43-1)</f>
        <v>0.14675385202017188</v>
      </c>
      <c r="D262" s="102">
        <f t="shared" ref="D262:T262" si="2">IF(ISERROR(D43/C43-1),"0.00",D43/C43-1)</f>
        <v>0.18899761876642307</v>
      </c>
      <c r="E262" s="102">
        <f t="shared" si="2"/>
        <v>4.1156412121465147E-2</v>
      </c>
      <c r="F262" s="102">
        <f t="shared" si="2"/>
        <v>0.11810863834807006</v>
      </c>
      <c r="G262" s="102">
        <f t="shared" si="2"/>
        <v>-5.8010758455101508E-3</v>
      </c>
      <c r="H262" s="102">
        <f t="shared" si="2"/>
        <v>0.22154796113296293</v>
      </c>
      <c r="I262" s="102">
        <f t="shared" si="2"/>
        <v>-0.12547234325576162</v>
      </c>
      <c r="J262" s="102">
        <f t="shared" si="2"/>
        <v>-0.2024870650265117</v>
      </c>
      <c r="K262" s="102">
        <f t="shared" si="2"/>
        <v>0.67032913454718268</v>
      </c>
      <c r="L262" s="102">
        <f t="shared" si="2"/>
        <v>-0.22521765478239852</v>
      </c>
      <c r="M262" s="102">
        <f t="shared" si="2"/>
        <v>5.5721400185508863E-3</v>
      </c>
      <c r="N262" s="102">
        <f t="shared" si="2"/>
        <v>0.21684885861252812</v>
      </c>
      <c r="O262" s="102">
        <f t="shared" si="2"/>
        <v>0.30369284835210619</v>
      </c>
      <c r="P262" s="102">
        <f t="shared" si="2"/>
        <v>6.3147187418788775E-2</v>
      </c>
      <c r="Q262" s="102">
        <f t="shared" si="2"/>
        <v>-0.55541100879283944</v>
      </c>
      <c r="R262" s="102">
        <f t="shared" si="2"/>
        <v>0.43458527896460031</v>
      </c>
      <c r="S262" s="102">
        <f t="shared" si="2"/>
        <v>0.28994945212974566</v>
      </c>
      <c r="T262" s="102">
        <f t="shared" si="2"/>
        <v>-7.8293897386734534E-2</v>
      </c>
    </row>
    <row r="263" spans="1:20" outlineLevel="1">
      <c r="A263" s="101" t="s">
        <v>1783</v>
      </c>
      <c r="B263" s="102" t="s">
        <v>1262</v>
      </c>
      <c r="C263" s="102">
        <f>IF(ISERROR(C49/B49-1),"0.00",C49/B49-1)</f>
        <v>0.18860333235927662</v>
      </c>
      <c r="D263" s="102">
        <f t="shared" ref="D263:T263" si="3">IF(ISERROR(D49/C49-1),"0.00",D49/C49-1)</f>
        <v>0.25610384636177685</v>
      </c>
      <c r="E263" s="102">
        <f t="shared" si="3"/>
        <v>1.3583503099048544E-2</v>
      </c>
      <c r="F263" s="102">
        <f t="shared" si="3"/>
        <v>4.0777421396740454E-2</v>
      </c>
      <c r="G263" s="102">
        <f t="shared" si="3"/>
        <v>1.0771774755411467E-3</v>
      </c>
      <c r="H263" s="102">
        <f t="shared" si="3"/>
        <v>0.2433552402425867</v>
      </c>
      <c r="I263" s="102">
        <f t="shared" si="3"/>
        <v>-3.841567344718122E-2</v>
      </c>
      <c r="J263" s="102">
        <f t="shared" si="3"/>
        <v>-0.279502946788308</v>
      </c>
      <c r="K263" s="102">
        <f t="shared" si="3"/>
        <v>0.63145593033341552</v>
      </c>
      <c r="L263" s="102">
        <f t="shared" si="3"/>
        <v>-0.21682989506011752</v>
      </c>
      <c r="M263" s="102">
        <f t="shared" si="3"/>
        <v>-8.5144237409153556E-2</v>
      </c>
      <c r="N263" s="102">
        <f t="shared" si="3"/>
        <v>0.32663353641583281</v>
      </c>
      <c r="O263" s="102">
        <f t="shared" si="3"/>
        <v>0.28481036189735454</v>
      </c>
      <c r="P263" s="102">
        <f t="shared" si="3"/>
        <v>6.2746793537787227E-2</v>
      </c>
      <c r="Q263" s="102">
        <f t="shared" si="3"/>
        <v>-0.21203666907852425</v>
      </c>
      <c r="R263" s="102">
        <f t="shared" si="3"/>
        <v>-0.19198984042046863</v>
      </c>
      <c r="S263" s="102">
        <f t="shared" si="3"/>
        <v>0.27969128385587383</v>
      </c>
      <c r="T263" s="102">
        <f t="shared" si="3"/>
        <v>-8.1027888252368729E-2</v>
      </c>
    </row>
    <row r="264" spans="1:20" outlineLevel="1">
      <c r="A264" s="101" t="s">
        <v>1784</v>
      </c>
      <c r="B264" s="102" t="s">
        <v>1262</v>
      </c>
      <c r="C264" s="102">
        <f>IF(ISERROR(C54/B54-1),"0.00",C54/B54-1)</f>
        <v>0.49691285876867108</v>
      </c>
      <c r="D264" s="102">
        <f t="shared" ref="D264:T264" si="4">IF(ISERROR(D54/C54-1),"0.00",D54/C54-1)</f>
        <v>4.1958089510885754E-2</v>
      </c>
      <c r="E264" s="102">
        <f t="shared" si="4"/>
        <v>-3.9907035042049066E-2</v>
      </c>
      <c r="F264" s="102">
        <f t="shared" si="4"/>
        <v>6.931094521649972E-2</v>
      </c>
      <c r="G264" s="102">
        <f t="shared" si="4"/>
        <v>0.31340744670097309</v>
      </c>
      <c r="H264" s="102">
        <f t="shared" si="4"/>
        <v>-4.5229860690144119E-2</v>
      </c>
      <c r="I264" s="102">
        <f t="shared" si="4"/>
        <v>-5.8070053822347201E-2</v>
      </c>
      <c r="J264" s="102">
        <f t="shared" si="4"/>
        <v>-0.27529243306589712</v>
      </c>
      <c r="K264" s="102">
        <f t="shared" si="4"/>
        <v>0.72312114588553977</v>
      </c>
      <c r="L264" s="102">
        <f t="shared" si="4"/>
        <v>-0.24379721153838463</v>
      </c>
      <c r="M264" s="102">
        <f t="shared" si="4"/>
        <v>8.7727539213888761E-4</v>
      </c>
      <c r="N264" s="102">
        <f t="shared" si="4"/>
        <v>0.22344183980187382</v>
      </c>
      <c r="O264" s="102">
        <f t="shared" si="4"/>
        <v>0.22750400130179127</v>
      </c>
      <c r="P264" s="102">
        <f t="shared" si="4"/>
        <v>7.7361218890935168E-2</v>
      </c>
      <c r="Q264" s="102">
        <f t="shared" si="4"/>
        <v>-0.13820536720590182</v>
      </c>
      <c r="R264" s="102">
        <f t="shared" si="4"/>
        <v>-0.27283212121274047</v>
      </c>
      <c r="S264" s="102">
        <f t="shared" si="4"/>
        <v>0.32496887908653105</v>
      </c>
      <c r="T264" s="102">
        <f t="shared" si="4"/>
        <v>-8.7257096285134228E-2</v>
      </c>
    </row>
    <row r="265" spans="1:20" outlineLevel="1">
      <c r="A265" s="101" t="s">
        <v>1785</v>
      </c>
      <c r="B265" s="102">
        <f>IF(ISERROR((B7-B14)/B7),"0.00",(B7-B14)/B7)</f>
        <v>0.37605945841497768</v>
      </c>
      <c r="C265" s="102">
        <f t="shared" ref="C265:T265" si="5">IF(ISERROR((C7-C14)/C7),"0.00",(C7-C14)/C7)</f>
        <v>0.35672070619688251</v>
      </c>
      <c r="D265" s="102">
        <f t="shared" si="5"/>
        <v>0.36285055444902103</v>
      </c>
      <c r="E265" s="102">
        <f t="shared" si="5"/>
        <v>0.36633880582325373</v>
      </c>
      <c r="F265" s="102">
        <f t="shared" si="5"/>
        <v>0.40532286993452465</v>
      </c>
      <c r="G265" s="102">
        <f t="shared" si="5"/>
        <v>0.36246291266827402</v>
      </c>
      <c r="H265" s="102">
        <f t="shared" si="5"/>
        <v>0.37222948771835795</v>
      </c>
      <c r="I265" s="102">
        <f t="shared" si="5"/>
        <v>0.35088962098311383</v>
      </c>
      <c r="J265" s="102">
        <f t="shared" si="5"/>
        <v>0.39777591658905159</v>
      </c>
      <c r="K265" s="102">
        <f t="shared" si="5"/>
        <v>0.37181906807201293</v>
      </c>
      <c r="L265" s="102">
        <f t="shared" si="5"/>
        <v>0.33084778300882911</v>
      </c>
      <c r="M265" s="102">
        <f t="shared" si="5"/>
        <v>0.2724764419038333</v>
      </c>
      <c r="N265" s="102">
        <f t="shared" si="5"/>
        <v>0.33309108820819322</v>
      </c>
      <c r="O265" s="102">
        <f t="shared" si="5"/>
        <v>0.35773928604360078</v>
      </c>
      <c r="P265" s="102">
        <f t="shared" si="5"/>
        <v>0.38134434636095677</v>
      </c>
      <c r="Q265" s="102">
        <f t="shared" si="5"/>
        <v>0.30997423370917376</v>
      </c>
      <c r="R265" s="102">
        <f t="shared" si="5"/>
        <v>0.34778319573114014</v>
      </c>
      <c r="S265" s="102">
        <f t="shared" si="5"/>
        <v>0.35654282507345436</v>
      </c>
      <c r="T265" s="102">
        <f t="shared" si="5"/>
        <v>0.33512762235247556</v>
      </c>
    </row>
    <row r="266" spans="1:20" outlineLevel="1">
      <c r="A266" s="101" t="s">
        <v>1786</v>
      </c>
      <c r="B266" s="102">
        <f>IF(ISERROR(B25/B7),"0.00",B25/B7)</f>
        <v>3.9705097033376727E-2</v>
      </c>
      <c r="C266" s="102">
        <f t="shared" ref="C266:T266" si="6">IF(ISERROR(C25/C7),"0.00",C25/C7)</f>
        <v>2.7293577123082908E-2</v>
      </c>
      <c r="D266" s="102">
        <f t="shared" si="6"/>
        <v>3.2540761307696481E-2</v>
      </c>
      <c r="E266" s="102">
        <f t="shared" si="6"/>
        <v>3.2205735745778202E-2</v>
      </c>
      <c r="F266" s="102">
        <f t="shared" si="6"/>
        <v>3.309320912203069E-2</v>
      </c>
      <c r="G266" s="102">
        <f t="shared" si="6"/>
        <v>2.7970575895118491E-2</v>
      </c>
      <c r="H266" s="102">
        <f t="shared" si="6"/>
        <v>2.65583621840106E-2</v>
      </c>
      <c r="I266" s="102">
        <f t="shared" si="6"/>
        <v>3.1582885373425316E-2</v>
      </c>
      <c r="J266" s="102">
        <f t="shared" si="6"/>
        <v>3.7891839002479694E-2</v>
      </c>
      <c r="K266" s="102">
        <f t="shared" si="6"/>
        <v>3.4593584346092054E-2</v>
      </c>
      <c r="L266" s="102">
        <f t="shared" si="6"/>
        <v>2.7721423629925995E-2</v>
      </c>
      <c r="M266" s="102">
        <f t="shared" si="6"/>
        <v>3.8541803243771884E-2</v>
      </c>
      <c r="N266" s="102">
        <f t="shared" si="6"/>
        <v>2.9993497614024704E-2</v>
      </c>
      <c r="O266" s="102">
        <f t="shared" si="6"/>
        <v>2.5268643588789299E-2</v>
      </c>
      <c r="P266" s="102">
        <f t="shared" si="6"/>
        <v>2.6586980672333015E-2</v>
      </c>
      <c r="Q266" s="102">
        <f t="shared" si="6"/>
        <v>3.3432206008535359E-2</v>
      </c>
      <c r="R266" s="102">
        <f t="shared" si="6"/>
        <v>2.9562691191006209E-2</v>
      </c>
      <c r="S266" s="102">
        <f t="shared" si="6"/>
        <v>2.4983767149678267E-2</v>
      </c>
      <c r="T266" s="102">
        <f t="shared" si="6"/>
        <v>2.5740214594124972E-2</v>
      </c>
    </row>
    <row r="267" spans="1:20" outlineLevel="1">
      <c r="A267" s="101" t="s">
        <v>1787</v>
      </c>
      <c r="B267" s="102">
        <f>IF(ISERROR(B26/B7),"0.00",B26/B7)</f>
        <v>0.11261053826323024</v>
      </c>
      <c r="C267" s="102">
        <f t="shared" ref="C267:T267" si="7">IF(ISERROR(C26/C7),"0.00",C26/C7)</f>
        <v>0.10357555388028392</v>
      </c>
      <c r="D267" s="102">
        <f t="shared" si="7"/>
        <v>0.10926831146765577</v>
      </c>
      <c r="E267" s="102">
        <f t="shared" si="7"/>
        <v>0.11038639498518107</v>
      </c>
      <c r="F267" s="102">
        <f t="shared" si="7"/>
        <v>0.10147279912429781</v>
      </c>
      <c r="G267" s="102">
        <f t="shared" si="7"/>
        <v>0.10144757520191841</v>
      </c>
      <c r="H267" s="102">
        <f t="shared" si="7"/>
        <v>0.10794842435977611</v>
      </c>
      <c r="I267" s="102">
        <f t="shared" si="7"/>
        <v>0.12097354955080307</v>
      </c>
      <c r="J267" s="102">
        <f t="shared" si="7"/>
        <v>0.13766634964457097</v>
      </c>
      <c r="K267" s="102">
        <f t="shared" si="7"/>
        <v>0.12510864852077164</v>
      </c>
      <c r="L267" s="102">
        <f t="shared" si="7"/>
        <v>0.11388641398767935</v>
      </c>
      <c r="M267" s="102">
        <f t="shared" si="7"/>
        <v>0.12114215700224053</v>
      </c>
      <c r="N267" s="102">
        <f t="shared" si="7"/>
        <v>0.10559053346842107</v>
      </c>
      <c r="O267" s="102">
        <f t="shared" si="7"/>
        <v>0.10191849083246066</v>
      </c>
      <c r="P267" s="102">
        <f t="shared" si="7"/>
        <v>4.7669833316008436E-2</v>
      </c>
      <c r="Q267" s="102">
        <f t="shared" si="7"/>
        <v>8.5796113982288286E-2</v>
      </c>
      <c r="R267" s="102">
        <f t="shared" si="7"/>
        <v>5.6816411026936846E-2</v>
      </c>
      <c r="S267" s="102">
        <f t="shared" si="7"/>
        <v>4.7018546619365373E-2</v>
      </c>
      <c r="T267" s="102">
        <f t="shared" si="7"/>
        <v>6.1004031815063593E-2</v>
      </c>
    </row>
    <row r="268" spans="1:20" outlineLevel="1">
      <c r="A268" s="101" t="s">
        <v>1788</v>
      </c>
      <c r="B268" s="102">
        <f>IF(ISERROR(B27/B7),"0.00",B27/B7)</f>
        <v>1.1212382334700247E-2</v>
      </c>
      <c r="C268" s="102">
        <f t="shared" ref="C268:T268" si="8">IF(ISERROR(C27/C7),"0.00",C27/C7)</f>
        <v>1.4350521416339485E-2</v>
      </c>
      <c r="D268" s="102">
        <f t="shared" si="8"/>
        <v>1.1888913304544347E-2</v>
      </c>
      <c r="E268" s="102">
        <f t="shared" si="8"/>
        <v>3.5564590025713937E-3</v>
      </c>
      <c r="F268" s="102">
        <f t="shared" si="8"/>
        <v>1.6452569306508156E-2</v>
      </c>
      <c r="G268" s="102">
        <f t="shared" si="8"/>
        <v>2.0538677606976311E-2</v>
      </c>
      <c r="H268" s="102">
        <f t="shared" si="8"/>
        <v>1.4976163885252051E-2</v>
      </c>
      <c r="I268" s="102">
        <f t="shared" si="8"/>
        <v>-1.1200360517412586E-4</v>
      </c>
      <c r="J268" s="102">
        <f t="shared" si="8"/>
        <v>2.3129426119877609E-2</v>
      </c>
      <c r="K268" s="102">
        <f t="shared" si="8"/>
        <v>2.3062757603153246E-2</v>
      </c>
      <c r="L268" s="102">
        <f t="shared" si="8"/>
        <v>1.6184654539847174E-2</v>
      </c>
      <c r="M268" s="102">
        <f t="shared" si="8"/>
        <v>6.0408344817372076E-3</v>
      </c>
      <c r="N268" s="102">
        <f t="shared" si="8"/>
        <v>1.5433570801563991E-2</v>
      </c>
      <c r="O268" s="102">
        <f t="shared" si="8"/>
        <v>-1.4769562429449027E-2</v>
      </c>
      <c r="P268" s="102">
        <f t="shared" si="8"/>
        <v>-1.523990993640687E-2</v>
      </c>
      <c r="Q268" s="102">
        <f t="shared" si="8"/>
        <v>9.306978768034266E-4</v>
      </c>
      <c r="R268" s="102">
        <f t="shared" si="8"/>
        <v>1.0610013027054513E-2</v>
      </c>
      <c r="S268" s="102">
        <f t="shared" si="8"/>
        <v>-2.7024402206452369E-3</v>
      </c>
      <c r="T268" s="102">
        <f t="shared" si="8"/>
        <v>7.9960045602868648E-3</v>
      </c>
    </row>
    <row r="269" spans="1:20" outlineLevel="1">
      <c r="A269" s="101" t="s">
        <v>1789</v>
      </c>
      <c r="B269" s="102">
        <f>IF(ISERROR((B25+B26+B27)/B7),"0.00",(B25+B26+B27)/B7)</f>
        <v>0.1635280176313072</v>
      </c>
      <c r="C269" s="102">
        <f t="shared" ref="C269:T269" si="9">IF(ISERROR((C25+C26+C27)/C7),"0.00",(C25+C26+C27)/C7)</f>
        <v>0.14521965241970633</v>
      </c>
      <c r="D269" s="102">
        <f t="shared" si="9"/>
        <v>0.1536979860798966</v>
      </c>
      <c r="E269" s="102">
        <f t="shared" si="9"/>
        <v>0.1461485897335307</v>
      </c>
      <c r="F269" s="102">
        <f t="shared" si="9"/>
        <v>0.15101857755283668</v>
      </c>
      <c r="G269" s="102">
        <f t="shared" si="9"/>
        <v>0.14995682870401322</v>
      </c>
      <c r="H269" s="102">
        <f t="shared" si="9"/>
        <v>0.14948295042903875</v>
      </c>
      <c r="I269" s="102">
        <f t="shared" si="9"/>
        <v>0.15244443131905427</v>
      </c>
      <c r="J269" s="102">
        <f t="shared" si="9"/>
        <v>0.19868761476692826</v>
      </c>
      <c r="K269" s="102">
        <f t="shared" si="9"/>
        <v>0.18276499047001693</v>
      </c>
      <c r="L269" s="102">
        <f t="shared" si="9"/>
        <v>0.1577924921574525</v>
      </c>
      <c r="M269" s="102">
        <f t="shared" si="9"/>
        <v>0.16572479472774962</v>
      </c>
      <c r="N269" s="102">
        <f t="shared" si="9"/>
        <v>0.15101760188400978</v>
      </c>
      <c r="O269" s="102">
        <f t="shared" si="9"/>
        <v>0.11241757199180091</v>
      </c>
      <c r="P269" s="102">
        <f t="shared" si="9"/>
        <v>5.9016904051934577E-2</v>
      </c>
      <c r="Q269" s="102">
        <f t="shared" si="9"/>
        <v>0.12015901786762707</v>
      </c>
      <c r="R269" s="102">
        <f t="shared" si="9"/>
        <v>9.6989115244997565E-2</v>
      </c>
      <c r="S269" s="102">
        <f t="shared" si="9"/>
        <v>6.9299873548398394E-2</v>
      </c>
      <c r="T269" s="102">
        <f t="shared" si="9"/>
        <v>9.4740250969475429E-2</v>
      </c>
    </row>
    <row r="270" spans="1:20" outlineLevel="1">
      <c r="A270" s="101" t="s">
        <v>1790</v>
      </c>
      <c r="B270" s="102">
        <f>IF(ISERROR(B43/B7),"0.00",B43/B7)</f>
        <v>0.20761400268219388</v>
      </c>
      <c r="C270" s="102">
        <f t="shared" ref="C270:T270" si="10">IF(ISERROR(C43/C7),"0.00",C43/C7)</f>
        <v>0.19633654268663173</v>
      </c>
      <c r="D270" s="102">
        <f t="shared" si="10"/>
        <v>0.20463664882628019</v>
      </c>
      <c r="E270" s="102">
        <f t="shared" si="10"/>
        <v>0.20374137516366647</v>
      </c>
      <c r="F270" s="102">
        <f t="shared" si="10"/>
        <v>0.25648637889565679</v>
      </c>
      <c r="G270" s="102">
        <f t="shared" si="10"/>
        <v>0.20712098246932312</v>
      </c>
      <c r="H270" s="102">
        <f t="shared" si="10"/>
        <v>0.21911000135932718</v>
      </c>
      <c r="I270" s="102">
        <f t="shared" si="10"/>
        <v>0.18011945678815708</v>
      </c>
      <c r="J270" s="102">
        <f t="shared" si="10"/>
        <v>0.20289561668219749</v>
      </c>
      <c r="K270" s="102">
        <f t="shared" si="10"/>
        <v>0.26866381570714648</v>
      </c>
      <c r="L270" s="102">
        <f t="shared" si="10"/>
        <v>0.16408596126740063</v>
      </c>
      <c r="M270" s="102">
        <f t="shared" si="10"/>
        <v>0.15901995995327489</v>
      </c>
      <c r="N270" s="102">
        <f t="shared" si="10"/>
        <v>0.23504319303462143</v>
      </c>
      <c r="O270" s="102">
        <f t="shared" si="10"/>
        <v>0.23642453823727566</v>
      </c>
      <c r="P270" s="102">
        <f t="shared" si="10"/>
        <v>0.25855720438952623</v>
      </c>
      <c r="Q270" s="102">
        <f t="shared" si="10"/>
        <v>0.11635599876889002</v>
      </c>
      <c r="R270" s="102">
        <f t="shared" si="10"/>
        <v>0.18769426362149327</v>
      </c>
      <c r="S270" s="102">
        <f t="shared" si="10"/>
        <v>0.19600853256970874</v>
      </c>
      <c r="T270" s="102">
        <f t="shared" si="10"/>
        <v>0.17028980135303889</v>
      </c>
    </row>
    <row r="271" spans="1:20" outlineLevel="1">
      <c r="A271" s="101" t="s">
        <v>1791</v>
      </c>
      <c r="B271" s="102">
        <f>IF(ISERROR(B49/B7),"0.00",B49/B7)</f>
        <v>0.21305044552200025</v>
      </c>
      <c r="C271" s="102">
        <f t="shared" ref="C271:T271" si="11">IF(ISERROR(C49/C7),"0.00",C49/C7)</f>
        <v>0.20883038074397881</v>
      </c>
      <c r="D271" s="102">
        <f t="shared" si="11"/>
        <v>0.22994317136812906</v>
      </c>
      <c r="E271" s="102">
        <f t="shared" si="11"/>
        <v>0.22287424766159977</v>
      </c>
      <c r="F271" s="102">
        <f t="shared" si="11"/>
        <v>0.2611673139943908</v>
      </c>
      <c r="G271" s="102">
        <f t="shared" si="11"/>
        <v>0.21236008252742694</v>
      </c>
      <c r="H271" s="102">
        <f t="shared" si="11"/>
        <v>0.2286628938459139</v>
      </c>
      <c r="I271" s="102">
        <f t="shared" si="11"/>
        <v>0.20668451960922174</v>
      </c>
      <c r="J271" s="102">
        <f t="shared" si="11"/>
        <v>0.2103364109983667</v>
      </c>
      <c r="K271" s="102">
        <f t="shared" si="11"/>
        <v>0.27203467409837068</v>
      </c>
      <c r="L271" s="102">
        <f t="shared" si="11"/>
        <v>0.16794338252653332</v>
      </c>
      <c r="M271" s="102">
        <f t="shared" si="11"/>
        <v>0.14807526061432921</v>
      </c>
      <c r="N271" s="102">
        <f t="shared" si="11"/>
        <v>0.23861232747345895</v>
      </c>
      <c r="O271" s="102">
        <f t="shared" si="11"/>
        <v>0.23653831321692048</v>
      </c>
      <c r="P271" s="102">
        <f t="shared" si="11"/>
        <v>0.25858420772947954</v>
      </c>
      <c r="Q271" s="102">
        <f t="shared" si="11"/>
        <v>0.20624405360336137</v>
      </c>
      <c r="R271" s="102">
        <f t="shared" si="11"/>
        <v>0.1873846917817443</v>
      </c>
      <c r="S271" s="102">
        <f t="shared" si="11"/>
        <v>0.19412908420813052</v>
      </c>
      <c r="T271" s="102">
        <f t="shared" si="11"/>
        <v>0.16815668466919995</v>
      </c>
    </row>
    <row r="272" spans="1:20" outlineLevel="1">
      <c r="A272" s="101" t="s">
        <v>1792</v>
      </c>
      <c r="B272" s="102">
        <f>IF(ISERROR(B54/B7),"0.00",B54/B7)</f>
        <v>0.1799822965865609</v>
      </c>
      <c r="C272" s="102">
        <f t="shared" ref="C272:T272" si="12">IF(ISERROR(C54/C7),"0.00",C54/C7)</f>
        <v>0.22217776736661748</v>
      </c>
      <c r="D272" s="102">
        <f t="shared" si="12"/>
        <v>0.20293274974847389</v>
      </c>
      <c r="E272" s="102">
        <f t="shared" si="12"/>
        <v>0.18631390458272798</v>
      </c>
      <c r="F272" s="102">
        <f t="shared" si="12"/>
        <v>0.22431088554718004</v>
      </c>
      <c r="G272" s="102">
        <f t="shared" si="12"/>
        <v>0.23929648902865724</v>
      </c>
      <c r="H272" s="102">
        <f t="shared" si="12"/>
        <v>0.19786215526437509</v>
      </c>
      <c r="I272" s="102">
        <f t="shared" si="12"/>
        <v>0.17518875177461954</v>
      </c>
      <c r="J272" s="102">
        <f t="shared" si="12"/>
        <v>0.17932602206449047</v>
      </c>
      <c r="K272" s="102">
        <f t="shared" si="12"/>
        <v>0.2449591037264931</v>
      </c>
      <c r="L272" s="102">
        <f t="shared" si="12"/>
        <v>0.14602068784460648</v>
      </c>
      <c r="M272" s="102">
        <f t="shared" si="12"/>
        <v>0.14085173481994706</v>
      </c>
      <c r="N272" s="102">
        <f t="shared" si="12"/>
        <v>0.20931720572791995</v>
      </c>
      <c r="O272" s="102">
        <f t="shared" si="12"/>
        <v>0.19824280452583284</v>
      </c>
      <c r="P272" s="102">
        <f t="shared" si="12"/>
        <v>0.2196997034796945</v>
      </c>
      <c r="Q272" s="102">
        <f t="shared" si="12"/>
        <v>0.19164905677683503</v>
      </c>
      <c r="R272" s="102">
        <f t="shared" si="12"/>
        <v>0.15670296867348654</v>
      </c>
      <c r="S272" s="102">
        <f t="shared" si="12"/>
        <v>0.16808702356470112</v>
      </c>
      <c r="T272" s="102">
        <f t="shared" si="12"/>
        <v>0.14461183954515375</v>
      </c>
    </row>
    <row r="273" spans="1:23" outlineLevel="1">
      <c r="A273" s="101" t="s">
        <v>1793</v>
      </c>
      <c r="B273" s="102">
        <f>B7</f>
        <v>2.6162949963999997</v>
      </c>
      <c r="C273" s="102">
        <f>B7+C7</f>
        <v>5.7888738162999998</v>
      </c>
      <c r="D273" s="102">
        <f>B7+C7+D7</f>
        <v>9.4080617014999994</v>
      </c>
      <c r="E273" s="102">
        <f>B7+C7+D7+E7</f>
        <v>13.192760214899998</v>
      </c>
      <c r="F273" s="102">
        <f t="shared" ref="F273:T273" si="13">F7</f>
        <v>3.3614775826000001</v>
      </c>
      <c r="G273" s="102">
        <f t="shared" ref="G273:T273" si="14">F7+G7</f>
        <v>7.4999847994</v>
      </c>
      <c r="H273" s="102">
        <f t="shared" ref="H273" si="15">F7+G7+H7</f>
        <v>12.278754880200001</v>
      </c>
      <c r="I273" s="102">
        <f t="shared" ref="I273" si="16">F7+G7+H7+I7</f>
        <v>17.362587665</v>
      </c>
      <c r="J273" s="102">
        <f t="shared" ref="J273:T273" si="17">J7</f>
        <v>3.5992909711000003</v>
      </c>
      <c r="K273" s="102">
        <f t="shared" ref="K273:T273" si="18">J7+K7</f>
        <v>8.1395695362999998</v>
      </c>
      <c r="L273" s="102">
        <f t="shared" ref="L273" si="19">J7+K7+L7</f>
        <v>13.8992709294</v>
      </c>
      <c r="M273" s="102">
        <f t="shared" ref="M273" si="20">J7+K7+L7+M7</f>
        <v>19.875579137999999</v>
      </c>
      <c r="N273" s="102">
        <f t="shared" ref="N273:T273" si="21">N7</f>
        <v>4.9200961188000001</v>
      </c>
      <c r="O273" s="102">
        <f t="shared" ref="O273:T273" si="22">N7+O7</f>
        <v>11.296913783499999</v>
      </c>
      <c r="P273" s="102">
        <f t="shared" ref="P273" si="23">N7+O7+P7</f>
        <v>17.496080267699998</v>
      </c>
      <c r="Q273" s="102">
        <f t="shared" ref="Q273" si="24">N7+O7+P7+Q7</f>
        <v>23.620428396199998</v>
      </c>
      <c r="R273" s="102">
        <f t="shared" ref="R273:T273" si="25">R7</f>
        <v>5.4465816444000001</v>
      </c>
      <c r="S273" s="102">
        <f t="shared" ref="S273:T273" si="26">R7+S7</f>
        <v>12.1743763838</v>
      </c>
      <c r="T273" s="102">
        <f t="shared" ref="T273" si="27">R7+S7+T7</f>
        <v>19.311965347099999</v>
      </c>
      <c r="U273" s="102"/>
      <c r="V273" s="102"/>
      <c r="W273" s="102"/>
    </row>
    <row r="274" spans="1:23" outlineLevel="1">
      <c r="A274" s="101" t="s">
        <v>1794</v>
      </c>
      <c r="B274" s="102">
        <f>IF(ISERROR(B273/(B7+C7+D7+E7)),"0.00",B273/(B7+C7+D7+E7))</f>
        <v>0.19831293480534404</v>
      </c>
      <c r="C274" s="102">
        <f>IF(ISERROR(C273/(B7+C7+D7+E7)),"0.00",C273/(B7+C7+D7+E7))</f>
        <v>0.4387917101503902</v>
      </c>
      <c r="D274" s="102">
        <f>IF(ISERROR(D273/(B7+C7+D7+E7)),"0.00",D273/(B7+C7+D7+E7))</f>
        <v>0.71312307267394026</v>
      </c>
      <c r="E274" s="102">
        <f>IF(ISERROR(E273/(B7+C7+D7+E7)),"0.00",E273/(B7+C7+D7+E7))</f>
        <v>1</v>
      </c>
      <c r="F274" s="102">
        <f t="shared" ref="F274" si="28">IF(ISERROR(F273/(F7+G7+H7+I7)),"0.00",F273/(F7+G7+H7+I7))</f>
        <v>0.19360464277891956</v>
      </c>
      <c r="G274" s="102">
        <f t="shared" ref="G274" si="29">IF(ISERROR(G273/(F7+G7+H7+I7)),"0.00",G273/(F7+G7+H7+I7))</f>
        <v>0.43196238625874206</v>
      </c>
      <c r="H274" s="102">
        <f t="shared" ref="H274" si="30">IF(ISERROR(H273/(F7+G7+H7+I7)),"0.00",H273/(F7+G7+H7+I7))</f>
        <v>0.70719613441905704</v>
      </c>
      <c r="I274" s="102">
        <f t="shared" ref="I274" si="31">IF(ISERROR(I273/(F7+G7+H7+I7)),"0.00",I273/(F7+G7+H7+I7))</f>
        <v>1</v>
      </c>
      <c r="J274" s="102">
        <f t="shared" ref="J274" si="32">IF(ISERROR(J273/(J7+K7+L7+M7)),"0.00",J273/(J7+K7+L7+M7))</f>
        <v>0.18109112424394908</v>
      </c>
      <c r="K274" s="102">
        <f t="shared" ref="K274" si="33">IF(ISERROR(K273/(J7+K7+L7+M7)),"0.00",K273/(J7+K7+L7+M7))</f>
        <v>0.40952615668632297</v>
      </c>
      <c r="L274" s="102">
        <f t="shared" ref="L274" si="34">IF(ISERROR(L273/(J7+K7+L7+M7)),"0.00",L273/(J7+K7+L7+M7))</f>
        <v>0.6993140090608011</v>
      </c>
      <c r="M274" s="102">
        <f t="shared" ref="M274" si="35">IF(ISERROR(M273/(J7+K7+L7+M7)),"0.00",M273/(J7+K7+L7+M7))</f>
        <v>1</v>
      </c>
      <c r="N274" s="102">
        <f t="shared" ref="N274" si="36">IF(ISERROR(N273/(N7+O7+P7+Q7)),"0.00",N273/(N7+O7+P7+Q7))</f>
        <v>0.20829834397040548</v>
      </c>
      <c r="O274" s="102">
        <f t="shared" ref="O274" si="37">IF(ISERROR(O273/(N7+O7+P7+Q7)),"0.00",O273/(N7+O7+P7+Q7))</f>
        <v>0.47826879318232102</v>
      </c>
      <c r="P274" s="102">
        <f t="shared" ref="P274" si="38">IF(ISERROR(P273/(N7+O7+P7+Q7)),"0.00",P273/(N7+O7+P7+Q7))</f>
        <v>0.74071816032408322</v>
      </c>
      <c r="Q274" s="102">
        <f t="shared" ref="Q274" si="39">IF(ISERROR(Q273/(N7+O7+P7+Q7)),"0.00",Q273/(N7+O7+P7+Q7))</f>
        <v>1</v>
      </c>
      <c r="R274" s="102">
        <f t="shared" ref="R274" si="40">IF(ISERROR(R273/(R7+S7+T7+U7)),"0.00",R273/(R7+S7+T7+U7))</f>
        <v>0.28203145285872688</v>
      </c>
      <c r="S274" s="102">
        <f t="shared" ref="S274" si="41">IF(ISERROR(S273/(R7+S7+T7+U7)),"0.00",S273/(R7+S7+T7+U7))</f>
        <v>0.63040587350826915</v>
      </c>
      <c r="T274" s="102">
        <f t="shared" ref="T274" si="42">IF(ISERROR(T273/(R7+S7+T7+U7)),"0.00",T273/(R7+S7+T7+U7))</f>
        <v>1</v>
      </c>
    </row>
    <row r="275" spans="1:23" outlineLevel="1">
      <c r="A275" s="101" t="s">
        <v>1795</v>
      </c>
      <c r="B275" s="102">
        <f>IF(ISERROR(B7/(B7+C7+D7+E7)),"0.00",B7/(B7+C7+D7+E7))</f>
        <v>0.19831293480534404</v>
      </c>
      <c r="C275" s="102">
        <f>IF(ISERROR(C7/(B7+C7+D7+E7)),"0.00",C7/(B7+C7+D7+E7))</f>
        <v>0.24047877534504619</v>
      </c>
      <c r="D275" s="102">
        <f>IF(ISERROR(D7/(B7+C7+D7+E7)),"0.00",D7/(B7+C7+D7+E7))</f>
        <v>0.27433136252355006</v>
      </c>
      <c r="E275" s="102">
        <f>IF(ISERROR(E7/(B7+C7+D7+E7)),"0.00",E7/(B7+C7+D7+E7))</f>
        <v>0.28687692732605979</v>
      </c>
      <c r="F275" s="102">
        <f t="shared" ref="F275" si="43">IF(ISERROR(F7/(F7+G7+H7+I7)),"0.00",F7/(F7+G7+H7+I7))</f>
        <v>0.19360464277891956</v>
      </c>
      <c r="G275" s="102">
        <f t="shared" ref="G275" si="44">IF(ISERROR(G7/(F7+G7+H7+I7)),"0.00",G7/(F7+G7+H7+I7))</f>
        <v>0.23835774347982247</v>
      </c>
      <c r="H275" s="102">
        <f t="shared" ref="H275" si="45">IF(ISERROR(H7/(F7+G7+H7+I7)),"0.00",H7/(F7+G7+H7+I7))</f>
        <v>0.27523374816031493</v>
      </c>
      <c r="I275" s="102">
        <f t="shared" ref="I275" si="46">IF(ISERROR(I7/(F7+G7+H7+I7)),"0.00",I7/(F7+G7+H7+I7))</f>
        <v>0.29280386558094307</v>
      </c>
      <c r="J275" s="102">
        <f t="shared" ref="J275" si="47">IF(ISERROR(J7/(J7+K7+L7+M7)),"0.00",J7/(J7+K7+L7+M7))</f>
        <v>0.18109112424394908</v>
      </c>
      <c r="K275" s="102">
        <f t="shared" ref="K275" si="48">IF(ISERROR(K7/(J7+K7+L7+M7)),"0.00",K7/(J7+K7+L7+M7))</f>
        <v>0.2284350324423739</v>
      </c>
      <c r="L275" s="102">
        <f t="shared" ref="L275" si="49">IF(ISERROR(L7/(J7+K7+L7+M7)),"0.00",L7/(J7+K7+L7+M7))</f>
        <v>0.28978785237447807</v>
      </c>
      <c r="M275" s="102">
        <f t="shared" ref="M275" si="50">IF(ISERROR(M7/(J7+K7+L7+M7)),"0.00",M7/(J7+K7+L7+M7))</f>
        <v>0.30068599093919895</v>
      </c>
      <c r="N275" s="102">
        <f t="shared" ref="N275" si="51">IF(ISERROR(N7/(N7+O7+P7+Q7)),"0.00",N7/(N7+O7+P7+Q7))</f>
        <v>0.20829834397040548</v>
      </c>
      <c r="O275" s="102">
        <f t="shared" ref="O275" si="52">IF(ISERROR(O7/(N7+O7+P7+Q7)),"0.00",O7/(N7+O7+P7+Q7))</f>
        <v>0.2699704492119156</v>
      </c>
      <c r="P275" s="102">
        <f t="shared" ref="P275" si="53">IF(ISERROR(P7/(N7+O7+P7+Q7)),"0.00",P7/(N7+O7+P7+Q7))</f>
        <v>0.2624493671417622</v>
      </c>
      <c r="Q275" s="102">
        <f t="shared" ref="Q275" si="54">IF(ISERROR(Q7/(N7+O7+P7+Q7)),"0.00",Q7/(N7+O7+P7+Q7))</f>
        <v>0.25928183967591678</v>
      </c>
      <c r="R275" s="102">
        <f t="shared" ref="R275" si="55">IF(ISERROR(R7/(R7+S7+T7+U7)),"0.00",R7/(R7+S7+T7+U7))</f>
        <v>0.28203145285872688</v>
      </c>
      <c r="S275" s="102">
        <f t="shared" ref="S275" si="56">IF(ISERROR(S7/(R7+S7+T7+U7)),"0.00",S7/(R7+S7+T7+U7))</f>
        <v>0.34837442064954233</v>
      </c>
      <c r="T275" s="102">
        <f t="shared" ref="T275" si="57">IF(ISERROR(T7/(R7+S7+T7+U7)),"0.00",T7/(R7+S7+T7+U7))</f>
        <v>0.3695941264917309</v>
      </c>
    </row>
    <row r="276" spans="1:23" outlineLevel="1">
      <c r="A276" s="101" t="s">
        <v>1796</v>
      </c>
      <c r="B276" s="102">
        <f>B43</f>
        <v>0.54317947639999997</v>
      </c>
      <c r="C276" s="102">
        <f>B43+C43</f>
        <v>1.1660726333</v>
      </c>
      <c r="D276" s="102">
        <f>B43+C43+D43</f>
        <v>1.9066911136</v>
      </c>
      <c r="E276" s="102">
        <f>B43+C43+D43+E43</f>
        <v>2.6777907932999998</v>
      </c>
      <c r="F276" s="102">
        <f t="shared" ref="F276:T276" si="58">F43</f>
        <v>0.86217321290000004</v>
      </c>
      <c r="G276" s="102">
        <f t="shared" ref="G276:T276" si="59">F43+G43</f>
        <v>1.7193448936</v>
      </c>
      <c r="H276" s="102">
        <f t="shared" ref="H276" si="60">F43+G43+H43</f>
        <v>2.7664212125000001</v>
      </c>
      <c r="I276" s="102">
        <f t="shared" ref="I276" si="61">F43+G43+H43+I43</f>
        <v>3.6821184120999999</v>
      </c>
      <c r="J276" s="102">
        <f t="shared" ref="J276:T276" si="62">J43</f>
        <v>0.73028036120000006</v>
      </c>
      <c r="K276" s="102">
        <f t="shared" ref="K276:T276" si="63">J43+K43</f>
        <v>1.9500889249000002</v>
      </c>
      <c r="L276" s="102">
        <f t="shared" ref="L276" si="64">J43+K43+L43</f>
        <v>2.8951750646000001</v>
      </c>
      <c r="M276" s="102">
        <f t="shared" ref="M276" si="65">J43+K43+L43+M43</f>
        <v>3.8455273565999999</v>
      </c>
      <c r="N276" s="102">
        <f t="shared" ref="N276:T276" si="66">N43</f>
        <v>1.1564351018000001</v>
      </c>
      <c r="O276" s="102">
        <f t="shared" ref="O276:T276" si="67">N43+O43</f>
        <v>2.6640712736000003</v>
      </c>
      <c r="P276" s="102">
        <f t="shared" ref="P276" si="68">N43+O43+P43</f>
        <v>4.2669104293000002</v>
      </c>
      <c r="Q276" s="102">
        <f t="shared" ref="Q276" si="69">N43+O43+P43+Q43</f>
        <v>4.9795150725999999</v>
      </c>
      <c r="R276" s="102">
        <f t="shared" ref="R276:T276" si="70">R43</f>
        <v>1.0222921309999999</v>
      </c>
      <c r="S276" s="102">
        <f t="shared" ref="S276:T276" si="71">R43+S43</f>
        <v>2.3409973053000002</v>
      </c>
      <c r="T276" s="102">
        <f t="shared" ref="T276" si="72">R43+S43+T43</f>
        <v>3.5564559120000001</v>
      </c>
    </row>
    <row r="277" spans="1:23" outlineLevel="1">
      <c r="A277" s="101" t="s">
        <v>1797</v>
      </c>
      <c r="B277" s="102">
        <f>IF(ISERROR(B276/(B7+C7+D7+E7)),"0.00",B276/(B7+C7+D7+E7))</f>
        <v>4.1172542178590434E-2</v>
      </c>
      <c r="C277" s="102">
        <f>IF(ISERROR(C276/(B7+C7+D7+E7)),"0.00",C276/(B7+C7+D7+E7))</f>
        <v>8.8387313519352015E-2</v>
      </c>
      <c r="D277" s="102">
        <f>IF(ISERROR(D276/(B7+C7+D7+E7)),"0.00",D276/(B7+C7+D7+E7))</f>
        <v>0.14452556421411869</v>
      </c>
      <c r="E277" s="102">
        <f>IF(ISERROR(E276/(B7+C7+D7+E7)),"0.00",E276/(B7+C7+D7+E7))</f>
        <v>0.2029742638902573</v>
      </c>
      <c r="F277" s="102">
        <f t="shared" ref="F277" si="73">IF(ISERROR(F276/(F7+G7+H7+I7)),"0.00",F276/(F7+G7+H7+I7))</f>
        <v>4.9656953763752246E-2</v>
      </c>
      <c r="G277" s="102">
        <f t="shared" ref="G277" si="74">IF(ISERROR(G276/(F7+G7+H7+I7)),"0.00",G276/(F7+G7+H7+I7))</f>
        <v>9.902584377246397E-2</v>
      </c>
      <c r="H277" s="102">
        <f t="shared" ref="H277" si="75">IF(ISERROR(H276/(F7+G7+H7+I7)),"0.00",H276/(F7+G7+H7+I7))</f>
        <v>0.15933231070600329</v>
      </c>
      <c r="I277" s="102">
        <f t="shared" ref="I277" si="76">IF(ISERROR(I276/(F7+G7+H7+I7)),"0.00",I276/(F7+G7+H7+I7))</f>
        <v>0.2120719839199153</v>
      </c>
      <c r="J277" s="102">
        <f t="shared" ref="J277" si="77">IF(ISERROR(J276/(J7+K7+L7+M7)),"0.00",J276/(J7+K7+L7+M7))</f>
        <v>3.6742595329148496E-2</v>
      </c>
      <c r="K277" s="102">
        <f t="shared" ref="K277" si="78">IF(ISERROR(K276/(J7+K7+L7+M7)),"0.00",K276/(J7+K7+L7+M7))</f>
        <v>9.8114822786302458E-2</v>
      </c>
      <c r="L277" s="102">
        <f t="shared" ref="L277" si="79">IF(ISERROR(L276/(J7+K7+L7+M7)),"0.00",L276/(J7+K7+L7+M7))</f>
        <v>0.14566494110678427</v>
      </c>
      <c r="M277" s="102">
        <f t="shared" ref="M277" si="80">IF(ISERROR(M276/(J7+K7+L7+M7)),"0.00",M276/(J7+K7+L7+M7))</f>
        <v>0.19348001534444648</v>
      </c>
      <c r="N277" s="102">
        <f t="shared" ref="N277" si="81">IF(ISERROR(N276/(N7+O7+P7+Q7)),"0.00",N276/(N7+O7+P7+Q7))</f>
        <v>4.8959107870627988E-2</v>
      </c>
      <c r="O277" s="102">
        <f t="shared" ref="O277" si="82">IF(ISERROR(O276/(N7+O7+P7+Q7)),"0.00",O276/(N7+O7+P7+Q7))</f>
        <v>0.11278674666326502</v>
      </c>
      <c r="P277" s="102">
        <f t="shared" ref="P277" si="83">IF(ISERROR(P276/(N7+O7+P7+Q7)),"0.00",P276/(N7+O7+P7+Q7))</f>
        <v>0.18064492132523943</v>
      </c>
      <c r="Q277" s="102">
        <f t="shared" ref="Q277" si="84">IF(ISERROR(Q276/(N7+O7+P7+Q7)),"0.00",Q276/(N7+O7+P7+Q7))</f>
        <v>0.21081391874336594</v>
      </c>
      <c r="R277" s="102">
        <f t="shared" ref="R277" si="85">IF(ISERROR(R276/(R7+S7+T7+U7)),"0.00",R276/(R7+S7+T7+U7))</f>
        <v>5.2935685862418633E-2</v>
      </c>
      <c r="S277" s="102">
        <f t="shared" ref="S277" si="86">IF(ISERROR(S276/(R7+S7+T7+U7)),"0.00",S276/(R7+S7+T7+U7))</f>
        <v>0.12122004483875787</v>
      </c>
      <c r="T277" s="102">
        <f t="shared" ref="T277" si="87">IF(ISERROR(T276/(R7+S7+T7+U7)),"0.00",T276/(R7+S7+T7+U7))</f>
        <v>0.18415815522028467</v>
      </c>
    </row>
    <row r="278" spans="1:23" outlineLevel="1">
      <c r="A278" s="101" t="s">
        <v>1798</v>
      </c>
      <c r="B278" s="102">
        <f>IF(ISERROR(B43/(B7+C7+D7+E7)),"0.00",B43/(B7+C7+D7+E7))</f>
        <v>4.1172542178590434E-2</v>
      </c>
      <c r="C278" s="102">
        <f>IF(ISERROR(C43/(B7+C7+D7+E7)),"0.00",C43/(B7+C7+D7+E7))</f>
        <v>4.7214771340761581E-2</v>
      </c>
      <c r="D278" s="102">
        <f>IF(ISERROR(D43/(B7+C7+D7+E7)),"0.00",D43/(B7+C7+D7+E7))</f>
        <v>5.6138250694766675E-2</v>
      </c>
      <c r="E278" s="102">
        <f>IF(ISERROR(E43/(B7+C7+D7+E7)),"0.00",E43/(B7+C7+D7+E7))</f>
        <v>5.8448699676138624E-2</v>
      </c>
      <c r="F278" s="102">
        <f t="shared" ref="F278" si="88">IF(ISERROR(F43/(F7+G7+H7+I7)),"0.00",F43/(F7+G7+H7+I7))</f>
        <v>4.9656953763752246E-2</v>
      </c>
      <c r="G278" s="102">
        <f t="shared" ref="G278" si="89">IF(ISERROR(G43/(F7+G7+H7+I7)),"0.00",G43/(F7+G7+H7+I7))</f>
        <v>4.9368890008711724E-2</v>
      </c>
      <c r="H278" s="102">
        <f t="shared" ref="H278" si="90">IF(ISERROR(H43/(F7+G7+H7+I7)),"0.00",H43/(F7+G7+H7+I7))</f>
        <v>6.0306466933539318E-2</v>
      </c>
      <c r="I278" s="102">
        <f t="shared" ref="I278" si="91">IF(ISERROR(I43/(F7+G7+H7+I7)),"0.00",I43/(F7+G7+H7+I7))</f>
        <v>5.2739673213912035E-2</v>
      </c>
      <c r="J278" s="102">
        <f t="shared" ref="J278" si="92">IF(ISERROR(J43/(J7+K7+L7+M7)),"0.00",J43/(J7+K7+L7+M7))</f>
        <v>3.6742595329148496E-2</v>
      </c>
      <c r="K278" s="102">
        <f t="shared" ref="K278" si="93">IF(ISERROR(K43/(J7+K7+L7+M7)),"0.00",K43/(J7+K7+L7+M7))</f>
        <v>6.1372227457153962E-2</v>
      </c>
      <c r="L278" s="102">
        <f t="shared" ref="L278" si="94">IF(ISERROR(L43/(J7+K7+L7+M7)),"0.00",L43/(J7+K7+L7+M7))</f>
        <v>4.7550118320481817E-2</v>
      </c>
      <c r="M278" s="102">
        <f t="shared" ref="M278" si="95">IF(ISERROR(M43/(J7+K7+L7+M7)),"0.00",M43/(J7+K7+L7+M7))</f>
        <v>4.7815074237662201E-2</v>
      </c>
      <c r="N278" s="102">
        <f t="shared" ref="N278" si="96">IF(ISERROR(N43/(N7+O7+P7+Q7)),"0.00",N43/(N7+O7+P7+Q7))</f>
        <v>4.8959107870627988E-2</v>
      </c>
      <c r="O278" s="102">
        <f t="shared" ref="O278" si="97">IF(ISERROR(O43/(N7+O7+P7+Q7)),"0.00",O43/(N7+O7+P7+Q7))</f>
        <v>6.3827638792637018E-2</v>
      </c>
      <c r="P278" s="102">
        <f t="shared" ref="P278" si="98">IF(ISERROR(P43/(N7+O7+P7+Q7)),"0.00",P43/(N7+O7+P7+Q7))</f>
        <v>6.7858174661974427E-2</v>
      </c>
      <c r="Q278" s="102">
        <f t="shared" ref="Q278" si="99">IF(ISERROR(Q43/(N7+O7+P7+Q7)),"0.00",Q43/(N7+O7+P7+Q7))</f>
        <v>3.0168997418126516E-2</v>
      </c>
      <c r="R278" s="102">
        <f t="shared" ref="R278" si="100">IF(ISERROR(R43/(R7+S7+T7+U7)),"0.00",R43/(R7+S7+T7+U7))</f>
        <v>5.2935685862418633E-2</v>
      </c>
      <c r="S278" s="102">
        <f t="shared" ref="S278" si="101">IF(ISERROR(S43/(R7+S7+T7+U7)),"0.00",S43/(R7+S7+T7+U7))</f>
        <v>6.8284358976339235E-2</v>
      </c>
      <c r="T278" s="102">
        <f t="shared" ref="T278" si="102">IF(ISERROR(T43/(R7+S7+T7+U7)),"0.00",T43/(R7+S7+T7+U7))</f>
        <v>6.2938110381526788E-2</v>
      </c>
    </row>
    <row r="279" spans="1:23" outlineLevel="1">
      <c r="A279" s="101" t="s">
        <v>1799</v>
      </c>
      <c r="B279" s="102">
        <f>B54</f>
        <v>0.470886782</v>
      </c>
      <c r="C279" s="102">
        <f>B54+C54</f>
        <v>1.1757632610000002</v>
      </c>
      <c r="D279" s="102">
        <f>B54+C54+D54</f>
        <v>1.9102150104000002</v>
      </c>
      <c r="E279" s="102">
        <f>B54+C54+D54+E54</f>
        <v>2.6153569681000004</v>
      </c>
      <c r="F279" s="102">
        <f t="shared" ref="F279:T279" si="103">F54</f>
        <v>0.75401601330000001</v>
      </c>
      <c r="G279" s="102">
        <f t="shared" ref="G279:T279" si="104">F54+G54</f>
        <v>1.7443462600999999</v>
      </c>
      <c r="H279" s="102">
        <f t="shared" ref="H279" si="105">F54+G54+H54</f>
        <v>2.6898840077999999</v>
      </c>
      <c r="I279" s="102">
        <f t="shared" ref="I279" si="106">F54+G54+H54+I54</f>
        <v>3.5805143276</v>
      </c>
      <c r="J279" s="102">
        <f t="shared" ref="J279:T279" si="107">J54</f>
        <v>0.64544653210000003</v>
      </c>
      <c r="K279" s="102">
        <f t="shared" ref="K279:T279" si="108">J54+K54</f>
        <v>1.7576291001</v>
      </c>
      <c r="L279" s="102">
        <f t="shared" ref="L279" si="109">J54+K54+L54</f>
        <v>2.5986646592999998</v>
      </c>
      <c r="M279" s="102">
        <f t="shared" ref="M279" si="110">J54+K54+L54+M54</f>
        <v>3.4404380382999999</v>
      </c>
      <c r="N279" s="102">
        <f t="shared" ref="N279:T279" si="111">N54</f>
        <v>1.0298607715000001</v>
      </c>
      <c r="O279" s="102">
        <f t="shared" ref="O279:T279" si="112">N54+O54</f>
        <v>2.2940189893</v>
      </c>
      <c r="P279" s="102">
        <f t="shared" ref="P279" si="113">N54+O54+P54</f>
        <v>3.6559740277000001</v>
      </c>
      <c r="Q279" s="102">
        <f t="shared" ref="Q279" si="114">N54+O54+P54+Q54</f>
        <v>4.8296995698999998</v>
      </c>
      <c r="R279" s="102">
        <f t="shared" ref="R279:T279" si="115">R54</f>
        <v>0.85349551280000002</v>
      </c>
      <c r="S279" s="102">
        <f t="shared" ref="S279:T279" si="116">R54+S54</f>
        <v>1.9843505057000002</v>
      </c>
      <c r="T279" s="102">
        <f t="shared" ref="T279" si="117">R54+S54+T54</f>
        <v>3.0165303756000004</v>
      </c>
    </row>
    <row r="280" spans="1:23" outlineLevel="1">
      <c r="A280" s="101" t="s">
        <v>1800</v>
      </c>
      <c r="B280" s="102">
        <f>IF(ISERROR(B279/(B54+C54+D54+E54)),"0.00",B279/(B54+C54+D54+E54))</f>
        <v>0.18004684933777471</v>
      </c>
      <c r="C280" s="102">
        <f>IF(ISERROR(C279/(B54+C54+D54+E54)),"0.00",C279/(B54+C54+D54+E54))</f>
        <v>0.44956129329227529</v>
      </c>
      <c r="D280" s="102">
        <f>IF(ISERROR(D279/(B54+C54+D54+E54)),"0.00",D279/(B54+C54+D54+E54))</f>
        <v>0.73038404841069537</v>
      </c>
      <c r="E280" s="102">
        <f>IF(ISERROR(E279/(B54+C54+D54+E54)),"0.00",E279/(B54+C54+D54+E54))</f>
        <v>1</v>
      </c>
      <c r="F280" s="102">
        <f t="shared" ref="F280" si="118">IF(ISERROR(F279/(F54+G54+H54+I54)),"0.00",F279/(F54+G54+H54+I54))</f>
        <v>0.21058874349077469</v>
      </c>
      <c r="G280" s="102">
        <f t="shared" ref="G280" si="119">IF(ISERROR(G279/(F54+G54+H54+I54)),"0.00",G279/(F54+G54+H54+I54))</f>
        <v>0.4871775673829592</v>
      </c>
      <c r="H280" s="102">
        <f t="shared" ref="H280" si="120">IF(ISERROR(H279/(F54+G54+H54+I54)),"0.00",H279/(F54+G54+H54+I54))</f>
        <v>0.75125631730204945</v>
      </c>
      <c r="I280" s="102">
        <f t="shared" ref="I280" si="121">IF(ISERROR(I279/(F54+G54+H54+I54)),"0.00",I279/(F54+G54+H54+I54))</f>
        <v>1</v>
      </c>
      <c r="J280" s="102">
        <f t="shared" ref="J280" si="122">IF(ISERROR(J279/(J54+K54+L54+M54)),"0.00",J279/(J54+K54+L54+M54))</f>
        <v>0.18760591672185153</v>
      </c>
      <c r="K280" s="102">
        <f t="shared" ref="K280" si="123">IF(ISERROR(K279/(J54+K54+L54+M54)),"0.00",K279/(J54+K54+L54+M54))</f>
        <v>0.51087363891851545</v>
      </c>
      <c r="L280" s="102">
        <f t="shared" ref="L280" si="124">IF(ISERROR(L279/(J54+K54+L54+M54)),"0.00",L279/(J54+K54+L54+M54))</f>
        <v>0.75532959186326754</v>
      </c>
      <c r="M280" s="102">
        <f t="shared" ref="M280" si="125">IF(ISERROR(M279/(J54+K54+L54+M54)),"0.00",M279/(J54+K54+L54+M54))</f>
        <v>1</v>
      </c>
      <c r="N280" s="102">
        <f t="shared" ref="N280" si="126">IF(ISERROR(N279/(N54+O54+P54+Q54)),"0.00",N279/(N54+O54+P54+Q54))</f>
        <v>0.21323495521716759</v>
      </c>
      <c r="O280" s="102">
        <f t="shared" ref="O280" si="127">IF(ISERROR(O279/(N54+O54+P54+Q54)),"0.00",O279/(N54+O54+P54+Q54))</f>
        <v>0.47498171596364913</v>
      </c>
      <c r="P280" s="102">
        <f t="shared" ref="P280" si="128">IF(ISERROR(P279/(N54+O54+P54+Q54)),"0.00",P279/(N54+O54+P54+Q54))</f>
        <v>0.75697752516223238</v>
      </c>
      <c r="Q280" s="102">
        <f t="shared" ref="Q280" si="129">IF(ISERROR(Q279/(N54+O54+P54+Q54)),"0.00",Q279/(N54+O54+P54+Q54))</f>
        <v>1</v>
      </c>
      <c r="R280" s="102">
        <f t="shared" ref="R280" si="130">IF(ISERROR(R279/(R54+S54+T54+U54)),"0.00",R279/(R54+S54+T54+U54))</f>
        <v>0.28293947234999622</v>
      </c>
      <c r="S280" s="102">
        <f t="shared" ref="S280" si="131">IF(ISERROR(S279/(R54+S54+T54+U54)),"0.00",S279/(R54+S54+T54+U54))</f>
        <v>0.65782546787890528</v>
      </c>
      <c r="T280" s="102">
        <f t="shared" ref="T280" si="132">IF(ISERROR(T279/(R54+S54+T54+U54)),"0.00",T279/(R54+S54+T54+U54))</f>
        <v>1</v>
      </c>
    </row>
    <row r="281" spans="1:23" outlineLevel="1">
      <c r="A281" s="101" t="s">
        <v>1801</v>
      </c>
      <c r="B281" s="102">
        <f>IF(ISERROR(B54/(B54+C54+D54+E54)),"0.00",B54/(B54+C54+D54+E54))</f>
        <v>0.18004684933777471</v>
      </c>
      <c r="C281" s="102">
        <f>IF(ISERROR(C54/(B54+C54+D54+E54)),"0.00",C54/(B54+C54+D54+E54))</f>
        <v>0.26951444395450058</v>
      </c>
      <c r="D281" s="102">
        <f>IF(ISERROR(D54/(B54+C54+D54+E54)),"0.00",D54/(B54+C54+D54+E54))</f>
        <v>0.28082275511842009</v>
      </c>
      <c r="E281" s="102">
        <f>IF(ISERROR(E54/(B54+C54+D54+E54)),"0.00",E54/(B54+C54+D54+E54))</f>
        <v>0.26961595158930451</v>
      </c>
      <c r="F281" s="102">
        <f t="shared" ref="F281" si="133">IF(ISERROR(F54/(F54+G54+H54+I54)),"0.00",F54/(F54+G54+H54+I54))</f>
        <v>0.21058874349077469</v>
      </c>
      <c r="G281" s="102">
        <f t="shared" ref="G281" si="134">IF(ISERROR(G54/(F54+G54+H54+I54)),"0.00",G54/(F54+G54+H54+I54))</f>
        <v>0.27658882389218459</v>
      </c>
      <c r="H281" s="102">
        <f t="shared" ref="H281" si="135">IF(ISERROR(H54/(F54+G54+H54+I54)),"0.00",H54/(F54+G54+H54+I54))</f>
        <v>0.26407874991909025</v>
      </c>
      <c r="I281" s="102">
        <f t="shared" ref="I281" si="136">IF(ISERROR(I54/(F54+G54+H54+I54)),"0.00",I54/(F54+G54+H54+I54))</f>
        <v>0.24874368269795052</v>
      </c>
      <c r="J281" s="102">
        <f t="shared" ref="J281" si="137">IF(ISERROR(J54/(J54+K54+L54+M54)),"0.00",J54/(J54+K54+L54+M54))</f>
        <v>0.18760591672185153</v>
      </c>
      <c r="K281" s="102">
        <f t="shared" ref="K281" si="138">IF(ISERROR(K54/(J54+K54+L54+M54)),"0.00",K54/(J54+K54+L54+M54))</f>
        <v>0.32326772219666394</v>
      </c>
      <c r="L281" s="102">
        <f t="shared" ref="L281" si="139">IF(ISERROR(L54/(J54+K54+L54+M54)),"0.00",L54/(J54+K54+L54+M54))</f>
        <v>0.24445595294475211</v>
      </c>
      <c r="M281" s="102">
        <f t="shared" ref="M281" si="140">IF(ISERROR(M54/(J54+K54+L54+M54)),"0.00",M54/(J54+K54+L54+M54))</f>
        <v>0.24467040813673244</v>
      </c>
      <c r="N281" s="102">
        <f t="shared" ref="N281" si="141">IF(ISERROR(N54/(N54+O54+P54+Q54)),"0.00",N54/(N54+O54+P54+Q54))</f>
        <v>0.21323495521716759</v>
      </c>
      <c r="O281" s="102">
        <f t="shared" ref="O281" si="142">IF(ISERROR(O54/(N54+O54+P54+Q54)),"0.00",O54/(N54+O54+P54+Q54))</f>
        <v>0.26174676074648151</v>
      </c>
      <c r="P281" s="102">
        <f t="shared" ref="P281" si="143">IF(ISERROR(P54/(N54+O54+P54+Q54)),"0.00",P54/(N54+O54+P54+Q54))</f>
        <v>0.2819958091985833</v>
      </c>
      <c r="Q281" s="102">
        <f t="shared" ref="Q281" si="144">IF(ISERROR(Q54/(N54+O54+P54+Q54)),"0.00",Q54/(N54+O54+P54+Q54))</f>
        <v>0.24302247483776765</v>
      </c>
      <c r="R281" s="102">
        <f t="shared" ref="R281" si="145">IF(ISERROR(R54/(R54+S54+T54+U54)),"0.00",R54/(R54+S54+T54+U54))</f>
        <v>0.28293947234999622</v>
      </c>
      <c r="S281" s="102">
        <f t="shared" ref="S281" si="146">IF(ISERROR(S54/(R54+S54+T54+U54)),"0.00",S54/(R54+S54+T54+U54))</f>
        <v>0.37488599552890906</v>
      </c>
      <c r="T281" s="102">
        <f t="shared" ref="T281" si="147">IF(ISERROR(T54/(R54+S54+T54+U54)),"0.00",T54/(R54+S54+T54+U54))</f>
        <v>0.34217453212109461</v>
      </c>
    </row>
    <row r="282" spans="1:23">
      <c r="B282" s="102"/>
      <c r="C282" s="102"/>
      <c r="D282" s="102"/>
      <c r="E282" s="102"/>
      <c r="F282" s="102"/>
      <c r="G282" s="102"/>
      <c r="H282" s="102"/>
      <c r="I282" s="102"/>
      <c r="J282" s="102"/>
      <c r="K282" s="102"/>
      <c r="L282" s="102"/>
      <c r="M282" s="102"/>
      <c r="N282" s="102"/>
      <c r="O282" s="102"/>
      <c r="P282" s="102"/>
      <c r="Q282" s="102"/>
      <c r="R282" s="102"/>
      <c r="S282" s="102"/>
    </row>
    <row r="283" spans="1:23">
      <c r="B283" s="102"/>
      <c r="C283" s="102"/>
      <c r="D283" s="102"/>
      <c r="E283" s="102"/>
      <c r="F283" s="102"/>
      <c r="G283" s="102"/>
      <c r="H283" s="102"/>
      <c r="I283" s="102"/>
      <c r="J283" s="102"/>
      <c r="K283" s="102"/>
      <c r="L283" s="102"/>
      <c r="M283" s="102"/>
      <c r="N283" s="102"/>
      <c r="O283" s="102"/>
      <c r="P283" s="102"/>
      <c r="Q283" s="102"/>
      <c r="R283" s="102"/>
      <c r="S283" s="102"/>
    </row>
    <row r="284" spans="1:23">
      <c r="B284" s="102"/>
      <c r="C284" s="102"/>
      <c r="D284" s="102"/>
      <c r="E284" s="102"/>
      <c r="F284" s="102"/>
      <c r="G284" s="102"/>
      <c r="H284" s="102"/>
      <c r="I284" s="102"/>
      <c r="J284" s="102"/>
      <c r="K284" s="102"/>
      <c r="L284" s="102"/>
      <c r="M284" s="102"/>
      <c r="N284" s="102"/>
      <c r="O284" s="102"/>
      <c r="P284" s="102"/>
      <c r="Q284" s="102"/>
      <c r="R284" s="102"/>
      <c r="S284" s="102"/>
    </row>
    <row r="285" spans="1:23">
      <c r="B285" s="102"/>
      <c r="C285" s="102"/>
      <c r="D285" s="102"/>
      <c r="E285" s="102"/>
      <c r="F285" s="102"/>
      <c r="G285" s="102"/>
      <c r="H285" s="102"/>
      <c r="I285" s="102"/>
      <c r="J285" s="102"/>
      <c r="K285" s="102"/>
      <c r="L285" s="102"/>
      <c r="M285" s="102"/>
      <c r="N285" s="102"/>
      <c r="O285" s="102"/>
      <c r="P285" s="102"/>
      <c r="Q285" s="102"/>
      <c r="R285" s="102"/>
      <c r="S285" s="102"/>
    </row>
    <row r="286" spans="1:23">
      <c r="B286" s="102"/>
      <c r="C286" s="102"/>
      <c r="D286" s="102"/>
      <c r="E286" s="102"/>
      <c r="F286" s="102"/>
      <c r="G286" s="102"/>
      <c r="H286" s="102"/>
      <c r="I286" s="102"/>
      <c r="J286" s="102"/>
      <c r="K286" s="102"/>
      <c r="L286" s="102"/>
      <c r="M286" s="102"/>
      <c r="N286" s="102"/>
      <c r="O286" s="102"/>
      <c r="P286" s="102"/>
      <c r="Q286" s="102"/>
      <c r="R286" s="102"/>
      <c r="S286" s="102"/>
    </row>
    <row r="287" spans="1:23">
      <c r="B287" s="102"/>
      <c r="C287" s="102"/>
      <c r="D287" s="102"/>
      <c r="E287" s="102"/>
      <c r="F287" s="102"/>
      <c r="G287" s="102"/>
      <c r="H287" s="102"/>
      <c r="I287" s="102"/>
      <c r="J287" s="102"/>
      <c r="K287" s="102"/>
      <c r="L287" s="102"/>
      <c r="M287" s="102"/>
      <c r="N287" s="102"/>
      <c r="O287" s="102"/>
      <c r="P287" s="102"/>
      <c r="Q287" s="102"/>
      <c r="R287" s="102"/>
      <c r="S287" s="102"/>
    </row>
    <row r="288" spans="1:23">
      <c r="B288" s="102"/>
      <c r="C288" s="102"/>
      <c r="D288" s="102"/>
      <c r="E288" s="102"/>
      <c r="F288" s="102"/>
      <c r="G288" s="102"/>
      <c r="H288" s="102"/>
      <c r="I288" s="102"/>
      <c r="J288" s="102"/>
      <c r="K288" s="102"/>
      <c r="L288" s="102"/>
      <c r="M288" s="102"/>
      <c r="N288" s="102"/>
      <c r="O288" s="102"/>
      <c r="P288" s="102"/>
      <c r="Q288" s="102"/>
      <c r="R288" s="102"/>
      <c r="S288" s="102"/>
    </row>
    <row r="289" spans="2:19">
      <c r="B289" s="102"/>
      <c r="C289" s="102"/>
      <c r="D289" s="102"/>
      <c r="E289" s="102"/>
      <c r="F289" s="102"/>
      <c r="G289" s="102"/>
      <c r="H289" s="102"/>
      <c r="I289" s="102"/>
      <c r="J289" s="102"/>
      <c r="K289" s="102"/>
      <c r="L289" s="102"/>
      <c r="M289" s="102"/>
      <c r="N289" s="102"/>
      <c r="O289" s="102"/>
      <c r="P289" s="102"/>
      <c r="Q289" s="102"/>
      <c r="R289" s="102"/>
      <c r="S289" s="102"/>
    </row>
    <row r="290" spans="2:19">
      <c r="B290" s="102"/>
      <c r="C290" s="102"/>
      <c r="D290" s="102"/>
      <c r="E290" s="102"/>
      <c r="F290" s="102"/>
      <c r="G290" s="102"/>
      <c r="H290" s="102"/>
      <c r="I290" s="102"/>
      <c r="J290" s="102"/>
      <c r="K290" s="102"/>
      <c r="L290" s="102"/>
      <c r="M290" s="102"/>
      <c r="N290" s="102"/>
      <c r="O290" s="102"/>
      <c r="P290" s="102"/>
      <c r="Q290" s="102"/>
      <c r="R290" s="102"/>
      <c r="S290" s="102"/>
    </row>
    <row r="291" spans="2:19">
      <c r="B291" s="102"/>
      <c r="C291" s="102"/>
      <c r="D291" s="102"/>
      <c r="E291" s="102"/>
      <c r="F291" s="102"/>
      <c r="G291" s="102"/>
      <c r="H291" s="102"/>
      <c r="I291" s="102"/>
      <c r="J291" s="102"/>
      <c r="K291" s="102"/>
      <c r="L291" s="102"/>
      <c r="M291" s="102"/>
      <c r="N291" s="102"/>
      <c r="O291" s="102"/>
      <c r="P291" s="102"/>
      <c r="Q291" s="102"/>
      <c r="R291" s="102"/>
      <c r="S291" s="102"/>
    </row>
    <row r="292" spans="2:19">
      <c r="B292" s="102"/>
      <c r="C292" s="102"/>
      <c r="D292" s="102"/>
      <c r="E292" s="102"/>
      <c r="F292" s="102"/>
      <c r="G292" s="102"/>
      <c r="H292" s="102"/>
      <c r="I292" s="102"/>
      <c r="J292" s="102"/>
      <c r="K292" s="102"/>
      <c r="L292" s="102"/>
      <c r="M292" s="102"/>
      <c r="N292" s="102"/>
      <c r="O292" s="102"/>
      <c r="P292" s="102"/>
      <c r="Q292" s="102"/>
      <c r="R292" s="102"/>
      <c r="S292" s="102"/>
    </row>
    <row r="293" spans="2:19">
      <c r="B293" s="102"/>
      <c r="C293" s="102"/>
      <c r="D293" s="102"/>
      <c r="E293" s="102"/>
      <c r="F293" s="102"/>
      <c r="G293" s="102"/>
      <c r="H293" s="102"/>
      <c r="I293" s="102"/>
      <c r="J293" s="102"/>
      <c r="K293" s="102"/>
      <c r="L293" s="102"/>
      <c r="M293" s="102"/>
      <c r="N293" s="102"/>
      <c r="O293" s="102"/>
      <c r="P293" s="102"/>
      <c r="Q293" s="102"/>
      <c r="R293" s="102"/>
      <c r="S293" s="102"/>
    </row>
    <row r="294" spans="2:19">
      <c r="B294" s="102"/>
      <c r="C294" s="102"/>
      <c r="D294" s="102"/>
      <c r="E294" s="102"/>
      <c r="F294" s="102"/>
      <c r="G294" s="102"/>
      <c r="H294" s="102"/>
      <c r="I294" s="102"/>
      <c r="J294" s="102"/>
      <c r="K294" s="102"/>
      <c r="L294" s="102"/>
      <c r="M294" s="102"/>
      <c r="N294" s="102"/>
      <c r="O294" s="102"/>
      <c r="P294" s="102"/>
      <c r="Q294" s="102"/>
      <c r="R294" s="102"/>
      <c r="S294" s="102"/>
    </row>
    <row r="295" spans="2:19">
      <c r="B295" s="102"/>
      <c r="C295" s="102"/>
      <c r="D295" s="102"/>
      <c r="E295" s="102"/>
      <c r="F295" s="102"/>
      <c r="G295" s="102"/>
      <c r="H295" s="102"/>
      <c r="I295" s="102"/>
      <c r="J295" s="102"/>
      <c r="K295" s="102"/>
      <c r="L295" s="102"/>
      <c r="M295" s="102"/>
      <c r="N295" s="102"/>
      <c r="O295" s="102"/>
      <c r="P295" s="102"/>
      <c r="Q295" s="102"/>
      <c r="R295" s="102"/>
      <c r="S295" s="102"/>
    </row>
    <row r="296" spans="2:19">
      <c r="B296" s="102"/>
      <c r="C296" s="102"/>
      <c r="D296" s="102"/>
      <c r="E296" s="102"/>
      <c r="F296" s="102"/>
      <c r="G296" s="102"/>
      <c r="H296" s="102"/>
      <c r="I296" s="102"/>
      <c r="J296" s="102"/>
      <c r="K296" s="102"/>
      <c r="L296" s="102"/>
      <c r="M296" s="102"/>
      <c r="N296" s="102"/>
      <c r="O296" s="102"/>
      <c r="P296" s="102"/>
      <c r="Q296" s="102"/>
      <c r="R296" s="102"/>
      <c r="S296" s="102"/>
    </row>
    <row r="297" spans="2:19">
      <c r="B297" s="102"/>
      <c r="C297" s="102"/>
      <c r="D297" s="102"/>
      <c r="E297" s="102"/>
      <c r="F297" s="102"/>
      <c r="G297" s="102"/>
      <c r="H297" s="102"/>
      <c r="I297" s="102"/>
      <c r="J297" s="102"/>
      <c r="K297" s="102"/>
      <c r="L297" s="102"/>
      <c r="M297" s="102"/>
      <c r="N297" s="102"/>
      <c r="O297" s="102"/>
      <c r="P297" s="102"/>
      <c r="Q297" s="102"/>
      <c r="R297" s="102"/>
      <c r="S297" s="102"/>
    </row>
    <row r="298" spans="2:19">
      <c r="B298" s="102"/>
      <c r="C298" s="102"/>
      <c r="D298" s="102"/>
      <c r="E298" s="102"/>
      <c r="F298" s="102"/>
      <c r="G298" s="102"/>
      <c r="H298" s="102"/>
      <c r="I298" s="102"/>
      <c r="J298" s="102"/>
      <c r="K298" s="102"/>
      <c r="L298" s="102"/>
      <c r="M298" s="102"/>
      <c r="N298" s="102"/>
      <c r="O298" s="102"/>
      <c r="P298" s="102"/>
      <c r="Q298" s="102"/>
      <c r="R298" s="102"/>
      <c r="S298" s="102"/>
    </row>
    <row r="299" spans="2:19">
      <c r="B299" s="102"/>
      <c r="C299" s="102"/>
      <c r="D299" s="102"/>
      <c r="E299" s="102"/>
      <c r="F299" s="102"/>
      <c r="G299" s="102"/>
      <c r="H299" s="102"/>
      <c r="I299" s="102"/>
      <c r="J299" s="102"/>
      <c r="K299" s="102"/>
      <c r="L299" s="102"/>
      <c r="M299" s="102"/>
      <c r="N299" s="102"/>
      <c r="O299" s="102"/>
      <c r="P299" s="102"/>
      <c r="Q299" s="102"/>
      <c r="R299" s="102"/>
      <c r="S299" s="102"/>
    </row>
    <row r="300" spans="2:19">
      <c r="B300" s="102"/>
      <c r="C300" s="102"/>
      <c r="D300" s="102"/>
      <c r="E300" s="102"/>
      <c r="F300" s="102"/>
      <c r="G300" s="102"/>
      <c r="H300" s="102"/>
      <c r="I300" s="102"/>
      <c r="J300" s="102"/>
      <c r="K300" s="102"/>
      <c r="L300" s="102"/>
      <c r="M300" s="102"/>
      <c r="N300" s="102"/>
      <c r="O300" s="102"/>
      <c r="P300" s="102"/>
      <c r="Q300" s="102"/>
      <c r="R300" s="102"/>
      <c r="S300" s="102"/>
    </row>
    <row r="301" spans="2:19">
      <c r="B301" s="102"/>
      <c r="C301" s="102"/>
      <c r="D301" s="102"/>
      <c r="E301" s="102"/>
      <c r="F301" s="102"/>
      <c r="G301" s="102"/>
      <c r="H301" s="102"/>
      <c r="I301" s="102"/>
      <c r="J301" s="102"/>
      <c r="K301" s="102"/>
      <c r="L301" s="102"/>
      <c r="M301" s="102"/>
      <c r="N301" s="102"/>
      <c r="O301" s="102"/>
      <c r="P301" s="102"/>
      <c r="Q301" s="102"/>
      <c r="R301" s="102"/>
      <c r="S301" s="102"/>
    </row>
    <row r="302" spans="2:19">
      <c r="B302" s="102"/>
      <c r="C302" s="102"/>
      <c r="D302" s="102"/>
      <c r="E302" s="102"/>
      <c r="F302" s="102"/>
      <c r="G302" s="102"/>
      <c r="H302" s="102"/>
      <c r="I302" s="102"/>
      <c r="J302" s="102"/>
      <c r="K302" s="102"/>
      <c r="L302" s="102"/>
      <c r="M302" s="102"/>
      <c r="N302" s="102"/>
      <c r="O302" s="102"/>
      <c r="P302" s="102"/>
      <c r="Q302" s="102"/>
      <c r="R302" s="102"/>
      <c r="S302" s="102"/>
    </row>
    <row r="303" spans="2:19">
      <c r="B303" s="102"/>
      <c r="C303" s="102"/>
      <c r="D303" s="102"/>
      <c r="E303" s="102"/>
      <c r="F303" s="102"/>
      <c r="G303" s="102"/>
      <c r="H303" s="102"/>
      <c r="I303" s="102"/>
      <c r="J303" s="102"/>
      <c r="K303" s="102"/>
      <c r="L303" s="102"/>
      <c r="M303" s="102"/>
      <c r="N303" s="102"/>
      <c r="O303" s="102"/>
      <c r="P303" s="102"/>
      <c r="Q303" s="102"/>
      <c r="R303" s="102"/>
      <c r="S303" s="102"/>
    </row>
    <row r="304" spans="2:19">
      <c r="B304" s="102"/>
      <c r="C304" s="102"/>
      <c r="D304" s="102"/>
      <c r="E304" s="102"/>
      <c r="F304" s="102"/>
      <c r="G304" s="102"/>
      <c r="H304" s="102"/>
      <c r="I304" s="102"/>
      <c r="J304" s="102"/>
      <c r="K304" s="102"/>
      <c r="L304" s="102"/>
      <c r="M304" s="102"/>
      <c r="N304" s="102"/>
      <c r="O304" s="102"/>
      <c r="P304" s="102"/>
      <c r="Q304" s="102"/>
      <c r="R304" s="102"/>
      <c r="S304" s="102"/>
    </row>
    <row r="305" spans="2:19">
      <c r="B305" s="102"/>
      <c r="C305" s="102"/>
      <c r="D305" s="102"/>
      <c r="E305" s="102"/>
      <c r="F305" s="102"/>
      <c r="G305" s="102"/>
      <c r="H305" s="102"/>
      <c r="I305" s="102"/>
      <c r="J305" s="102"/>
      <c r="K305" s="102"/>
      <c r="L305" s="102"/>
      <c r="M305" s="102"/>
      <c r="N305" s="102"/>
      <c r="O305" s="102"/>
      <c r="P305" s="102"/>
      <c r="Q305" s="102"/>
      <c r="R305" s="102"/>
      <c r="S305" s="102"/>
    </row>
    <row r="306" spans="2:19">
      <c r="B306" s="102"/>
      <c r="C306" s="102"/>
      <c r="D306" s="102"/>
      <c r="E306" s="102"/>
      <c r="F306" s="102"/>
      <c r="G306" s="102"/>
      <c r="H306" s="102"/>
      <c r="I306" s="102"/>
      <c r="J306" s="102"/>
      <c r="K306" s="102"/>
      <c r="L306" s="102"/>
      <c r="M306" s="102"/>
      <c r="N306" s="102"/>
      <c r="O306" s="102"/>
      <c r="P306" s="102"/>
      <c r="Q306" s="102"/>
      <c r="R306" s="102"/>
      <c r="S306" s="102"/>
    </row>
    <row r="307" spans="2:19">
      <c r="B307" s="102"/>
      <c r="C307" s="102"/>
      <c r="D307" s="102"/>
      <c r="E307" s="102"/>
      <c r="F307" s="102"/>
      <c r="G307" s="102"/>
      <c r="H307" s="102"/>
      <c r="I307" s="102"/>
      <c r="J307" s="102"/>
      <c r="K307" s="102"/>
      <c r="L307" s="102"/>
      <c r="M307" s="102"/>
      <c r="N307" s="102"/>
      <c r="O307" s="102"/>
      <c r="P307" s="102"/>
      <c r="Q307" s="102"/>
      <c r="R307" s="102"/>
      <c r="S307" s="102"/>
    </row>
    <row r="308" spans="2:19">
      <c r="B308" s="102"/>
      <c r="C308" s="102"/>
      <c r="D308" s="102"/>
      <c r="E308" s="102"/>
      <c r="F308" s="102"/>
      <c r="G308" s="102"/>
      <c r="H308" s="102"/>
      <c r="I308" s="102"/>
      <c r="J308" s="102"/>
      <c r="K308" s="102"/>
      <c r="L308" s="102"/>
      <c r="M308" s="102"/>
      <c r="N308" s="102"/>
      <c r="O308" s="102"/>
      <c r="P308" s="102"/>
      <c r="Q308" s="102"/>
      <c r="R308" s="102"/>
      <c r="S308" s="102"/>
    </row>
    <row r="309" spans="2:19">
      <c r="B309" s="102"/>
      <c r="C309" s="102"/>
      <c r="D309" s="102"/>
      <c r="E309" s="102"/>
      <c r="F309" s="102"/>
      <c r="G309" s="102"/>
      <c r="H309" s="102"/>
      <c r="I309" s="102"/>
      <c r="J309" s="102"/>
      <c r="K309" s="102"/>
      <c r="L309" s="102"/>
      <c r="M309" s="102"/>
      <c r="N309" s="102"/>
      <c r="O309" s="102"/>
      <c r="P309" s="102"/>
      <c r="Q309" s="102"/>
      <c r="R309" s="102"/>
      <c r="S309" s="102"/>
    </row>
    <row r="310" spans="2:19">
      <c r="B310" s="102"/>
      <c r="C310" s="102"/>
      <c r="D310" s="102"/>
      <c r="E310" s="102"/>
      <c r="F310" s="102"/>
      <c r="G310" s="102"/>
      <c r="H310" s="102"/>
      <c r="I310" s="102"/>
      <c r="J310" s="102"/>
      <c r="K310" s="102"/>
      <c r="L310" s="102"/>
      <c r="M310" s="102"/>
      <c r="N310" s="102"/>
      <c r="O310" s="102"/>
      <c r="P310" s="102"/>
      <c r="Q310" s="102"/>
      <c r="R310" s="102"/>
      <c r="S310" s="102"/>
    </row>
    <row r="311" spans="2:19">
      <c r="B311" s="102"/>
      <c r="C311" s="102"/>
      <c r="D311" s="102"/>
      <c r="E311" s="102"/>
      <c r="F311" s="102"/>
      <c r="G311" s="102"/>
      <c r="H311" s="102"/>
      <c r="I311" s="102"/>
      <c r="J311" s="102"/>
      <c r="K311" s="102"/>
      <c r="L311" s="102"/>
      <c r="M311" s="102"/>
      <c r="N311" s="102"/>
      <c r="O311" s="102"/>
      <c r="P311" s="102"/>
      <c r="Q311" s="102"/>
      <c r="R311" s="102"/>
      <c r="S311" s="102"/>
    </row>
    <row r="312" spans="2:19">
      <c r="B312" s="102"/>
      <c r="C312" s="102"/>
      <c r="D312" s="102"/>
      <c r="E312" s="102"/>
      <c r="F312" s="102"/>
      <c r="G312" s="102"/>
      <c r="H312" s="102"/>
      <c r="I312" s="102"/>
      <c r="J312" s="102"/>
      <c r="K312" s="102"/>
      <c r="L312" s="102"/>
      <c r="M312" s="102"/>
      <c r="N312" s="102"/>
      <c r="O312" s="102"/>
      <c r="P312" s="102"/>
      <c r="Q312" s="102"/>
      <c r="R312" s="102"/>
      <c r="S312" s="102"/>
    </row>
    <row r="313" spans="2:19">
      <c r="B313" s="102"/>
      <c r="C313" s="102"/>
      <c r="D313" s="102"/>
      <c r="E313" s="102"/>
      <c r="F313" s="102"/>
      <c r="G313" s="102"/>
      <c r="H313" s="102"/>
      <c r="I313" s="102"/>
      <c r="J313" s="102"/>
      <c r="K313" s="102"/>
      <c r="L313" s="102"/>
      <c r="M313" s="102"/>
      <c r="N313" s="102"/>
      <c r="O313" s="102"/>
      <c r="P313" s="102"/>
      <c r="Q313" s="102"/>
      <c r="R313" s="102"/>
      <c r="S313" s="102"/>
    </row>
    <row r="314" spans="2:19">
      <c r="B314" s="102"/>
      <c r="C314" s="102"/>
      <c r="D314" s="102"/>
      <c r="E314" s="102"/>
      <c r="F314" s="102"/>
      <c r="G314" s="102"/>
      <c r="H314" s="102"/>
      <c r="I314" s="102"/>
      <c r="J314" s="102"/>
      <c r="K314" s="102"/>
      <c r="L314" s="102"/>
      <c r="M314" s="102"/>
      <c r="N314" s="102"/>
      <c r="O314" s="102"/>
      <c r="P314" s="102"/>
      <c r="Q314" s="102"/>
      <c r="R314" s="102"/>
      <c r="S314" s="102"/>
    </row>
    <row r="315" spans="2:19">
      <c r="B315" s="102"/>
      <c r="C315" s="102"/>
      <c r="D315" s="102"/>
      <c r="E315" s="102"/>
      <c r="F315" s="102"/>
      <c r="G315" s="102"/>
      <c r="H315" s="102"/>
      <c r="I315" s="102"/>
      <c r="J315" s="102"/>
      <c r="K315" s="102"/>
      <c r="L315" s="102"/>
      <c r="M315" s="102"/>
      <c r="N315" s="102"/>
      <c r="O315" s="102"/>
      <c r="P315" s="102"/>
      <c r="Q315" s="102"/>
      <c r="R315" s="102"/>
      <c r="S315" s="102"/>
    </row>
    <row r="316" spans="2:19">
      <c r="B316" s="102"/>
      <c r="C316" s="102"/>
      <c r="D316" s="102"/>
      <c r="E316" s="102"/>
      <c r="F316" s="102"/>
      <c r="G316" s="102"/>
      <c r="H316" s="102"/>
      <c r="I316" s="102"/>
      <c r="J316" s="102"/>
      <c r="K316" s="102"/>
      <c r="L316" s="102"/>
      <c r="M316" s="102"/>
      <c r="N316" s="102"/>
      <c r="O316" s="102"/>
      <c r="P316" s="102"/>
      <c r="Q316" s="102"/>
      <c r="R316" s="102"/>
      <c r="S316" s="102"/>
    </row>
    <row r="317" spans="2:19">
      <c r="B317" s="102"/>
      <c r="C317" s="102"/>
      <c r="D317" s="102"/>
      <c r="E317" s="102"/>
      <c r="F317" s="102"/>
      <c r="G317" s="102"/>
      <c r="H317" s="102"/>
      <c r="I317" s="102"/>
      <c r="J317" s="102"/>
      <c r="K317" s="102"/>
      <c r="L317" s="102"/>
      <c r="M317" s="102"/>
      <c r="N317" s="102"/>
      <c r="O317" s="102"/>
      <c r="P317" s="102"/>
      <c r="Q317" s="102"/>
      <c r="R317" s="102"/>
      <c r="S317" s="102"/>
    </row>
    <row r="318" spans="2:19">
      <c r="B318" s="102"/>
      <c r="C318" s="102"/>
      <c r="D318" s="102"/>
      <c r="E318" s="102"/>
      <c r="F318" s="102"/>
      <c r="G318" s="102"/>
      <c r="H318" s="102"/>
      <c r="I318" s="102"/>
      <c r="J318" s="102"/>
      <c r="K318" s="102"/>
      <c r="L318" s="102"/>
      <c r="M318" s="102"/>
      <c r="N318" s="102"/>
      <c r="O318" s="102"/>
      <c r="P318" s="102"/>
      <c r="Q318" s="102"/>
      <c r="R318" s="102"/>
      <c r="S318" s="102"/>
    </row>
    <row r="319" spans="2:19">
      <c r="B319" s="102"/>
      <c r="C319" s="102"/>
      <c r="D319" s="102"/>
      <c r="E319" s="102"/>
      <c r="F319" s="102"/>
      <c r="G319" s="102"/>
      <c r="H319" s="102"/>
      <c r="I319" s="102"/>
      <c r="J319" s="102"/>
      <c r="K319" s="102"/>
      <c r="L319" s="102"/>
      <c r="M319" s="102"/>
      <c r="N319" s="102"/>
      <c r="O319" s="102"/>
      <c r="P319" s="102"/>
      <c r="Q319" s="102"/>
      <c r="R319" s="102"/>
      <c r="S319" s="102"/>
    </row>
    <row r="320" spans="2:19">
      <c r="B320" s="102"/>
      <c r="C320" s="102"/>
      <c r="D320" s="102"/>
      <c r="E320" s="102"/>
      <c r="F320" s="102"/>
      <c r="G320" s="102"/>
      <c r="H320" s="102"/>
      <c r="I320" s="102"/>
      <c r="J320" s="102"/>
      <c r="K320" s="102"/>
      <c r="L320" s="102"/>
      <c r="M320" s="102"/>
      <c r="N320" s="102"/>
      <c r="O320" s="102"/>
      <c r="P320" s="102"/>
      <c r="Q320" s="102"/>
      <c r="R320" s="102"/>
      <c r="S320" s="102"/>
    </row>
    <row r="321" spans="2:19">
      <c r="B321" s="102"/>
      <c r="C321" s="102"/>
      <c r="D321" s="102"/>
      <c r="E321" s="102"/>
      <c r="F321" s="102"/>
      <c r="G321" s="102"/>
      <c r="H321" s="102"/>
      <c r="I321" s="102"/>
      <c r="J321" s="102"/>
      <c r="K321" s="102"/>
      <c r="L321" s="102"/>
      <c r="M321" s="102"/>
      <c r="N321" s="102"/>
      <c r="O321" s="102"/>
      <c r="P321" s="102"/>
      <c r="Q321" s="102"/>
      <c r="R321" s="102"/>
      <c r="S321" s="102"/>
    </row>
    <row r="322" spans="2:19">
      <c r="B322" s="102"/>
      <c r="C322" s="102"/>
      <c r="D322" s="102"/>
      <c r="E322" s="102"/>
      <c r="F322" s="102"/>
      <c r="G322" s="102"/>
      <c r="H322" s="102"/>
      <c r="I322" s="102"/>
      <c r="J322" s="102"/>
      <c r="K322" s="102"/>
      <c r="L322" s="102"/>
      <c r="M322" s="102"/>
      <c r="N322" s="102"/>
      <c r="O322" s="102"/>
      <c r="P322" s="102"/>
      <c r="Q322" s="102"/>
      <c r="R322" s="102"/>
      <c r="S322" s="102"/>
    </row>
    <row r="323" spans="2:19">
      <c r="B323" s="102"/>
      <c r="C323" s="102"/>
      <c r="D323" s="102"/>
      <c r="E323" s="102"/>
      <c r="F323" s="102"/>
      <c r="G323" s="102"/>
      <c r="H323" s="102"/>
      <c r="I323" s="102"/>
      <c r="J323" s="102"/>
      <c r="K323" s="102"/>
      <c r="L323" s="102"/>
      <c r="M323" s="102"/>
      <c r="N323" s="102"/>
      <c r="O323" s="102"/>
      <c r="P323" s="102"/>
      <c r="Q323" s="102"/>
      <c r="R323" s="102"/>
      <c r="S323" s="102"/>
    </row>
    <row r="324" spans="2:19">
      <c r="B324" s="102"/>
      <c r="C324" s="102"/>
      <c r="D324" s="102"/>
      <c r="E324" s="102"/>
      <c r="F324" s="102"/>
      <c r="G324" s="102"/>
      <c r="H324" s="102"/>
      <c r="I324" s="102"/>
      <c r="J324" s="102"/>
      <c r="K324" s="102"/>
      <c r="L324" s="102"/>
      <c r="M324" s="102"/>
      <c r="N324" s="102"/>
      <c r="O324" s="102"/>
      <c r="P324" s="102"/>
      <c r="Q324" s="102"/>
      <c r="R324" s="102"/>
      <c r="S324" s="102"/>
    </row>
    <row r="325" spans="2:19">
      <c r="B325" s="102"/>
      <c r="C325" s="102"/>
      <c r="D325" s="102"/>
      <c r="E325" s="102"/>
      <c r="F325" s="102"/>
      <c r="G325" s="102"/>
      <c r="H325" s="102"/>
      <c r="I325" s="102"/>
      <c r="J325" s="102"/>
      <c r="K325" s="102"/>
      <c r="L325" s="102"/>
      <c r="M325" s="102"/>
      <c r="N325" s="102"/>
      <c r="O325" s="102"/>
      <c r="P325" s="102"/>
      <c r="Q325" s="102"/>
      <c r="R325" s="102"/>
      <c r="S325" s="102"/>
    </row>
    <row r="326" spans="2:19">
      <c r="B326" s="102"/>
      <c r="C326" s="102"/>
      <c r="D326" s="102"/>
      <c r="E326" s="102"/>
      <c r="F326" s="102"/>
      <c r="G326" s="102"/>
      <c r="H326" s="102"/>
      <c r="I326" s="102"/>
      <c r="J326" s="102"/>
      <c r="K326" s="102"/>
      <c r="L326" s="102"/>
      <c r="M326" s="102"/>
      <c r="N326" s="102"/>
      <c r="O326" s="102"/>
      <c r="P326" s="102"/>
      <c r="Q326" s="102"/>
      <c r="R326" s="102"/>
      <c r="S326" s="102"/>
    </row>
    <row r="327" spans="2:19">
      <c r="B327" s="102"/>
      <c r="C327" s="102"/>
      <c r="D327" s="102"/>
      <c r="E327" s="102"/>
      <c r="F327" s="102"/>
      <c r="G327" s="102"/>
      <c r="H327" s="102"/>
      <c r="I327" s="102"/>
      <c r="J327" s="102"/>
      <c r="K327" s="102"/>
      <c r="L327" s="102"/>
      <c r="M327" s="102"/>
      <c r="N327" s="102"/>
      <c r="O327" s="102"/>
      <c r="P327" s="102"/>
      <c r="Q327" s="102"/>
      <c r="R327" s="102"/>
      <c r="S327" s="102"/>
    </row>
    <row r="328" spans="2:19">
      <c r="B328" s="102"/>
      <c r="C328" s="102"/>
      <c r="D328" s="102"/>
      <c r="E328" s="102"/>
      <c r="F328" s="102"/>
      <c r="G328" s="102"/>
      <c r="H328" s="102"/>
      <c r="I328" s="102"/>
      <c r="J328" s="102"/>
      <c r="K328" s="102"/>
      <c r="L328" s="102"/>
      <c r="M328" s="102"/>
      <c r="N328" s="102"/>
      <c r="O328" s="102"/>
      <c r="P328" s="102"/>
      <c r="Q328" s="102"/>
      <c r="R328" s="102"/>
      <c r="S328" s="102"/>
    </row>
    <row r="329" spans="2:19">
      <c r="B329" s="102"/>
      <c r="C329" s="102"/>
      <c r="D329" s="102"/>
      <c r="E329" s="102"/>
      <c r="F329" s="102"/>
      <c r="G329" s="102"/>
      <c r="H329" s="102"/>
      <c r="I329" s="102"/>
      <c r="J329" s="102"/>
      <c r="K329" s="102"/>
      <c r="L329" s="102"/>
      <c r="M329" s="102"/>
      <c r="N329" s="102"/>
      <c r="O329" s="102"/>
      <c r="P329" s="102"/>
      <c r="Q329" s="102"/>
      <c r="R329" s="102"/>
      <c r="S329" s="102"/>
    </row>
    <row r="330" spans="2:19">
      <c r="B330" s="102"/>
      <c r="C330" s="102"/>
      <c r="D330" s="102"/>
      <c r="E330" s="102"/>
      <c r="F330" s="102"/>
      <c r="G330" s="102"/>
      <c r="H330" s="102"/>
      <c r="I330" s="102"/>
      <c r="J330" s="102"/>
      <c r="K330" s="102"/>
      <c r="L330" s="102"/>
      <c r="M330" s="102"/>
      <c r="N330" s="102"/>
      <c r="O330" s="102"/>
      <c r="P330" s="102"/>
      <c r="Q330" s="102"/>
      <c r="R330" s="102"/>
      <c r="S330" s="102"/>
    </row>
    <row r="331" spans="2:19">
      <c r="B331" s="102"/>
      <c r="C331" s="102"/>
      <c r="D331" s="102"/>
      <c r="E331" s="102"/>
      <c r="F331" s="102"/>
      <c r="G331" s="102"/>
      <c r="H331" s="102"/>
      <c r="I331" s="102"/>
      <c r="J331" s="102"/>
      <c r="K331" s="102"/>
      <c r="L331" s="102"/>
      <c r="M331" s="102"/>
      <c r="N331" s="102"/>
      <c r="O331" s="102"/>
      <c r="P331" s="102"/>
      <c r="Q331" s="102"/>
      <c r="R331" s="102"/>
      <c r="S331" s="102"/>
    </row>
    <row r="332" spans="2:19">
      <c r="B332" s="102"/>
    </row>
    <row r="333" spans="2:19">
      <c r="B333" s="102"/>
    </row>
    <row r="334" spans="2:19">
      <c r="B334" s="102"/>
    </row>
    <row r="335" spans="2:19">
      <c r="B335" s="102"/>
    </row>
    <row r="336" spans="2:19">
      <c r="B336" s="102"/>
    </row>
    <row r="337" spans="2:2">
      <c r="B337" s="102"/>
    </row>
    <row r="338" spans="2:2">
      <c r="B338" s="102"/>
    </row>
    <row r="339" spans="2:2">
      <c r="B339" s="102"/>
    </row>
    <row r="340" spans="2:2">
      <c r="B340" s="102"/>
    </row>
    <row r="341" spans="2:2">
      <c r="B341" s="102"/>
    </row>
    <row r="342" spans="2:2">
      <c r="B342" s="102"/>
    </row>
    <row r="343" spans="2:2">
      <c r="B343" s="102"/>
    </row>
    <row r="344" spans="2:2">
      <c r="B344" s="102"/>
    </row>
    <row r="345" spans="2:2">
      <c r="B345" s="102"/>
    </row>
    <row r="346" spans="2:2">
      <c r="B346" s="102"/>
    </row>
    <row r="347" spans="2:2">
      <c r="B347" s="102"/>
    </row>
    <row r="348" spans="2:2">
      <c r="B348" s="102"/>
    </row>
    <row r="349" spans="2:2">
      <c r="B349" s="102"/>
    </row>
    <row r="350" spans="2:2">
      <c r="B350" s="102"/>
    </row>
    <row r="351" spans="2:2">
      <c r="B351" s="102"/>
    </row>
    <row r="352" spans="2:2">
      <c r="B352" s="102"/>
    </row>
    <row r="353" spans="2:2">
      <c r="B353" s="102"/>
    </row>
    <row r="354" spans="2:2">
      <c r="B354" s="102"/>
    </row>
    <row r="355" spans="2:2">
      <c r="B355" s="102"/>
    </row>
    <row r="356" spans="2:2">
      <c r="B356" s="102"/>
    </row>
    <row r="357" spans="2:2">
      <c r="B357" s="102"/>
    </row>
    <row r="358" spans="2:2">
      <c r="B358" s="102"/>
    </row>
    <row r="359" spans="2:2">
      <c r="B359" s="102"/>
    </row>
    <row r="360" spans="2:2">
      <c r="B360" s="102"/>
    </row>
    <row r="361" spans="2:2">
      <c r="B361" s="102"/>
    </row>
    <row r="362" spans="2:2">
      <c r="B362" s="102"/>
    </row>
    <row r="363" spans="2:2">
      <c r="B363" s="102"/>
    </row>
    <row r="364" spans="2:2">
      <c r="B364" s="102"/>
    </row>
    <row r="365" spans="2:2">
      <c r="B365" s="102"/>
    </row>
  </sheetData>
  <phoneticPr fontId="9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NavigateCombBox">
              <controlPr defaultSize="0" autoPict="0" macro="[0]!NavigateBox">
                <anchor moveWithCells="1">
                  <from>
                    <xdr:col>0</xdr:col>
                    <xdr:colOff>0</xdr:colOff>
                    <xdr:row>0</xdr:row>
                    <xdr:rowOff>0</xdr:rowOff>
                  </from>
                  <to>
                    <xdr:col>0</xdr:col>
                    <xdr:colOff>1945809</xdr:colOff>
                    <xdr:row>0</xdr:row>
                    <xdr:rowOff>251352</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date" allowBlank="1" showInputMessage="1" showErrorMessage="1" error="输入日期介于结束年度末与当前日期之间" xr:uid="{00000000-0002-0000-1300-000000000000}">
          <x14:formula1>
            <xm:f>DATE(目录!C10,12,31)</xm:f>
          </x14:formula1>
          <x14:formula2>
            <xm:f>TODAY()</xm:f>
          </x14:formula2>
          <xm:sqref>C1:D1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theme="0" tint="-0.14996795556505021"/>
  </sheetPr>
  <dimension ref="A1:R50"/>
  <sheetViews>
    <sheetView workbookViewId="0">
      <pane ySplit="3" topLeftCell="A34" activePane="bottomLeft" state="frozen"/>
      <selection pane="bottomLeft" activeCell="M16" sqref="M16"/>
    </sheetView>
  </sheetViews>
  <sheetFormatPr defaultColWidth="9" defaultRowHeight="14.35"/>
  <cols>
    <col min="1" max="1" width="1.125" style="5" customWidth="1"/>
    <col min="2" max="2" width="24.75" style="5" customWidth="1"/>
    <col min="3" max="5" width="7.375" style="5" bestFit="1" customWidth="1"/>
    <col min="6" max="6" width="8.1875" style="5" bestFit="1" customWidth="1"/>
    <col min="7" max="9" width="7.375" style="5" bestFit="1" customWidth="1"/>
    <col min="10" max="10" width="8.1875" style="5" bestFit="1" customWidth="1"/>
    <col min="11" max="13" width="7.375" style="5" bestFit="1" customWidth="1"/>
    <col min="14" max="14" width="8.1875" style="5" bestFit="1" customWidth="1"/>
    <col min="15" max="17" width="7.375" style="5" bestFit="1" customWidth="1"/>
    <col min="18" max="18" width="8.1875" style="5" bestFit="1" customWidth="1"/>
    <col min="19" max="16384" width="9" style="5"/>
  </cols>
  <sheetData>
    <row r="1" spans="1:18" s="67" customFormat="1" ht="15.35">
      <c r="B1" s="1068" t="str">
        <f>目录!E7&amp;"（"&amp;目录!C7&amp;"）"</f>
        <v>Refreshing（002138）</v>
      </c>
      <c r="C1" s="73"/>
      <c r="D1" s="74"/>
      <c r="E1" s="74"/>
      <c r="F1" s="74"/>
      <c r="G1" s="74"/>
      <c r="H1" s="74"/>
      <c r="I1" s="74"/>
      <c r="J1" s="74"/>
      <c r="K1" s="74"/>
      <c r="L1" s="74"/>
      <c r="M1" s="74"/>
      <c r="N1" s="74"/>
      <c r="O1" s="74"/>
      <c r="P1" s="74"/>
    </row>
    <row r="2" spans="1:18" s="68" customFormat="1">
      <c r="A2" s="75"/>
      <c r="B2" s="1069"/>
      <c r="C2" s="76">
        <v>42094</v>
      </c>
      <c r="D2" s="77">
        <v>42185</v>
      </c>
      <c r="E2" s="77">
        <v>42277</v>
      </c>
      <c r="F2" s="77">
        <v>42369</v>
      </c>
      <c r="G2" s="77">
        <v>42460</v>
      </c>
      <c r="H2" s="77">
        <v>42551</v>
      </c>
      <c r="I2" s="77">
        <v>42643</v>
      </c>
      <c r="J2" s="77">
        <v>42735</v>
      </c>
      <c r="K2" s="77">
        <v>42825</v>
      </c>
      <c r="L2" s="77">
        <v>42916</v>
      </c>
      <c r="M2" s="77">
        <v>43008</v>
      </c>
      <c r="N2" s="77">
        <v>43100</v>
      </c>
      <c r="O2" s="77">
        <v>43190</v>
      </c>
      <c r="P2" s="77">
        <v>43281</v>
      </c>
      <c r="Q2" s="77">
        <v>43373</v>
      </c>
      <c r="R2" s="77">
        <v>43465</v>
      </c>
    </row>
    <row r="3" spans="1:18" s="69" customFormat="1">
      <c r="A3" s="75"/>
      <c r="B3" s="78" t="str">
        <f>"指标名称（"&amp;'[2]历史年度（原始）'!A2&amp;"/%）"</f>
        <v>指标名称（单位：元/%）</v>
      </c>
      <c r="C3" s="79" t="s">
        <v>1711</v>
      </c>
      <c r="D3" s="80" t="s">
        <v>1712</v>
      </c>
      <c r="E3" s="80" t="s">
        <v>1713</v>
      </c>
      <c r="F3" s="80" t="s">
        <v>1714</v>
      </c>
      <c r="G3" s="80" t="s">
        <v>1711</v>
      </c>
      <c r="H3" s="80" t="s">
        <v>1712</v>
      </c>
      <c r="I3" s="80" t="s">
        <v>1713</v>
      </c>
      <c r="J3" s="80" t="s">
        <v>1714</v>
      </c>
      <c r="K3" s="80" t="s">
        <v>1711</v>
      </c>
      <c r="L3" s="80" t="s">
        <v>1712</v>
      </c>
      <c r="M3" s="80" t="s">
        <v>1713</v>
      </c>
      <c r="N3" s="80" t="s">
        <v>1714</v>
      </c>
      <c r="O3" s="80" t="s">
        <v>1711</v>
      </c>
      <c r="P3" s="80" t="s">
        <v>1712</v>
      </c>
      <c r="Q3" s="80" t="s">
        <v>1713</v>
      </c>
      <c r="R3" s="80" t="s">
        <v>1714</v>
      </c>
    </row>
    <row r="4" spans="1:18" s="70" customFormat="1">
      <c r="B4" s="81" t="s">
        <v>527</v>
      </c>
      <c r="C4" s="82">
        <v>9.2368171129000007</v>
      </c>
      <c r="D4" s="83">
        <v>11.6364230298</v>
      </c>
      <c r="E4" s="83">
        <v>9.9940262634000003</v>
      </c>
      <c r="F4" s="83">
        <v>10.361282921800001</v>
      </c>
      <c r="G4" s="83">
        <v>11.704125429599999</v>
      </c>
      <c r="H4" s="83">
        <v>11.8125784494</v>
      </c>
      <c r="I4" s="83">
        <v>13.948365877200001</v>
      </c>
      <c r="J4" s="83">
        <v>14.3793234388</v>
      </c>
      <c r="K4" s="83">
        <v>14.8746400512</v>
      </c>
      <c r="L4" s="83">
        <v>14.3472226367</v>
      </c>
      <c r="M4" s="83">
        <v>16.463883162199998</v>
      </c>
      <c r="N4" s="83">
        <v>17.483531212999999</v>
      </c>
      <c r="O4" s="83">
        <v>17.596761051400001</v>
      </c>
      <c r="P4" s="83">
        <v>18.2875910719</v>
      </c>
      <c r="Q4" s="83">
        <v>17.988675297699999</v>
      </c>
      <c r="R4" s="83">
        <v>19.705341843500001</v>
      </c>
    </row>
    <row r="5" spans="1:18" s="70" customFormat="1">
      <c r="B5" s="81" t="s">
        <v>1802</v>
      </c>
      <c r="C5" s="82">
        <v>19.012131618800002</v>
      </c>
      <c r="D5" s="83">
        <v>19.658568130100001</v>
      </c>
      <c r="E5" s="83">
        <v>21.202375830400001</v>
      </c>
      <c r="F5" s="83">
        <v>22.034955858699998</v>
      </c>
      <c r="G5" s="83">
        <v>22.8409732408</v>
      </c>
      <c r="H5" s="83">
        <v>24.0518720323</v>
      </c>
      <c r="I5" s="83">
        <v>25.843553010600001</v>
      </c>
      <c r="J5" s="83">
        <v>26.033917113499999</v>
      </c>
      <c r="K5" s="83">
        <v>26.269594556000001</v>
      </c>
      <c r="L5" s="83">
        <v>29.196575820900001</v>
      </c>
      <c r="M5" s="83">
        <v>29.968340013599999</v>
      </c>
      <c r="N5" s="83">
        <v>30.1997051727</v>
      </c>
      <c r="O5" s="83">
        <v>30.753714388700001</v>
      </c>
      <c r="P5" s="83">
        <v>31.396820915199999</v>
      </c>
      <c r="Q5" s="83">
        <v>31.7655852436</v>
      </c>
      <c r="R5" s="83">
        <v>32.668245127299997</v>
      </c>
    </row>
    <row r="6" spans="1:18" s="71" customFormat="1">
      <c r="B6" s="81" t="s">
        <v>1803</v>
      </c>
      <c r="C6" s="82">
        <v>28.248948731700001</v>
      </c>
      <c r="D6" s="83">
        <v>31.2949911599</v>
      </c>
      <c r="E6" s="83">
        <v>31.1964020938</v>
      </c>
      <c r="F6" s="83">
        <v>32.396238780499999</v>
      </c>
      <c r="G6" s="83">
        <v>34.545098670400002</v>
      </c>
      <c r="H6" s="83">
        <v>35.864450481699997</v>
      </c>
      <c r="I6" s="83">
        <v>39.791918887800001</v>
      </c>
      <c r="J6" s="83">
        <v>40.413240552300003</v>
      </c>
      <c r="K6" s="83">
        <v>41.144234607199998</v>
      </c>
      <c r="L6" s="83">
        <v>43.543798457599998</v>
      </c>
      <c r="M6" s="83">
        <v>46.432223175799997</v>
      </c>
      <c r="N6" s="83">
        <v>47.683236385699999</v>
      </c>
      <c r="O6" s="83">
        <v>48.350475440099999</v>
      </c>
      <c r="P6" s="83">
        <v>49.684411987099999</v>
      </c>
      <c r="Q6" s="83">
        <v>49.754260541299999</v>
      </c>
      <c r="R6" s="83">
        <v>52.373586970799998</v>
      </c>
    </row>
    <row r="7" spans="1:18" s="71" customFormat="1">
      <c r="B7" s="81" t="s">
        <v>1498</v>
      </c>
      <c r="C7" s="82">
        <v>5.5337118341</v>
      </c>
      <c r="D7" s="83">
        <v>6.8558695187999996</v>
      </c>
      <c r="E7" s="83">
        <v>6.0418960225999996</v>
      </c>
      <c r="F7" s="83">
        <v>6.6929541189000004</v>
      </c>
      <c r="G7" s="83">
        <v>9.0191966288999996</v>
      </c>
      <c r="H7" s="83">
        <v>10.4856658435</v>
      </c>
      <c r="I7" s="83">
        <v>12.4641535876</v>
      </c>
      <c r="J7" s="83">
        <v>12.3056018865</v>
      </c>
      <c r="K7" s="83">
        <v>12.329782183000001</v>
      </c>
      <c r="L7" s="83">
        <v>13.153219846000001</v>
      </c>
      <c r="M7" s="83">
        <v>6.6710232173000001</v>
      </c>
      <c r="N7" s="83">
        <v>6.5054988308999997</v>
      </c>
      <c r="O7" s="83">
        <v>7.7596313797000001</v>
      </c>
      <c r="P7" s="83">
        <v>7.8184967345</v>
      </c>
      <c r="Q7" s="83">
        <v>6.4334218055000001</v>
      </c>
      <c r="R7" s="83">
        <v>7.3777301714999997</v>
      </c>
    </row>
    <row r="8" spans="1:18" s="71" customFormat="1">
      <c r="B8" s="81" t="s">
        <v>1804</v>
      </c>
      <c r="C8" s="82">
        <v>1.0772284313</v>
      </c>
      <c r="D8" s="83">
        <v>1.8147369953000001</v>
      </c>
      <c r="E8" s="83">
        <v>1.7842003679</v>
      </c>
      <c r="F8" s="83">
        <v>1.6170226747000001</v>
      </c>
      <c r="G8" s="83">
        <v>0.68481864930000003</v>
      </c>
      <c r="H8" s="83">
        <v>0.66437999940000003</v>
      </c>
      <c r="I8" s="83">
        <v>1.6662598619</v>
      </c>
      <c r="J8" s="83">
        <v>1.4536139932000001</v>
      </c>
      <c r="K8" s="83">
        <v>1.4415904094000001</v>
      </c>
      <c r="L8" s="83">
        <v>1.5948645370000001</v>
      </c>
      <c r="M8" s="83">
        <v>0.57583891320000002</v>
      </c>
      <c r="N8" s="83">
        <v>0.67066108469999997</v>
      </c>
      <c r="O8" s="83">
        <v>0.67777293449999998</v>
      </c>
      <c r="P8" s="83">
        <v>0.66665792290000003</v>
      </c>
      <c r="Q8" s="83">
        <v>0.72623282170000003</v>
      </c>
      <c r="R8" s="83">
        <v>1.4192991906000001</v>
      </c>
    </row>
    <row r="9" spans="1:18" s="71" customFormat="1">
      <c r="B9" s="81" t="s">
        <v>1805</v>
      </c>
      <c r="C9" s="82">
        <v>6.6109402654</v>
      </c>
      <c r="D9" s="83">
        <v>8.6706065140999993</v>
      </c>
      <c r="E9" s="83">
        <v>7.8260963905000001</v>
      </c>
      <c r="F9" s="83">
        <v>8.3099767936000006</v>
      </c>
      <c r="G9" s="83">
        <v>9.7040152782</v>
      </c>
      <c r="H9" s="83">
        <v>11.150045842899999</v>
      </c>
      <c r="I9" s="83">
        <v>14.130413449500001</v>
      </c>
      <c r="J9" s="83">
        <v>13.759215879699999</v>
      </c>
      <c r="K9" s="83">
        <v>13.771372592400001</v>
      </c>
      <c r="L9" s="83">
        <v>14.748084383</v>
      </c>
      <c r="M9" s="83">
        <v>7.2468621305000003</v>
      </c>
      <c r="N9" s="83">
        <v>7.1761599156000004</v>
      </c>
      <c r="O9" s="83">
        <v>8.4374043142000001</v>
      </c>
      <c r="P9" s="83">
        <v>8.4851546574000007</v>
      </c>
      <c r="Q9" s="83">
        <v>7.1596546272000001</v>
      </c>
      <c r="R9" s="83">
        <v>8.7970293621</v>
      </c>
    </row>
    <row r="10" spans="1:18" s="71" customFormat="1">
      <c r="B10" s="81" t="s">
        <v>1806</v>
      </c>
      <c r="C10" s="82">
        <v>27.872534357199999</v>
      </c>
      <c r="D10" s="83">
        <v>29.771969945799999</v>
      </c>
      <c r="E10" s="83">
        <v>31.245696626849998</v>
      </c>
      <c r="F10" s="83">
        <v>31.796320437150001</v>
      </c>
      <c r="G10" s="83">
        <v>33.470668725449997</v>
      </c>
      <c r="H10" s="83">
        <v>35.204774576049999</v>
      </c>
      <c r="I10" s="83">
        <v>37.828184684749999</v>
      </c>
      <c r="J10" s="83">
        <v>40.102579720050002</v>
      </c>
      <c r="K10" s="83">
        <v>40.77873757975</v>
      </c>
      <c r="L10" s="83">
        <v>42.344016532399998</v>
      </c>
      <c r="M10" s="83">
        <v>44.988010816699997</v>
      </c>
      <c r="N10" s="83">
        <v>47.057729780750002</v>
      </c>
      <c r="O10" s="83">
        <v>48.016855912899999</v>
      </c>
      <c r="P10" s="83">
        <v>49.017443713600002</v>
      </c>
      <c r="Q10" s="83">
        <v>49.719336264200003</v>
      </c>
      <c r="R10" s="83">
        <v>51.063923756050002</v>
      </c>
    </row>
    <row r="11" spans="1:18" s="71" customFormat="1">
      <c r="B11" s="81" t="s">
        <v>1468</v>
      </c>
      <c r="C11" s="82">
        <v>0.470886782</v>
      </c>
      <c r="D11" s="83">
        <v>1.1757632609999999</v>
      </c>
      <c r="E11" s="83">
        <v>1.9102150104</v>
      </c>
      <c r="F11" s="83">
        <v>2.6153569681</v>
      </c>
      <c r="G11" s="83">
        <v>0.75401601330000001</v>
      </c>
      <c r="H11" s="83">
        <v>1.7443462600999999</v>
      </c>
      <c r="I11" s="83">
        <v>2.6898840077999999</v>
      </c>
      <c r="J11" s="83">
        <v>3.5805143276</v>
      </c>
      <c r="K11" s="83">
        <v>0.64544653210000003</v>
      </c>
      <c r="L11" s="83">
        <v>1.7576291001</v>
      </c>
      <c r="M11" s="83">
        <v>2.5986646592999998</v>
      </c>
      <c r="N11" s="83">
        <v>3.4404380382999999</v>
      </c>
      <c r="O11" s="83">
        <v>1.0298607715000001</v>
      </c>
      <c r="P11" s="83">
        <v>2.2940189893</v>
      </c>
      <c r="Q11" s="83">
        <v>3.6559740277000001</v>
      </c>
      <c r="R11" s="83">
        <v>4.8296995698999998</v>
      </c>
    </row>
    <row r="12" spans="1:18" s="71" customFormat="1">
      <c r="B12" s="81" t="s">
        <v>1807</v>
      </c>
      <c r="C12" s="82">
        <v>8.6516032600000001E-2</v>
      </c>
      <c r="D12" s="83">
        <v>4.41703965E-2</v>
      </c>
      <c r="E12" s="83">
        <v>0.1419261872</v>
      </c>
      <c r="F12" s="83">
        <v>0.28029606330000001</v>
      </c>
      <c r="G12" s="83">
        <v>0.123892058</v>
      </c>
      <c r="H12" s="83">
        <v>1.2415545300000001E-2</v>
      </c>
      <c r="I12" s="83">
        <v>0.1596051933</v>
      </c>
      <c r="J12" s="83">
        <v>0.31972441039999999</v>
      </c>
      <c r="K12" s="83">
        <v>0.1116154129</v>
      </c>
      <c r="L12" s="83">
        <v>0.23454604470000001</v>
      </c>
      <c r="M12" s="83">
        <v>0.3608142198</v>
      </c>
      <c r="N12" s="83">
        <v>0.40398423630000002</v>
      </c>
      <c r="O12" s="83">
        <v>0.14413481480000001</v>
      </c>
      <c r="P12" s="83">
        <v>0.38833829110000001</v>
      </c>
      <c r="Q12" s="83">
        <v>0.62938980659999999</v>
      </c>
      <c r="R12" s="83">
        <v>0.71877464810000002</v>
      </c>
    </row>
    <row r="13" spans="1:18" s="71" customFormat="1">
      <c r="B13" s="81" t="s">
        <v>1808</v>
      </c>
      <c r="C13" s="82">
        <v>8.4606100000000004E-3</v>
      </c>
      <c r="D13" s="83">
        <v>5.1643019999999998E-2</v>
      </c>
      <c r="E13" s="83">
        <v>0.14136335999999999</v>
      </c>
      <c r="F13" s="83">
        <v>0.20880408</v>
      </c>
      <c r="G13" s="83">
        <v>1.1476419999999999E-2</v>
      </c>
      <c r="H13" s="83">
        <v>6.5845559999999997E-2</v>
      </c>
      <c r="I13" s="83">
        <v>0.1296966</v>
      </c>
      <c r="J13" s="83">
        <v>0.27758727</v>
      </c>
      <c r="K13" s="83">
        <v>3.3104340000000003E-2</v>
      </c>
      <c r="L13" s="83">
        <v>0.38438687999999999</v>
      </c>
      <c r="M13" s="83">
        <v>0.47599522</v>
      </c>
      <c r="N13" s="83">
        <v>0.97471273000000003</v>
      </c>
      <c r="O13" s="83">
        <v>0.33687464</v>
      </c>
      <c r="P13" s="83">
        <v>0.4503064</v>
      </c>
      <c r="Q13" s="83">
        <v>0.61339100000000002</v>
      </c>
      <c r="R13" s="83">
        <v>1.1910892399999999</v>
      </c>
    </row>
    <row r="14" spans="1:18" s="71" customFormat="1">
      <c r="B14" s="81" t="s">
        <v>1809</v>
      </c>
      <c r="C14" s="82">
        <v>2.6162949964000002</v>
      </c>
      <c r="D14" s="83">
        <v>5.7888738162999998</v>
      </c>
      <c r="E14" s="83">
        <v>9.4080617014999994</v>
      </c>
      <c r="F14" s="83">
        <v>13.1927602149</v>
      </c>
      <c r="G14" s="83">
        <v>3.3614775826000001</v>
      </c>
      <c r="H14" s="83">
        <v>7.4999847994</v>
      </c>
      <c r="I14" s="83">
        <v>12.278754880199999</v>
      </c>
      <c r="J14" s="83">
        <v>17.362587665</v>
      </c>
      <c r="K14" s="83">
        <v>3.5992909710999998</v>
      </c>
      <c r="L14" s="83">
        <v>8.1395695362999998</v>
      </c>
      <c r="M14" s="83">
        <v>13.8992709294</v>
      </c>
      <c r="N14" s="83">
        <v>19.875579137999999</v>
      </c>
      <c r="O14" s="83">
        <v>4.9200961188000001</v>
      </c>
      <c r="P14" s="83">
        <v>11.296913783500001</v>
      </c>
      <c r="Q14" s="83">
        <v>17.496080267699998</v>
      </c>
      <c r="R14" s="83">
        <v>23.620428396200001</v>
      </c>
    </row>
    <row r="15" spans="1:18" s="71" customFormat="1">
      <c r="B15" s="81" t="s">
        <v>1810</v>
      </c>
      <c r="C15" s="82">
        <v>2.0673527958000002</v>
      </c>
      <c r="D15" s="83">
        <v>4.6205831789999996</v>
      </c>
      <c r="E15" s="83">
        <v>7.4972838668000001</v>
      </c>
      <c r="F15" s="83">
        <v>10.5059112625</v>
      </c>
      <c r="G15" s="83">
        <v>2.4950459317</v>
      </c>
      <c r="H15" s="83">
        <v>5.8090685498000001</v>
      </c>
      <c r="I15" s="83">
        <v>9.5589622767000009</v>
      </c>
      <c r="J15" s="83">
        <v>13.739936197500001</v>
      </c>
      <c r="K15" s="83">
        <v>2.8753333636999998</v>
      </c>
      <c r="L15" s="83">
        <v>6.5317812751000002</v>
      </c>
      <c r="M15" s="83">
        <v>11.415787272799999</v>
      </c>
      <c r="N15" s="83">
        <v>17.005869591</v>
      </c>
      <c r="O15" s="83">
        <v>4.0829751766999998</v>
      </c>
      <c r="P15" s="83">
        <v>9.0648629002999996</v>
      </c>
      <c r="Q15" s="83">
        <v>13.8241074356</v>
      </c>
      <c r="R15" s="83">
        <v>19.2630434133</v>
      </c>
    </row>
    <row r="16" spans="1:18" s="71" customFormat="1">
      <c r="B16" s="81" t="s">
        <v>1811</v>
      </c>
      <c r="C16" s="82">
        <v>21.397678392700001</v>
      </c>
      <c r="D16" s="83">
        <v>22.13119655605</v>
      </c>
      <c r="E16" s="83">
        <v>22.997345174549999</v>
      </c>
      <c r="F16" s="83">
        <v>23.728283845100002</v>
      </c>
      <c r="G16" s="83">
        <v>24.463672689549998</v>
      </c>
      <c r="H16" s="83">
        <v>24.777744015500001</v>
      </c>
      <c r="I16" s="83">
        <v>25.187955038550001</v>
      </c>
      <c r="J16" s="83">
        <v>26.15776505545</v>
      </c>
      <c r="K16" s="83">
        <v>27.013443343700001</v>
      </c>
      <c r="L16" s="83">
        <v>28.084288044699999</v>
      </c>
      <c r="M16" s="83">
        <v>33.990537559949999</v>
      </c>
      <c r="N16" s="83">
        <v>39.846218757700001</v>
      </c>
      <c r="O16" s="83">
        <v>40.210073798000003</v>
      </c>
      <c r="P16" s="83">
        <v>40.556164227799997</v>
      </c>
      <c r="Q16" s="83">
        <v>41.896931621900002</v>
      </c>
      <c r="R16" s="83">
        <v>43.0855817614</v>
      </c>
    </row>
    <row r="17" spans="2:18" s="71" customFormat="1">
      <c r="B17" s="84" t="s">
        <v>1812</v>
      </c>
      <c r="C17" s="82">
        <v>2.20064426316757</v>
      </c>
      <c r="D17" s="85">
        <v>5.3126963019023101</v>
      </c>
      <c r="E17" s="83">
        <v>8.3062414200485097</v>
      </c>
      <c r="F17" s="83">
        <v>11.022107562322001</v>
      </c>
      <c r="G17" s="83">
        <v>3.0821864847059102</v>
      </c>
      <c r="H17" s="83">
        <v>7.0399720773965697</v>
      </c>
      <c r="I17" s="83">
        <v>10.679247297699</v>
      </c>
      <c r="J17" s="83">
        <v>13.6881508034418</v>
      </c>
      <c r="K17" s="83">
        <v>2.3893530487313099</v>
      </c>
      <c r="L17" s="83">
        <v>6.2584071823451302</v>
      </c>
      <c r="M17" s="83">
        <v>7.6452590804622202</v>
      </c>
      <c r="N17" s="83">
        <v>8.6342898913969393</v>
      </c>
      <c r="O17" s="83">
        <v>2.561200898744</v>
      </c>
      <c r="P17" s="83">
        <v>5.6564002858226896</v>
      </c>
      <c r="Q17" s="83">
        <v>8.7261140283337202</v>
      </c>
      <c r="R17" s="83">
        <v>11.209549395540201</v>
      </c>
    </row>
    <row r="18" spans="2:18" s="71" customFormat="1">
      <c r="B18" s="81" t="s">
        <v>1813</v>
      </c>
      <c r="C18" s="82">
        <v>1.6894293714570701</v>
      </c>
      <c r="D18" s="85">
        <v>3.9492289665093798</v>
      </c>
      <c r="E18" s="83">
        <v>6.1135299148955999</v>
      </c>
      <c r="F18" s="83">
        <v>8.2253447321668194</v>
      </c>
      <c r="G18" s="83">
        <v>2.2527665027698398</v>
      </c>
      <c r="H18" s="83">
        <v>4.9548570644354797</v>
      </c>
      <c r="I18" s="83">
        <v>7.11079326226404</v>
      </c>
      <c r="J18" s="83">
        <v>8.9283890278257001</v>
      </c>
      <c r="K18" s="83">
        <v>1.5828016520563299</v>
      </c>
      <c r="L18" s="83">
        <v>4.1508322639991704</v>
      </c>
      <c r="M18" s="83">
        <v>5.7763493253525899</v>
      </c>
      <c r="N18" s="83">
        <v>7.3111007571542199</v>
      </c>
      <c r="O18" s="83">
        <v>2.14479009906045</v>
      </c>
      <c r="P18" s="83">
        <v>4.6800053521834704</v>
      </c>
      <c r="Q18" s="83">
        <v>7.3532237201896304</v>
      </c>
      <c r="R18" s="83">
        <v>9.4581442526295891</v>
      </c>
    </row>
    <row r="19" spans="2:18" s="71" customFormat="1">
      <c r="B19" s="84" t="s">
        <v>1814</v>
      </c>
      <c r="C19" s="82">
        <v>17.998229658656101</v>
      </c>
      <c r="D19" s="85">
        <v>20.310742612653801</v>
      </c>
      <c r="E19" s="83">
        <v>20.304022985897699</v>
      </c>
      <c r="F19" s="83">
        <v>19.824183305827098</v>
      </c>
      <c r="G19" s="83">
        <v>22.431088554717999</v>
      </c>
      <c r="H19" s="83">
        <v>23.2579972727351</v>
      </c>
      <c r="I19" s="83">
        <v>21.906814119545199</v>
      </c>
      <c r="J19" s="83">
        <v>20.622008635370101</v>
      </c>
      <c r="K19" s="83">
        <v>17.932602206449001</v>
      </c>
      <c r="L19" s="83">
        <v>21.593637013130898</v>
      </c>
      <c r="M19" s="83">
        <v>18.696409851276801</v>
      </c>
      <c r="N19" s="83">
        <v>17.309875674124399</v>
      </c>
      <c r="O19" s="83">
        <v>20.931720572791999</v>
      </c>
      <c r="P19" s="83">
        <v>20.3065990700096</v>
      </c>
      <c r="Q19" s="83">
        <v>20.895960533796799</v>
      </c>
      <c r="R19" s="83">
        <v>20.4471294461238</v>
      </c>
    </row>
    <row r="20" spans="2:18" s="71" customFormat="1">
      <c r="B20" s="81" t="s">
        <v>1562</v>
      </c>
      <c r="C20" s="82">
        <v>9.3866419281107005E-2</v>
      </c>
      <c r="D20" s="85">
        <v>0.194440402393213</v>
      </c>
      <c r="E20" s="83">
        <v>0.301099438231615</v>
      </c>
      <c r="F20" s="83">
        <v>0.41491468300482698</v>
      </c>
      <c r="G20" s="83">
        <v>0.100430547419689</v>
      </c>
      <c r="H20" s="83">
        <v>0.21303885310210999</v>
      </c>
      <c r="I20" s="83">
        <v>0.32459276020057198</v>
      </c>
      <c r="J20" s="83">
        <v>0.43295438313957801</v>
      </c>
      <c r="K20" s="83">
        <v>8.8263913615789003E-2</v>
      </c>
      <c r="L20" s="83">
        <v>0.192224786471825</v>
      </c>
      <c r="M20" s="83">
        <v>0.30895500105642498</v>
      </c>
      <c r="N20" s="83">
        <v>0.42236587337731202</v>
      </c>
      <c r="O20" s="83">
        <v>0.10246602001023999</v>
      </c>
      <c r="P20" s="83">
        <v>0.23046721590595001</v>
      </c>
      <c r="Q20" s="83">
        <v>0.35189689932160101</v>
      </c>
      <c r="R20" s="83">
        <v>0.462565871534725</v>
      </c>
    </row>
    <row r="21" spans="2:18" s="71" customFormat="1">
      <c r="B21" s="84" t="s">
        <v>1815</v>
      </c>
      <c r="C21" s="82">
        <v>1.3055244328837501</v>
      </c>
      <c r="D21" s="85">
        <v>1.3832416505396401</v>
      </c>
      <c r="E21" s="83">
        <v>1.3348735138451799</v>
      </c>
      <c r="F21" s="83">
        <v>1.34500898471168</v>
      </c>
      <c r="G21" s="83">
        <v>1.3906438026469901</v>
      </c>
      <c r="H21" s="83">
        <v>1.4511557533291799</v>
      </c>
      <c r="I21" s="83">
        <v>1.55064631665803</v>
      </c>
      <c r="J21" s="83">
        <v>1.5162153201517901</v>
      </c>
      <c r="K21" s="83">
        <v>1.5031031313040699</v>
      </c>
      <c r="L21" s="83">
        <v>1.51216248170796</v>
      </c>
      <c r="M21" s="83">
        <v>1.184937995649</v>
      </c>
      <c r="N21" s="83">
        <v>1.1771581792849699</v>
      </c>
      <c r="O21" s="83">
        <v>1.21139451503457</v>
      </c>
      <c r="P21" s="83">
        <v>1.20595406828567</v>
      </c>
      <c r="Q21" s="83">
        <v>1.1680882936595001</v>
      </c>
      <c r="R21" s="83">
        <v>1.20187527066947</v>
      </c>
    </row>
    <row r="22" spans="2:18" s="71" customFormat="1" ht="11.35" customHeight="1">
      <c r="B22" s="86" t="s">
        <v>1816</v>
      </c>
      <c r="C22" s="87">
        <v>23.402429337065701</v>
      </c>
      <c r="D22" s="85">
        <v>27.706051967862901</v>
      </c>
      <c r="E22" s="83">
        <v>25.086535193926601</v>
      </c>
      <c r="F22" s="83">
        <v>25.651054277948901</v>
      </c>
      <c r="G22" s="83">
        <v>28.090859924261501</v>
      </c>
      <c r="H22" s="83">
        <v>31.089409409993198</v>
      </c>
      <c r="I22" s="83">
        <v>35.5107615929332</v>
      </c>
      <c r="J22" s="83">
        <v>34.046306833261198</v>
      </c>
      <c r="K22" s="83">
        <v>33.470965552948002</v>
      </c>
      <c r="L22" s="83">
        <v>33.869540337324203</v>
      </c>
      <c r="M22" s="83">
        <v>15.607398558243</v>
      </c>
      <c r="N22" s="83">
        <v>15.0496494356077</v>
      </c>
      <c r="O22" s="83">
        <v>17.450509508749001</v>
      </c>
      <c r="P22" s="83">
        <v>17.0781022015579</v>
      </c>
      <c r="Q22" s="83">
        <v>14.3900332339517</v>
      </c>
      <c r="R22" s="83">
        <v>16.7966906047597</v>
      </c>
    </row>
    <row r="23" spans="2:18" s="72" customFormat="1" ht="13.5" customHeight="1">
      <c r="B23" s="88"/>
    </row>
    <row r="24" spans="2:18">
      <c r="B24" s="89" t="s">
        <v>1817</v>
      </c>
    </row>
    <row r="50" spans="4:4">
      <c r="D50" s="90"/>
    </row>
  </sheetData>
  <mergeCells count="1">
    <mergeCell ref="B1:B2"/>
  </mergeCells>
  <phoneticPr fontId="96"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2078405" r:id="rId3" name="OptionButton3">
          <controlPr defaultSize="0" altText="" r:id="rId4">
            <anchor moveWithCells="1">
              <from>
                <xdr:col>0</xdr:col>
                <xdr:colOff>60671</xdr:colOff>
                <xdr:row>27</xdr:row>
                <xdr:rowOff>60671</xdr:rowOff>
              </from>
              <to>
                <xdr:col>1</xdr:col>
                <xdr:colOff>1707458</xdr:colOff>
                <xdr:row>28</xdr:row>
                <xdr:rowOff>69338</xdr:rowOff>
              </to>
            </anchor>
          </controlPr>
        </control>
      </mc:Choice>
      <mc:Fallback>
        <control shapeId="2078405" r:id="rId3" name="OptionButton3"/>
      </mc:Fallback>
    </mc:AlternateContent>
    <mc:AlternateContent xmlns:mc="http://schemas.openxmlformats.org/markup-compatibility/2006">
      <mc:Choice Requires="x14">
        <control shapeId="2078404" r:id="rId5" name="OptionButton2">
          <controlPr defaultSize="0" altText="" r:id="rId6">
            <anchor moveWithCells="1">
              <from>
                <xdr:col>0</xdr:col>
                <xdr:colOff>69338</xdr:colOff>
                <xdr:row>25</xdr:row>
                <xdr:rowOff>112675</xdr:rowOff>
              </from>
              <to>
                <xdr:col>1</xdr:col>
                <xdr:colOff>1477774</xdr:colOff>
                <xdr:row>26</xdr:row>
                <xdr:rowOff>138677</xdr:rowOff>
              </to>
            </anchor>
          </controlPr>
        </control>
      </mc:Choice>
      <mc:Fallback>
        <control shapeId="2078404" r:id="rId5" name="OptionButton2"/>
      </mc:Fallback>
    </mc:AlternateContent>
    <mc:AlternateContent xmlns:mc="http://schemas.openxmlformats.org/markup-compatibility/2006">
      <mc:Choice Requires="x14">
        <control shapeId="2078403" r:id="rId7" name="OptionButton1">
          <controlPr defaultSize="0" altText="" r:id="rId8">
            <anchor moveWithCells="1">
              <from>
                <xdr:col>1</xdr:col>
                <xdr:colOff>0</xdr:colOff>
                <xdr:row>24</xdr:row>
                <xdr:rowOff>21668</xdr:rowOff>
              </from>
              <to>
                <xdr:col>1</xdr:col>
                <xdr:colOff>1096413</xdr:colOff>
                <xdr:row>25</xdr:row>
                <xdr:rowOff>30336</xdr:rowOff>
              </to>
            </anchor>
          </controlPr>
        </control>
      </mc:Choice>
      <mc:Fallback>
        <control shapeId="2078403" r:id="rId7" name="OptionButton1"/>
      </mc:Fallback>
    </mc:AlternateContent>
    <mc:AlternateContent xmlns:mc="http://schemas.openxmlformats.org/markup-compatibility/2006">
      <mc:Choice Requires="x14">
        <control shapeId="2078402" r:id="rId9" name="ComboBox2">
          <controlPr defaultSize="0" altText="" r:id="rId10">
            <anchor moveWithCells="1">
              <from>
                <xdr:col>1</xdr:col>
                <xdr:colOff>1248091</xdr:colOff>
                <xdr:row>23</xdr:row>
                <xdr:rowOff>8667</xdr:rowOff>
              </from>
              <to>
                <xdr:col>2</xdr:col>
                <xdr:colOff>121342</xdr:colOff>
                <xdr:row>24</xdr:row>
                <xdr:rowOff>34669</xdr:rowOff>
              </to>
            </anchor>
          </controlPr>
        </control>
      </mc:Choice>
      <mc:Fallback>
        <control shapeId="2078402" r:id="rId9" name="ComboBox2"/>
      </mc:Fallback>
    </mc:AlternateContent>
    <mc:AlternateContent xmlns:mc="http://schemas.openxmlformats.org/markup-compatibility/2006">
      <mc:Choice Requires="x14">
        <control shapeId="2078401" r:id="rId11" name="ComboBox1">
          <controlPr defaultSize="0" altText="" r:id="rId12">
            <anchor moveWithCells="1">
              <from>
                <xdr:col>1</xdr:col>
                <xdr:colOff>481035</xdr:colOff>
                <xdr:row>23</xdr:row>
                <xdr:rowOff>8667</xdr:rowOff>
              </from>
              <to>
                <xdr:col>1</xdr:col>
                <xdr:colOff>1087746</xdr:colOff>
                <xdr:row>24</xdr:row>
                <xdr:rowOff>43336</xdr:rowOff>
              </to>
            </anchor>
          </controlPr>
        </control>
      </mc:Choice>
      <mc:Fallback>
        <control shapeId="2078401" r:id="rId11" name="ComboBox1"/>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0" tint="-0.14996795556505021"/>
  </sheetPr>
  <dimension ref="A1:BB341"/>
  <sheetViews>
    <sheetView topLeftCell="A31" workbookViewId="0">
      <selection activeCell="E2" sqref="E2:F4"/>
    </sheetView>
  </sheetViews>
  <sheetFormatPr defaultColWidth="9" defaultRowHeight="11.3"/>
  <cols>
    <col min="1" max="1" width="1.875" style="15" customWidth="1"/>
    <col min="2" max="2" width="13.4375" style="15" customWidth="1"/>
    <col min="3" max="3" width="9" style="15"/>
    <col min="4" max="4" width="1.125" style="15" customWidth="1"/>
    <col min="5" max="5" width="20.875" style="16" customWidth="1"/>
    <col min="6" max="6" width="6.6875" style="16" bestFit="1" customWidth="1"/>
    <col min="7" max="7" width="7.625" style="16" bestFit="1" customWidth="1"/>
    <col min="8" max="8" width="6.6875" style="16" bestFit="1" customWidth="1"/>
    <col min="9" max="9" width="8" style="17" bestFit="1" customWidth="1"/>
    <col min="10" max="10" width="20.5625" style="16" bestFit="1" customWidth="1"/>
    <col min="11" max="11" width="6.6875" style="16" bestFit="1" customWidth="1"/>
    <col min="12" max="12" width="7.1875" style="16" bestFit="1" customWidth="1"/>
    <col min="13" max="13" width="7.6875" style="16" bestFit="1" customWidth="1"/>
    <col min="14" max="14" width="6.6875" style="16" bestFit="1" customWidth="1"/>
    <col min="15" max="54" width="9" style="15"/>
    <col min="55" max="16384" width="9" style="16"/>
  </cols>
  <sheetData>
    <row r="1" spans="2:15">
      <c r="E1" s="15"/>
      <c r="F1" s="15"/>
      <c r="G1" s="15"/>
      <c r="H1" s="15"/>
      <c r="I1" s="44"/>
      <c r="J1" s="15"/>
      <c r="K1" s="15"/>
      <c r="L1" s="15"/>
      <c r="M1" s="15"/>
      <c r="N1" s="15"/>
    </row>
    <row r="2" spans="2:15">
      <c r="E2" s="1074" t="str">
        <f>杜邦分析!B1</f>
        <v>Refreshing（002138）</v>
      </c>
      <c r="F2" s="1075"/>
      <c r="G2" s="15"/>
      <c r="H2" s="15"/>
      <c r="I2" s="44"/>
      <c r="J2" s="15"/>
      <c r="K2" s="15"/>
      <c r="L2" s="15"/>
      <c r="M2" s="15"/>
      <c r="N2" s="15"/>
    </row>
    <row r="3" spans="2:15" ht="11.6">
      <c r="E3" s="1075"/>
      <c r="F3" s="1075"/>
      <c r="G3" s="15"/>
      <c r="H3" s="15"/>
      <c r="I3" s="44"/>
      <c r="J3" s="15"/>
      <c r="K3" s="15"/>
      <c r="L3" s="47" t="s">
        <v>1818</v>
      </c>
      <c r="M3" s="33" t="s">
        <v>12</v>
      </c>
      <c r="N3" s="15"/>
    </row>
    <row r="4" spans="2:15" ht="11.6">
      <c r="C4" s="15" t="str">
        <f>[1]!EM_S_PQ_HIGH(目录!$C$4,"E52W",B5,1)</f>
        <v>Refreshing</v>
      </c>
      <c r="E4" s="1075"/>
      <c r="F4" s="1075"/>
      <c r="G4" s="15"/>
      <c r="H4" s="15"/>
      <c r="I4" s="44"/>
      <c r="J4" s="15"/>
      <c r="K4" s="15"/>
      <c r="L4" s="47" t="s">
        <v>1819</v>
      </c>
      <c r="M4" s="33" t="s">
        <v>12</v>
      </c>
      <c r="N4" s="15"/>
    </row>
    <row r="5" spans="2:15" ht="12.3">
      <c r="B5" s="1070">
        <f>目录!C8</f>
        <v>43672</v>
      </c>
      <c r="C5" s="1071"/>
      <c r="E5" s="18" t="s">
        <v>890</v>
      </c>
      <c r="F5" s="19"/>
      <c r="G5" s="19"/>
      <c r="H5" s="1072" t="s">
        <v>1820</v>
      </c>
      <c r="I5" s="1080"/>
      <c r="J5" s="48" t="s">
        <v>855</v>
      </c>
      <c r="K5" s="19"/>
      <c r="L5" s="19"/>
      <c r="M5" s="1072" t="s">
        <v>1820</v>
      </c>
      <c r="N5" s="1077"/>
    </row>
    <row r="6" spans="2:15" ht="15.1" customHeight="1">
      <c r="B6" s="20" t="s">
        <v>1821</v>
      </c>
      <c r="C6" s="21" t="str">
        <f>[1]!EM_S_DQ_CLOSE(目录!$C$4,B5,1)</f>
        <v>Refreshing</v>
      </c>
      <c r="E6" s="22" t="s">
        <v>1822</v>
      </c>
      <c r="F6" s="23">
        <v>2018</v>
      </c>
      <c r="G6" s="23" t="s">
        <v>3556</v>
      </c>
      <c r="H6" s="23" t="s">
        <v>1697</v>
      </c>
      <c r="I6" s="1081" t="s">
        <v>1698</v>
      </c>
      <c r="J6" s="49" t="s">
        <v>1822</v>
      </c>
      <c r="K6" s="23">
        <v>2018</v>
      </c>
      <c r="L6" s="23" t="s">
        <v>3556</v>
      </c>
      <c r="M6" s="23" t="s">
        <v>1697</v>
      </c>
      <c r="N6" s="50" t="s">
        <v>1698</v>
      </c>
    </row>
    <row r="7" spans="2:15" ht="11.6">
      <c r="B7" s="24" t="s">
        <v>1823</v>
      </c>
      <c r="C7" s="25" t="str">
        <f>[1]!EM_S_PQ_HIGH(目录!$C$7,"E52W",B5,1)</f>
        <v>Refreshing</v>
      </c>
      <c r="E7" s="26" t="s">
        <v>892</v>
      </c>
      <c r="F7" s="27">
        <f>预测资产负债表!G7*unit/1000000</f>
        <v>253.21442329999996</v>
      </c>
      <c r="G7" s="27" t="e">
        <f>预测资产负债表!H7*unit/1000000</f>
        <v>#VALUE!</v>
      </c>
      <c r="H7" s="27" t="e">
        <f>预测资产负债表!I7*unit/1000000</f>
        <v>#VALUE!</v>
      </c>
      <c r="I7" s="1082" t="e">
        <f>预测资产负债表!J7*unit/1000000</f>
        <v>#VALUE!</v>
      </c>
      <c r="J7" s="51" t="s">
        <v>1824</v>
      </c>
      <c r="K7" s="27">
        <f>预测利润表!G7*unit/1000000</f>
        <v>2362.04283962</v>
      </c>
      <c r="L7" s="27">
        <f>预测利润表!H7*unit/1000000</f>
        <v>2807.0861922876925</v>
      </c>
      <c r="M7" s="27">
        <f>预测利润表!I7*unit/1000000</f>
        <v>3335.9822094504816</v>
      </c>
      <c r="N7" s="1078">
        <f>预测利润表!J7*unit/1000000</f>
        <v>3964.5299572010972</v>
      </c>
    </row>
    <row r="8" spans="2:15" ht="11.6">
      <c r="B8" s="24" t="s">
        <v>1825</v>
      </c>
      <c r="C8" s="25">
        <f>[1]!EM_S_PQ_Low(目录!$C$4,"E52W",B5,1)</f>
        <v>12.99</v>
      </c>
      <c r="E8" s="26" t="s">
        <v>1826</v>
      </c>
      <c r="F8" s="27">
        <f>(预测资产负债表!G9+预测资产负债表!G11+预测资产负债表!G13)*unit/1000000</f>
        <v>1005.3683684999999</v>
      </c>
      <c r="G8" s="27">
        <f>(预测资产负债表!H9+预测资产负债表!H11+预测资产负债表!H13)*unit/1000000</f>
        <v>1301.0856345177501</v>
      </c>
      <c r="H8" s="27">
        <f>(预测资产负债表!I9+预测资产负债表!I11+预测资产负债表!I13)*unit/1000000</f>
        <v>1439.9379728522972</v>
      </c>
      <c r="I8" s="1082">
        <f>(预测资产负债表!J9+预测资产负债表!J11+预测资产负债表!J13)*unit/1000000</f>
        <v>1817.534496284165</v>
      </c>
      <c r="J8" s="51" t="s">
        <v>1827</v>
      </c>
      <c r="K8" s="27">
        <f>预测利润表!G9*unit/1000000</f>
        <v>1543.7942818299998</v>
      </c>
      <c r="L8" s="27">
        <f>预测利润表!H9*unit/1000000</f>
        <v>1834.667661216027</v>
      </c>
      <c r="M8" s="27">
        <f>预测利润表!I9*unit/1000000</f>
        <v>2180.3458315196326</v>
      </c>
      <c r="N8" s="1078">
        <f>预测利润表!J9*unit/1000000</f>
        <v>2591.154815403529</v>
      </c>
    </row>
    <row r="9" spans="2:15" ht="11.6">
      <c r="B9" s="28" t="s">
        <v>1828</v>
      </c>
      <c r="C9" s="25" t="e">
        <f>[1]!EM_S_VAL_MV(目录!$C$4,B5)/1000000</f>
        <v>#VALUE!</v>
      </c>
      <c r="E9" s="26" t="s">
        <v>897</v>
      </c>
      <c r="F9" s="27">
        <f>预测资产负债表!G15*unit/1000000</f>
        <v>456.65514328999996</v>
      </c>
      <c r="G9" s="27">
        <f>预测资产负债表!H15*unit/1000000</f>
        <v>540.28055104126997</v>
      </c>
      <c r="H9" s="27">
        <f>预测资产负债表!I15*unit/1000000</f>
        <v>644.49238161488165</v>
      </c>
      <c r="I9" s="1082">
        <f>预测资产负债表!J15*unit/1000000</f>
        <v>763.50906716084</v>
      </c>
      <c r="J9" s="51" t="s">
        <v>1829</v>
      </c>
      <c r="K9" s="27">
        <f>预测利润表!G11*unit/1000000</f>
        <v>32.729466509999995</v>
      </c>
      <c r="L9" s="27">
        <f>预测利润表!H11*unit/1000000</f>
        <v>38.896175793299342</v>
      </c>
      <c r="M9" s="27">
        <f>预测利润表!I11*unit/1000000</f>
        <v>46.224783128713604</v>
      </c>
      <c r="N9" s="1078">
        <f>预测利润表!J11*unit/1000000</f>
        <v>54.93420707093528</v>
      </c>
    </row>
    <row r="10" spans="2:15" ht="11.6">
      <c r="B10" s="28" t="s">
        <v>1830</v>
      </c>
      <c r="C10" s="25" t="e">
        <f>[1]!EM_S_VAL_ASHRMARKETVALUE(目录!$C$4,B5)/1000000+[1]!EM_S_VAL_BSHRMARKETVALUE(目录!$C$4,B5)/1000000</f>
        <v>#VALUE!</v>
      </c>
      <c r="E10" s="26" t="s">
        <v>899</v>
      </c>
      <c r="F10" s="27">
        <f>预测资产负债表!G19*unit/1000000-F7-F8-F9</f>
        <v>37.05894038999952</v>
      </c>
      <c r="G10" s="27" t="e">
        <f>预测资产负债表!H19*unit/1000000-G7-G8-G9</f>
        <v>#VALUE!</v>
      </c>
      <c r="H10" s="27" t="e">
        <f>预测资产负债表!I19*unit/1000000-H7-H8-H9</f>
        <v>#VALUE!</v>
      </c>
      <c r="I10" s="1082" t="e">
        <f>预测资产负债表!J19*unit/1000000-I7-I8-I9</f>
        <v>#VALUE!</v>
      </c>
      <c r="J10" s="51" t="s">
        <v>1831</v>
      </c>
      <c r="K10" s="27">
        <f>预测利润表!G13*unit/1000000</f>
        <v>67.827201180000003</v>
      </c>
      <c r="L10" s="27">
        <f>预测利润表!H13*unit/1000000</f>
        <v>86.770223294058425</v>
      </c>
      <c r="M10" s="27">
        <f>预测利润表!I13*unit/1000000</f>
        <v>104.54211372952796</v>
      </c>
      <c r="N10" s="1078">
        <f>预测利润表!J13*unit/1000000</f>
        <v>120.21029733031256</v>
      </c>
    </row>
    <row r="11" spans="2:15" ht="11.6">
      <c r="B11" s="28" t="s">
        <v>1832</v>
      </c>
      <c r="C11" s="25" t="e">
        <f>[1]!EM_S_SHARE_TOTAL(目录!$C$4,B5)/1000000</f>
        <v>#VALUE!</v>
      </c>
      <c r="E11" s="26" t="s">
        <v>902</v>
      </c>
      <c r="F11" s="27">
        <f>预测资产负债表!G21*unit/1000000</f>
        <v>26.102081080000001</v>
      </c>
      <c r="G11" s="27">
        <f>预测资产负债表!H21*unit/1000000</f>
        <v>2026.1020810799998</v>
      </c>
      <c r="H11" s="27">
        <f>预测资产负债表!I21*unit/1000000</f>
        <v>2026.1020810799998</v>
      </c>
      <c r="I11" s="1082">
        <f>预测资产负债表!J21*unit/1000000</f>
        <v>2026.1020810799998</v>
      </c>
      <c r="J11" s="51" t="s">
        <v>1833</v>
      </c>
      <c r="K11" s="27">
        <f>预测利润表!G15*unit/1000000</f>
        <v>138.48596878999999</v>
      </c>
      <c r="L11" s="27">
        <f>预测利润表!H15*unit/1000000</f>
        <v>271.84453188858191</v>
      </c>
      <c r="M11" s="27">
        <f>预测利润表!I15*unit/1000000</f>
        <v>309.59025999885222</v>
      </c>
      <c r="N11" s="1078">
        <f>预测利润表!J15*unit/1000000</f>
        <v>328.09831658546346</v>
      </c>
    </row>
    <row r="12" spans="2:15">
      <c r="B12" s="24" t="s">
        <v>1834</v>
      </c>
      <c r="C12" s="25" t="e">
        <f>[1]!EM_S_SHARE_TOTALA(目录!$C$4,B5)/1000000</f>
        <v>#VALUE!</v>
      </c>
      <c r="E12" s="26" t="s">
        <v>904</v>
      </c>
      <c r="F12" s="27">
        <f>预测资产负债表!G22*unit/1000000</f>
        <v>0</v>
      </c>
      <c r="G12" s="27">
        <f>预测资产负债表!H22*unit/1000000</f>
        <v>0</v>
      </c>
      <c r="H12" s="27">
        <f>预测资产负债表!I22*unit/1000000</f>
        <v>0</v>
      </c>
      <c r="I12" s="1082">
        <f>预测资产负债表!J22*unit/1000000</f>
        <v>0</v>
      </c>
      <c r="J12" s="51" t="s">
        <v>1835</v>
      </c>
      <c r="K12" s="27" t="e">
        <f>(预测利润表!G17+预测利润表!G18)*unit/1000000</f>
        <v>#VALUE!</v>
      </c>
      <c r="L12" s="27">
        <f>(预测利润表!H17+预测利润表!H18)*unit/1000000</f>
        <v>-4.0283720851454987</v>
      </c>
      <c r="M12" s="27" t="e">
        <f>(预测利润表!I17+预测利润表!I18)*unit/1000000</f>
        <v>#VALUE!</v>
      </c>
      <c r="N12" s="1078" t="e">
        <f>(预测利润表!J17+预测利润表!J18)*unit/1000000</f>
        <v>#VALUE!</v>
      </c>
    </row>
    <row r="13" spans="2:15">
      <c r="B13" s="28" t="s">
        <v>1836</v>
      </c>
      <c r="C13" s="25" t="e">
        <f>[1]!EM_S_SHARE_LIQA(目录!$C$4,B5)/1000000</f>
        <v>#VALUE!</v>
      </c>
      <c r="E13" s="26" t="s">
        <v>1837</v>
      </c>
      <c r="F13" s="27">
        <f>(预测资产负债表!G23+预测资产负债表!G24)*unit/1000000</f>
        <v>2671.6517914000001</v>
      </c>
      <c r="G13" s="27" t="e">
        <f>(预测资产负债表!H23+预测资产负债表!H24)*unit/1000000</f>
        <v>#VALUE!</v>
      </c>
      <c r="H13" s="27" t="e">
        <f>(预测资产负债表!I23+预测资产负债表!I24)*unit/1000000</f>
        <v>#VALUE!</v>
      </c>
      <c r="I13" s="1082" t="e">
        <f>(预测资产负债表!J23+预测资产负债表!J24)*unit/1000000</f>
        <v>#VALUE!</v>
      </c>
      <c r="J13" s="51" t="s">
        <v>1261</v>
      </c>
      <c r="K13" s="27">
        <f>预测利润表!G20*unit/1000000</f>
        <v>26.098709100000001</v>
      </c>
      <c r="L13" s="27">
        <f>预测利润表!H20*unit/1000000</f>
        <v>12.505913873333332</v>
      </c>
      <c r="M13" s="27">
        <f>预测利润表!I20*unit/1000000</f>
        <v>14.726324361111111</v>
      </c>
      <c r="N13" s="1078">
        <f>预测利润表!J20*unit/1000000</f>
        <v>17.776982444814816</v>
      </c>
    </row>
    <row r="14" spans="2:15" ht="11.6">
      <c r="B14" s="28" t="s">
        <v>1838</v>
      </c>
      <c r="C14" s="25" t="e">
        <f>[1]!EM_S_SHARE_RESTRICTEDA(目录!$C$4,B5)/1000000</f>
        <v>#VALUE!</v>
      </c>
      <c r="E14" s="26" t="s">
        <v>1839</v>
      </c>
      <c r="F14" s="27">
        <f>(预测资产负债表!G25+预测资产负债表!G26+预测资产负债表!G27)*unit/1000000</f>
        <v>436.81057171999998</v>
      </c>
      <c r="G14" s="27" t="e">
        <f>(预测资产负债表!H25+预测资产负债表!H26+预测资产负债表!H27)*unit/1000000</f>
        <v>#VALUE!</v>
      </c>
      <c r="H14" s="27" t="e">
        <f>(预测资产负债表!I25+预测资产负债表!I26+预测资产负债表!I27)*unit/1000000</f>
        <v>#VALUE!</v>
      </c>
      <c r="I14" s="1082" t="e">
        <f>(预测资产负债表!J25+预测资产负债表!J26+预测资产负债表!J27)*unit/1000000</f>
        <v>#VALUE!</v>
      </c>
      <c r="J14" s="51" t="s">
        <v>1840</v>
      </c>
      <c r="K14" s="27">
        <f>('历史年度（简化）'!F18+'历史年度（简化）'!F19)*unit/1000000</f>
        <v>28.354211439999997</v>
      </c>
      <c r="L14" s="27">
        <f>(预测利润表!H29+预测利润表!H30+预测利润表!H31)*unit/1000000</f>
        <v>1500</v>
      </c>
      <c r="M14" s="27">
        <f>(预测利润表!I29+预测利润表!I30+预测利润表!I31)*unit/1000000</f>
        <v>0</v>
      </c>
      <c r="N14" s="1078">
        <f>(预测利润表!J29+预测利润表!J30+预测利润表!J31)*unit/1000000</f>
        <v>0</v>
      </c>
      <c r="O14" s="44"/>
    </row>
    <row r="15" spans="2:15">
      <c r="B15" s="24" t="s">
        <v>1841</v>
      </c>
      <c r="C15" s="25" t="e">
        <f>[1]!EM_S_SHARE_TOTALB(目录!$C$4,B5)/1000000</f>
        <v>#VALUE!</v>
      </c>
      <c r="E15" s="26" t="s">
        <v>911</v>
      </c>
      <c r="F15" s="27">
        <f>预测资产负债表!G31*unit/1000000-F11-F12-F13-F14</f>
        <v>101.56749231000015</v>
      </c>
      <c r="G15" s="27" t="e">
        <f>预测资产负债表!H31*unit/1000000-G11-G12-G13-G14</f>
        <v>#VALUE!</v>
      </c>
      <c r="H15" s="27" t="e">
        <f>预测资产负债表!I31*unit/1000000-H11-H12-H13-H14</f>
        <v>#VALUE!</v>
      </c>
      <c r="I15" s="1082" t="e">
        <f>预测资产负债表!J31*unit/1000000-I11-I12-I13-I14</f>
        <v>#VALUE!</v>
      </c>
      <c r="J15" s="51" t="s">
        <v>1842</v>
      </c>
      <c r="K15" s="27">
        <f>(预测利润表!G32+预测利润表!G33)*unit/1000000</f>
        <v>0</v>
      </c>
      <c r="L15" s="27">
        <f>(预测利润表!H32+预测利润表!H33)*unit/1000000</f>
        <v>0</v>
      </c>
      <c r="M15" s="27">
        <f>(预测利润表!I32+预测利润表!I33)*unit/1000000</f>
        <v>100</v>
      </c>
      <c r="N15" s="1078">
        <f>(预测利润表!J32+预测利润表!J33)*unit/1000000</f>
        <v>200</v>
      </c>
    </row>
    <row r="16" spans="2:15" ht="11.6">
      <c r="B16" s="29" t="s">
        <v>1843</v>
      </c>
      <c r="C16" s="30" t="e">
        <f>[1]!EM_S_SHARE_H(目录!$C$4,B5)/1000000</f>
        <v>#VALUE!</v>
      </c>
      <c r="E16" s="31" t="s">
        <v>913</v>
      </c>
      <c r="F16" s="27">
        <f>SUM(F7:F15)</f>
        <v>4988.4288119899993</v>
      </c>
      <c r="G16" s="27" t="e">
        <f>SUM(G7:G15)</f>
        <v>#VALUE!</v>
      </c>
      <c r="H16" s="27" t="e">
        <f t="shared" ref="H16:I16" si="0">SUM(H7:H15)</f>
        <v>#VALUE!</v>
      </c>
      <c r="I16" s="1082" t="e">
        <f t="shared" si="0"/>
        <v>#VALUE!</v>
      </c>
      <c r="J16" s="51" t="s">
        <v>1844</v>
      </c>
      <c r="K16" s="27">
        <f>预测利润表!G21*unit/1000000</f>
        <v>-133.42462273000004</v>
      </c>
      <c r="L16" s="27">
        <f>预测利润表!H21*unit/1000000</f>
        <v>-44.474874243333367</v>
      </c>
      <c r="M16" s="27">
        <f>预测利润表!I21*unit/1000000</f>
        <v>-59.299832324444466</v>
      </c>
      <c r="N16" s="1078">
        <f>预测利润表!J21*unit/1000000</f>
        <v>-79.066443099259288</v>
      </c>
    </row>
    <row r="17" spans="2:14" ht="11.6">
      <c r="E17" s="26" t="s">
        <v>915</v>
      </c>
      <c r="F17" s="27">
        <f>预测资产负债表!G34*unit/1000000</f>
        <v>60.194173890000002</v>
      </c>
      <c r="G17" s="27" t="e">
        <f>预测资产负债表!H34*unit/1000000</f>
        <v>#VALUE!</v>
      </c>
      <c r="H17" s="27" t="e">
        <f>预测资产负债表!I34*unit/1000000</f>
        <v>#VALUE!</v>
      </c>
      <c r="I17" s="1082" t="e">
        <f>预测资产负债表!J34*unit/1000000</f>
        <v>#VALUE!</v>
      </c>
      <c r="J17" s="51" t="s">
        <v>1845</v>
      </c>
      <c r="K17" s="27" t="e">
        <f>K7-K8-K9-K10-K11-K12-K13+K14+K15+K16</f>
        <v>#VALUE!</v>
      </c>
      <c r="L17" s="27">
        <f>L7-L8-L9-L10-L11-L12-L13+L14+L15+L16</f>
        <v>2021.955184064205</v>
      </c>
      <c r="M17" s="27" t="e">
        <f t="shared" ref="M17:N17" si="1">M7-M8-M9-M10-M11-M12-M13+M14+M15+M16</f>
        <v>#VALUE!</v>
      </c>
      <c r="N17" s="1078" t="e">
        <f t="shared" si="1"/>
        <v>#VALUE!</v>
      </c>
    </row>
    <row r="18" spans="2:14" ht="11.6">
      <c r="E18" s="26" t="s">
        <v>1846</v>
      </c>
      <c r="F18" s="27">
        <f>(预测资产负债表!G36+预测资产负债表!G38+预测资产负债表!G40)*unit/1000000</f>
        <v>570.57887722999999</v>
      </c>
      <c r="G18" s="27">
        <f>(预测资产负债表!H36+预测资产负债表!H38+预测资产负债表!H40)*unit/1000000</f>
        <v>653.4729386089939</v>
      </c>
      <c r="H18" s="27">
        <f>(预测资产负债表!I36+预测资产负债表!I38+预测资产负债表!I40)*unit/1000000</f>
        <v>718.56849274976537</v>
      </c>
      <c r="I18" s="1082">
        <f>(预测资产负债表!J36+预测资产负债表!J38+预测资产负债表!J40)*unit/1000000</f>
        <v>829.34595808154916</v>
      </c>
      <c r="J18" s="51" t="s">
        <v>1847</v>
      </c>
      <c r="K18" s="27">
        <f>(预测利润表!G34+预测利润表!G35)*unit/1000000</f>
        <v>90.754712069999997</v>
      </c>
      <c r="L18" s="27">
        <f>(预测利润表!H34+预测利润表!H35)*unit/1000000</f>
        <v>45.253814226666663</v>
      </c>
      <c r="M18" s="27">
        <f>(预测利润表!I34+预测利润表!I35)*unit/1000000</f>
        <v>53.067741438888895</v>
      </c>
      <c r="N18" s="1078">
        <f>(预测利润表!J34+预测利润表!J35)*unit/1000000</f>
        <v>63.025422578518516</v>
      </c>
    </row>
    <row r="19" spans="2:14" ht="11.6">
      <c r="B19" s="32" t="s">
        <v>1848</v>
      </c>
      <c r="E19" s="26" t="s">
        <v>923</v>
      </c>
      <c r="F19" s="27">
        <f>(预测资产负债表!G44+预测资产负债表!G45+预测资产负债表!G46)*unit/1000000</f>
        <v>0</v>
      </c>
      <c r="G19" s="27" t="e">
        <f>(预测资产负债表!H44+预测资产负债表!H45+预测资产负债表!H46)*unit/1000000</f>
        <v>#VALUE!</v>
      </c>
      <c r="H19" s="27" t="e">
        <f>(预测资产负债表!I44+预测资产负债表!I45+预测资产负债表!I46)*unit/1000000</f>
        <v>#VALUE!</v>
      </c>
      <c r="I19" s="1082" t="e">
        <f>(预测资产负债表!J44+预测资产负债表!J45+预测资产负债表!J46)*unit/1000000</f>
        <v>#VALUE!</v>
      </c>
      <c r="J19" s="51" t="s">
        <v>1849</v>
      </c>
      <c r="K19" s="27" t="e">
        <f>K17+K18</f>
        <v>#VALUE!</v>
      </c>
      <c r="L19" s="27">
        <f>L17+L18</f>
        <v>2067.2089982908715</v>
      </c>
      <c r="M19" s="27" t="e">
        <f t="shared" ref="M19:N19" si="2">M17+M18</f>
        <v>#VALUE!</v>
      </c>
      <c r="N19" s="1078" t="e">
        <f t="shared" si="2"/>
        <v>#VALUE!</v>
      </c>
    </row>
    <row r="20" spans="2:14" ht="11.6">
      <c r="B20" s="33" t="s">
        <v>12</v>
      </c>
      <c r="E20" s="26" t="s">
        <v>1850</v>
      </c>
      <c r="F20" s="27">
        <f>F21-F17-F18-F19</f>
        <v>-1.1368683772161603E-13</v>
      </c>
      <c r="G20" s="27" t="e">
        <f>G21-G17-G18-G19</f>
        <v>#VALUE!</v>
      </c>
      <c r="H20" s="27" t="e">
        <f t="shared" ref="H20:I20" si="3">H21-H17-H18-H19</f>
        <v>#VALUE!</v>
      </c>
      <c r="I20" s="1082" t="e">
        <f t="shared" si="3"/>
        <v>#VALUE!</v>
      </c>
      <c r="J20" s="51" t="s">
        <v>1851</v>
      </c>
      <c r="K20" s="27">
        <f>(预测利润表!G24+预测利润表!G37)*unit/1000000</f>
        <v>15.429913020724083</v>
      </c>
      <c r="L20" s="27">
        <f>(预测利润表!H24+预测利润表!H37)*unit/1000000</f>
        <v>0</v>
      </c>
      <c r="M20" s="27">
        <f>(预测利润表!I24+预测利润表!I37)*unit/1000000</f>
        <v>0</v>
      </c>
      <c r="N20" s="1078">
        <f>(预测利润表!J24+预测利润表!J37)*unit/1000000</f>
        <v>0</v>
      </c>
    </row>
    <row r="21" spans="2:14" ht="11.6">
      <c r="B21" s="33" t="s">
        <v>12</v>
      </c>
      <c r="E21" s="31" t="s">
        <v>930</v>
      </c>
      <c r="F21" s="27">
        <f>预测资产负债表!G50*unit/1000000</f>
        <v>630.77305111999988</v>
      </c>
      <c r="G21" s="27" t="e">
        <f>预测资产负债表!H50*unit/1000000</f>
        <v>#VALUE!</v>
      </c>
      <c r="H21" s="27" t="e">
        <f>预测资产负债表!I50*unit/1000000</f>
        <v>#VALUE!</v>
      </c>
      <c r="I21" s="1082" t="e">
        <f>预测资产负债表!J50*unit/1000000</f>
        <v>#VALUE!</v>
      </c>
      <c r="J21" s="51" t="s">
        <v>1852</v>
      </c>
      <c r="K21" s="27" t="e">
        <f>K19-K20</f>
        <v>#VALUE!</v>
      </c>
      <c r="L21" s="27">
        <f>L19-L20</f>
        <v>2067.2089982908715</v>
      </c>
      <c r="M21" s="27" t="e">
        <f t="shared" ref="M21:N21" si="4">M19-M20</f>
        <v>#VALUE!</v>
      </c>
      <c r="N21" s="1078" t="e">
        <f t="shared" si="4"/>
        <v>#VALUE!</v>
      </c>
    </row>
    <row r="22" spans="2:14" ht="11.6">
      <c r="B22" s="33" t="s">
        <v>12</v>
      </c>
      <c r="E22" s="26" t="s">
        <v>932</v>
      </c>
      <c r="F22" s="27">
        <f>预测资产负债表!G52*unit/1000000</f>
        <v>812.03735399999994</v>
      </c>
      <c r="G22" s="27" t="e">
        <f>预测资产负债表!H52*unit/1000000</f>
        <v>#VALUE!</v>
      </c>
      <c r="H22" s="27" t="e">
        <f>预测资产负债表!I52*unit/1000000</f>
        <v>#VALUE!</v>
      </c>
      <c r="I22" s="1082" t="e">
        <f>预测资产负债表!J52*unit/1000000</f>
        <v>#VALUE!</v>
      </c>
      <c r="J22" s="51" t="s">
        <v>1853</v>
      </c>
      <c r="K22" s="27">
        <f>预测利润表!G43*unit/1000000</f>
        <v>4.3855862999999999</v>
      </c>
      <c r="L22" s="27">
        <f>预测利润表!H43*unit/1000000</f>
        <v>0</v>
      </c>
      <c r="M22" s="27">
        <f>预测利润表!I43*unit/1000000</f>
        <v>0</v>
      </c>
      <c r="N22" s="1078">
        <f>预测利润表!J43*unit/1000000</f>
        <v>0</v>
      </c>
    </row>
    <row r="23" spans="2:14">
      <c r="E23" s="26" t="s">
        <v>1479</v>
      </c>
      <c r="F23" s="27">
        <f>预测资产负债表!G53*unit/1000000</f>
        <v>1956.17808152</v>
      </c>
      <c r="G23" s="27" t="e">
        <f>预测资产负债表!H53*unit/1000000</f>
        <v>#VALUE!</v>
      </c>
      <c r="H23" s="27" t="e">
        <f>预测资产负债表!I53*unit/1000000</f>
        <v>#VALUE!</v>
      </c>
      <c r="I23" s="1082" t="e">
        <f>预测资产负债表!J53*unit/1000000</f>
        <v>#VALUE!</v>
      </c>
      <c r="J23" s="51" t="s">
        <v>1854</v>
      </c>
      <c r="K23" s="27" t="e">
        <f>K21-K22</f>
        <v>#VALUE!</v>
      </c>
      <c r="L23" s="27">
        <f>L21-L22</f>
        <v>2067.2089982908715</v>
      </c>
      <c r="M23" s="27" t="e">
        <f t="shared" ref="M23:N23" si="5">M21-M22</f>
        <v>#VALUE!</v>
      </c>
      <c r="N23" s="1078" t="e">
        <f t="shared" si="5"/>
        <v>#VALUE!</v>
      </c>
    </row>
    <row r="24" spans="2:14">
      <c r="E24" s="26" t="s">
        <v>1855</v>
      </c>
      <c r="F24" s="27">
        <f>预测资产负债表!G57*unit/1000000</f>
        <v>1530.0538666299997</v>
      </c>
      <c r="G24" s="27">
        <f>预测资产负债表!H57*unit/1000000</f>
        <v>3653.710416710147</v>
      </c>
      <c r="H24" s="27" t="e">
        <f>预测资产负债表!I57*unit/1000000</f>
        <v>#VALUE!</v>
      </c>
      <c r="I24" s="1082" t="e">
        <f>预测资产负债表!J57*unit/1000000</f>
        <v>#VALUE!</v>
      </c>
      <c r="J24" s="52" t="s">
        <v>1450</v>
      </c>
      <c r="K24" s="27" t="e">
        <f>预测利润表!G54*unit/1000000</f>
        <v>#VALUE!</v>
      </c>
      <c r="L24" s="27">
        <f>预测利润表!H54*unit/1000000</f>
        <v>2063.1806262057262</v>
      </c>
      <c r="M24" s="27" t="e">
        <f>预测利润表!I54*unit/1000000</f>
        <v>#VALUE!</v>
      </c>
      <c r="N24" s="1078" t="e">
        <f>预测利润表!J54*unit/1000000</f>
        <v>#VALUE!</v>
      </c>
    </row>
    <row r="25" spans="2:14">
      <c r="E25" s="31" t="s">
        <v>1856</v>
      </c>
      <c r="F25" s="27">
        <f>预测资产负债表!G60*unit/1000000</f>
        <v>4298.2693021499999</v>
      </c>
      <c r="G25" s="27" t="e">
        <f>预测资产负债表!H60*unit/1000000</f>
        <v>#VALUE!</v>
      </c>
      <c r="H25" s="27" t="e">
        <f>预测资产负债表!I60*unit/1000000</f>
        <v>#VALUE!</v>
      </c>
      <c r="I25" s="1082" t="e">
        <f>预测资产负债表!J60*unit/1000000</f>
        <v>#VALUE!</v>
      </c>
      <c r="J25" s="51" t="s">
        <v>1451</v>
      </c>
      <c r="K25" s="42" t="e">
        <f>预测利润表!G56*unit/1000000</f>
        <v>#VALUE!</v>
      </c>
      <c r="L25" s="42" t="e">
        <f>预测利润表!H56*unit/1000000</f>
        <v>#VALUE!</v>
      </c>
      <c r="M25" s="42" t="e">
        <f>预测利润表!I56*unit/1000000</f>
        <v>#VALUE!</v>
      </c>
      <c r="N25" s="1078" t="e">
        <f>预测利润表!J56*unit/1000000</f>
        <v>#VALUE!</v>
      </c>
    </row>
    <row r="26" spans="2:14" ht="11.6">
      <c r="E26" s="26" t="s">
        <v>936</v>
      </c>
      <c r="F26" s="27">
        <f>预测资产负债表!G61*unit/1000000</f>
        <v>59.38645872</v>
      </c>
      <c r="G26" s="27">
        <f>预测资产负债表!H61*unit/1000000</f>
        <v>59.38645872</v>
      </c>
      <c r="H26" s="27">
        <f>预测资产负债表!I61*unit/1000000</f>
        <v>59.38645872</v>
      </c>
      <c r="I26" s="1082">
        <f>预测资产负债表!J61*unit/1000000</f>
        <v>59.38645872</v>
      </c>
      <c r="J26" s="53"/>
      <c r="K26" s="53"/>
      <c r="L26" s="53"/>
      <c r="M26" s="53"/>
      <c r="N26" s="1090"/>
    </row>
    <row r="27" spans="2:14" ht="11.6">
      <c r="E27" s="31" t="s">
        <v>937</v>
      </c>
      <c r="F27" s="27">
        <f>F25+F26</f>
        <v>4357.6557608699995</v>
      </c>
      <c r="G27" s="27" t="e">
        <f>G25+G26</f>
        <v>#VALUE!</v>
      </c>
      <c r="H27" s="27" t="e">
        <f t="shared" ref="H27:I27" si="6">H25+H26</f>
        <v>#VALUE!</v>
      </c>
      <c r="I27" s="1082" t="e">
        <f t="shared" si="6"/>
        <v>#VALUE!</v>
      </c>
      <c r="J27" s="48" t="s">
        <v>1857</v>
      </c>
      <c r="K27" s="19"/>
      <c r="L27" s="19"/>
      <c r="M27" s="54"/>
      <c r="N27" s="1091"/>
    </row>
    <row r="28" spans="2:14" ht="13.5" customHeight="1">
      <c r="E28" s="31" t="s">
        <v>938</v>
      </c>
      <c r="F28" s="27">
        <f>F21+F27</f>
        <v>4988.4288119899993</v>
      </c>
      <c r="G28" s="27" t="e">
        <f>G21+G27</f>
        <v>#VALUE!</v>
      </c>
      <c r="H28" s="27" t="e">
        <f t="shared" ref="H28:I28" si="7">H21+H27</f>
        <v>#VALUE!</v>
      </c>
      <c r="I28" s="1082" t="e">
        <f t="shared" si="7"/>
        <v>#VALUE!</v>
      </c>
      <c r="J28" s="55" t="s">
        <v>1822</v>
      </c>
      <c r="K28" s="23">
        <v>2018</v>
      </c>
      <c r="L28" s="23" t="s">
        <v>3556</v>
      </c>
      <c r="M28" s="23" t="s">
        <v>1697</v>
      </c>
      <c r="N28" s="50" t="s">
        <v>1698</v>
      </c>
    </row>
    <row r="29" spans="2:14" ht="13.5" customHeight="1">
      <c r="E29" s="34"/>
      <c r="F29" s="27"/>
      <c r="G29" s="27"/>
      <c r="H29" s="27"/>
      <c r="I29" s="1082"/>
      <c r="J29" s="56" t="s">
        <v>1858</v>
      </c>
      <c r="K29" s="57"/>
      <c r="L29" s="57"/>
      <c r="M29" s="57"/>
      <c r="N29" s="1092"/>
    </row>
    <row r="30" spans="2:14" ht="22.9">
      <c r="E30" s="18" t="s">
        <v>940</v>
      </c>
      <c r="F30" s="19"/>
      <c r="G30" s="19"/>
      <c r="H30" s="19"/>
      <c r="I30" s="1083" t="s">
        <v>1820</v>
      </c>
      <c r="J30" s="51" t="s">
        <v>1859</v>
      </c>
      <c r="K30" s="43">
        <f>预测利润表!G10</f>
        <v>0.34641562975277695</v>
      </c>
      <c r="L30" s="43">
        <f>预测利润表!H10</f>
        <v>0.34641562975277695</v>
      </c>
      <c r="M30" s="43">
        <f>预测利润表!I10</f>
        <v>0.34641562975277695</v>
      </c>
      <c r="N30" s="1079">
        <f>预测利润表!J10</f>
        <v>0.34641562975277695</v>
      </c>
    </row>
    <row r="31" spans="2:14" ht="11.6">
      <c r="E31" s="35" t="s">
        <v>1822</v>
      </c>
      <c r="F31" s="36">
        <v>2018</v>
      </c>
      <c r="G31" s="36" t="s">
        <v>3556</v>
      </c>
      <c r="H31" s="36" t="s">
        <v>1697</v>
      </c>
      <c r="I31" s="1084" t="s">
        <v>1698</v>
      </c>
      <c r="J31" s="51" t="s">
        <v>1860</v>
      </c>
      <c r="K31" s="43">
        <f>财务分析!G36</f>
        <v>0</v>
      </c>
      <c r="L31" s="43">
        <f>财务分析!H36</f>
        <v>0.12631830973758498</v>
      </c>
      <c r="M31" s="43">
        <f>财务分析!I36</f>
        <v>0</v>
      </c>
      <c r="N31" s="1079">
        <f>财务分析!J36</f>
        <v>0</v>
      </c>
    </row>
    <row r="32" spans="2:14" ht="11.6">
      <c r="E32" s="37" t="s">
        <v>1468</v>
      </c>
      <c r="F32" s="27">
        <f>预测现金流量表!G7*unit/1000000</f>
        <v>457.60471426999993</v>
      </c>
      <c r="G32" s="27">
        <f>预测现金流量表!H7*unit/1000000</f>
        <v>521.95518406420479</v>
      </c>
      <c r="H32" s="27" t="e">
        <f>预测现金流量表!I7*unit/1000000</f>
        <v>#VALUE!</v>
      </c>
      <c r="I32" s="1082" t="e">
        <f>预测现金流量表!J7*unit/1000000</f>
        <v>#VALUE!</v>
      </c>
      <c r="J32" s="51" t="s">
        <v>1861</v>
      </c>
      <c r="K32" s="43">
        <f>财务分析!G37</f>
        <v>0</v>
      </c>
      <c r="L32" s="43">
        <f>财务分析!H37</f>
        <v>0.73499012316550727</v>
      </c>
      <c r="M32" s="43">
        <f>财务分析!I37</f>
        <v>0</v>
      </c>
      <c r="N32" s="1079">
        <f>财务分析!J37</f>
        <v>0</v>
      </c>
    </row>
    <row r="33" spans="5:14" ht="11.6">
      <c r="E33" s="37" t="s">
        <v>1862</v>
      </c>
      <c r="F33" s="27">
        <f>预测现金流量表!G7*unit/1000000</f>
        <v>457.60471426999993</v>
      </c>
      <c r="G33" s="27">
        <f>预测现金流量表!H7*unit/1000000</f>
        <v>521.95518406420479</v>
      </c>
      <c r="H33" s="27" t="e">
        <f>预测现金流量表!I7*unit/1000000</f>
        <v>#VALUE!</v>
      </c>
      <c r="I33" s="1082" t="e">
        <f>预测现金流量表!J7*unit/1000000</f>
        <v>#VALUE!</v>
      </c>
      <c r="J33" s="51" t="s">
        <v>1863</v>
      </c>
      <c r="K33" s="43">
        <f>财务分析!G38</f>
        <v>0</v>
      </c>
      <c r="L33" s="43">
        <f>财务分析!H38</f>
        <v>0</v>
      </c>
      <c r="M33" s="43">
        <f>财务分析!I38</f>
        <v>0</v>
      </c>
      <c r="N33" s="1079">
        <f>财务分析!J38</f>
        <v>0</v>
      </c>
    </row>
    <row r="34" spans="5:14" ht="11.6">
      <c r="E34" s="37" t="s">
        <v>1864</v>
      </c>
      <c r="F34" s="27">
        <f>(预测现金流量表!G12+预测现金流量表!G13+预测现金流量表!G14)*unit/1000000</f>
        <v>-164.29297567</v>
      </c>
      <c r="G34" s="27">
        <f>(预测现金流量表!H12+预测现金流量表!H13+预测现金流量表!H14)*unit/1000000</f>
        <v>-296.44861239002614</v>
      </c>
      <c r="H34" s="27">
        <f>(预测现金流量表!I12+预测现金流量表!I13+预测现金流量表!I14)*unit/1000000</f>
        <v>-177.96861476738752</v>
      </c>
      <c r="I34" s="1082">
        <f>(预测现金流量表!J12+预测现金流量表!J13+预测现金流量表!J14)*unit/1000000</f>
        <v>-385.83574364604203</v>
      </c>
      <c r="J34" s="51" t="s">
        <v>1865</v>
      </c>
      <c r="K34" s="43">
        <f>财务分析!G35</f>
        <v>0</v>
      </c>
      <c r="L34" s="43">
        <f>财务分析!H35</f>
        <v>0.75653414416513864</v>
      </c>
      <c r="M34" s="43">
        <f>财务分析!I35</f>
        <v>0</v>
      </c>
      <c r="N34" s="1079">
        <f>财务分析!J35</f>
        <v>0</v>
      </c>
    </row>
    <row r="35" spans="5:14">
      <c r="E35" s="38" t="s">
        <v>1866</v>
      </c>
      <c r="F35" s="27" t="e">
        <f>预测现金流量表!G16*unit/1000000</f>
        <v>#VALUE!</v>
      </c>
      <c r="G35" s="27" t="e">
        <f>预测现金流量表!H16*unit/1000000</f>
        <v>#VALUE!</v>
      </c>
      <c r="H35" s="27" t="e">
        <f>预测现金流量表!I16*unit/1000000</f>
        <v>#VALUE!</v>
      </c>
      <c r="I35" s="1082" t="e">
        <f>预测现金流量表!J16*unit/1000000</f>
        <v>#VALUE!</v>
      </c>
      <c r="J35" s="58" t="s">
        <v>1867</v>
      </c>
      <c r="K35" s="43"/>
      <c r="L35" s="43"/>
      <c r="M35" s="43"/>
      <c r="N35" s="1079"/>
    </row>
    <row r="36" spans="5:14">
      <c r="E36" s="38" t="s">
        <v>1868</v>
      </c>
      <c r="F36" s="27" t="e">
        <f>预测现金流量表!G29*unit/1000000</f>
        <v>#VALUE!</v>
      </c>
      <c r="G36" s="27">
        <f>预测现金流量表!H29*unit/1000000</f>
        <v>-10567.993182974058</v>
      </c>
      <c r="H36" s="27">
        <f>预测现金流量表!I29*unit/1000000</f>
        <v>809.51529322816475</v>
      </c>
      <c r="I36" s="1082">
        <f>预测现金流量表!J29*unit/1000000</f>
        <v>519.47297436779445</v>
      </c>
      <c r="J36" s="51" t="s">
        <v>1869</v>
      </c>
      <c r="K36" s="43">
        <f>财务分析!G40</f>
        <v>0</v>
      </c>
      <c r="L36" s="43">
        <f>财务分析!H40</f>
        <v>0</v>
      </c>
      <c r="M36" s="43">
        <f>财务分析!I40</f>
        <v>0</v>
      </c>
      <c r="N36" s="1079">
        <f>财务分析!J40</f>
        <v>0</v>
      </c>
    </row>
    <row r="37" spans="5:14">
      <c r="E37" s="38" t="s">
        <v>1870</v>
      </c>
      <c r="F37" s="27">
        <f>预测现金流量表!G39*unit/1000000</f>
        <v>-176.43064669</v>
      </c>
      <c r="G37" s="27" t="e">
        <f>预测现金流量表!H39*unit/1000000</f>
        <v>#VALUE!</v>
      </c>
      <c r="H37" s="27" t="e">
        <f>预测现金流量表!I39*unit/1000000</f>
        <v>#VALUE!</v>
      </c>
      <c r="I37" s="1082" t="e">
        <f>预测现金流量表!J39*unit/1000000</f>
        <v>#VALUE!</v>
      </c>
      <c r="J37" s="51" t="s">
        <v>1871</v>
      </c>
      <c r="K37" s="43">
        <f>财务分析!G41</f>
        <v>0</v>
      </c>
      <c r="L37" s="43">
        <f>财务分析!H41</f>
        <v>0</v>
      </c>
      <c r="M37" s="43">
        <f>财务分析!I41</f>
        <v>0</v>
      </c>
      <c r="N37" s="1079">
        <f>财务分析!J41</f>
        <v>0</v>
      </c>
    </row>
    <row r="38" spans="5:14">
      <c r="E38" s="37" t="s">
        <v>1872</v>
      </c>
      <c r="F38" s="27" t="e">
        <f>预测现金流量表!G42*unit/1000000</f>
        <v>#VALUE!</v>
      </c>
      <c r="G38" s="27" t="e">
        <f>预测现金流量表!H42*unit/1000000</f>
        <v>#VALUE!</v>
      </c>
      <c r="H38" s="27" t="e">
        <f>预测现金流量表!I42*unit/1000000</f>
        <v>#VALUE!</v>
      </c>
      <c r="I38" s="1082" t="e">
        <f>预测现金流量表!J42*unit/1000000</f>
        <v>#VALUE!</v>
      </c>
      <c r="J38" s="51" t="s">
        <v>1873</v>
      </c>
      <c r="K38" s="43">
        <f>财务分析!G42</f>
        <v>0</v>
      </c>
      <c r="L38" s="43">
        <f>财务分析!H42</f>
        <v>0.13725724934702102</v>
      </c>
      <c r="M38" s="43">
        <f>财务分析!I42</f>
        <v>0</v>
      </c>
      <c r="N38" s="1079">
        <f>财务分析!J42</f>
        <v>0</v>
      </c>
    </row>
    <row r="39" spans="5:14">
      <c r="E39" s="37"/>
      <c r="F39" s="15"/>
      <c r="G39" s="15"/>
      <c r="H39" s="15"/>
      <c r="I39" s="1085"/>
      <c r="J39" s="58" t="s">
        <v>1250</v>
      </c>
      <c r="K39" s="43"/>
      <c r="L39" s="43"/>
      <c r="M39" s="43"/>
      <c r="N39" s="1079"/>
    </row>
    <row r="40" spans="5:14" ht="11.6">
      <c r="E40" s="18" t="s">
        <v>1874</v>
      </c>
      <c r="F40" s="19"/>
      <c r="G40" s="19"/>
      <c r="H40" s="1073"/>
      <c r="I40" s="1086"/>
      <c r="J40" s="51" t="s">
        <v>1875</v>
      </c>
      <c r="K40" s="43">
        <f>财务分析!G21</f>
        <v>0.18841459824635973</v>
      </c>
      <c r="L40" s="43">
        <f>财务分析!H21</f>
        <v>0.18841459824635967</v>
      </c>
      <c r="M40" s="43">
        <f>财务分析!I21</f>
        <v>0.18841459824635956</v>
      </c>
      <c r="N40" s="1079">
        <f>财务分析!J21</f>
        <v>0.18841459824635962</v>
      </c>
    </row>
    <row r="41" spans="5:14" ht="11.6">
      <c r="E41" s="35" t="s">
        <v>1822</v>
      </c>
      <c r="F41" s="36">
        <v>2018</v>
      </c>
      <c r="G41" s="36" t="s">
        <v>3556</v>
      </c>
      <c r="H41" s="36" t="s">
        <v>1697</v>
      </c>
      <c r="I41" s="1084" t="s">
        <v>1698</v>
      </c>
      <c r="J41" s="51" t="s">
        <v>1876</v>
      </c>
      <c r="K41" s="43">
        <f>财务分析!G25</f>
        <v>0</v>
      </c>
      <c r="L41" s="43">
        <f>财务分析!H25</f>
        <v>0</v>
      </c>
      <c r="M41" s="43">
        <f>财务分析!I25</f>
        <v>0</v>
      </c>
      <c r="N41" s="1079">
        <f>财务分析!J25</f>
        <v>0</v>
      </c>
    </row>
    <row r="42" spans="5:14" ht="11.6">
      <c r="E42" s="39" t="s">
        <v>1877</v>
      </c>
      <c r="F42" s="40" t="e">
        <f>预测利润表!G54*unit/1000000</f>
        <v>#VALUE!</v>
      </c>
      <c r="G42" s="40">
        <f>预测利润表!H54*unit/1000000</f>
        <v>2063.1806262057262</v>
      </c>
      <c r="H42" s="40" t="e">
        <f>预测利润表!I54*unit/1000000</f>
        <v>#VALUE!</v>
      </c>
      <c r="I42" s="1087" t="e">
        <f>预测利润表!J54*unit/1000000</f>
        <v>#VALUE!</v>
      </c>
      <c r="J42" s="51" t="s">
        <v>1878</v>
      </c>
      <c r="K42" s="43">
        <f>财务分析!G26</f>
        <v>0</v>
      </c>
      <c r="L42" s="43">
        <f>财务分析!H26</f>
        <v>0</v>
      </c>
      <c r="M42" s="43">
        <f>财务分析!I26</f>
        <v>0</v>
      </c>
      <c r="N42" s="1079">
        <f>财务分析!J26</f>
        <v>0</v>
      </c>
    </row>
    <row r="43" spans="5:14" ht="11.6">
      <c r="E43" s="41" t="s">
        <v>1879</v>
      </c>
      <c r="F43" s="42" t="e">
        <f>预测利润表!G56*unit/1000000</f>
        <v>#VALUE!</v>
      </c>
      <c r="G43" s="42" t="e">
        <f>预测利润表!H56*unit/1000000</f>
        <v>#VALUE!</v>
      </c>
      <c r="H43" s="42" t="e">
        <f>预测利润表!I56*unit/1000000</f>
        <v>#VALUE!</v>
      </c>
      <c r="I43" s="1082" t="e">
        <f>预测利润表!J56*unit/1000000</f>
        <v>#VALUE!</v>
      </c>
      <c r="J43" s="51" t="s">
        <v>1880</v>
      </c>
      <c r="K43" s="43">
        <f>财务分析!G23</f>
        <v>0</v>
      </c>
      <c r="L43" s="43">
        <f>财务分析!H23</f>
        <v>0</v>
      </c>
      <c r="M43" s="43">
        <f>财务分析!I23</f>
        <v>0</v>
      </c>
      <c r="N43" s="1079">
        <f>财务分析!J23</f>
        <v>0</v>
      </c>
    </row>
    <row r="44" spans="5:14" ht="11.6">
      <c r="E44" s="41" t="s">
        <v>1881</v>
      </c>
      <c r="F44" s="42" t="e">
        <f>预测利润表!G77*unit/1000000</f>
        <v>#VALUE!</v>
      </c>
      <c r="G44" s="42">
        <f>预测利润表!H77*unit/1000000</f>
        <v>574.37436376833512</v>
      </c>
      <c r="H44" s="42" t="e">
        <f>预测利润表!I77*unit/1000000</f>
        <v>#VALUE!</v>
      </c>
      <c r="I44" s="1082" t="e">
        <f>预测利润表!J77*unit/1000000</f>
        <v>#VALUE!</v>
      </c>
      <c r="J44" s="51" t="s">
        <v>1882</v>
      </c>
      <c r="K44" s="43">
        <f>财务分析!G28</f>
        <v>8.6298259848162404E-2</v>
      </c>
      <c r="L44" s="43">
        <f>财务分析!H28</f>
        <v>0</v>
      </c>
      <c r="M44" s="43">
        <f>财务分析!I28</f>
        <v>0</v>
      </c>
      <c r="N44" s="1079">
        <f>财务分析!J28</f>
        <v>0</v>
      </c>
    </row>
    <row r="45" spans="5:14" ht="11.6">
      <c r="E45" s="41" t="s">
        <v>1883</v>
      </c>
      <c r="F45" s="42" t="e">
        <f>预测利润表!G51*unit/1000000</f>
        <v>#VALUE!</v>
      </c>
      <c r="G45" s="42">
        <f>预测利润表!H51*unit/1000000</f>
        <v>521.95518406420479</v>
      </c>
      <c r="H45" s="42" t="e">
        <f>预测利润表!I51*unit/1000000</f>
        <v>#VALUE!</v>
      </c>
      <c r="I45" s="1082" t="e">
        <f>预测利润表!J51*unit/1000000</f>
        <v>#VALUE!</v>
      </c>
      <c r="J45" s="51" t="s">
        <v>1884</v>
      </c>
      <c r="K45" s="43">
        <f>财务分析!G29</f>
        <v>7.3630316455671377E-2</v>
      </c>
      <c r="L45" s="43">
        <f>财务分析!H29</f>
        <v>0</v>
      </c>
      <c r="M45" s="43">
        <f>财务分析!I29</f>
        <v>0</v>
      </c>
      <c r="N45" s="1079">
        <f>财务分析!J29</f>
        <v>0</v>
      </c>
    </row>
    <row r="46" spans="5:14">
      <c r="E46" s="41" t="s">
        <v>1885</v>
      </c>
      <c r="F46" s="42">
        <f ca="1">财务分析!G77</f>
        <v>0</v>
      </c>
      <c r="G46" s="42">
        <f ca="1">财务分析!H77</f>
        <v>0</v>
      </c>
      <c r="H46" s="42">
        <f ca="1">财务分析!I77</f>
        <v>0</v>
      </c>
      <c r="I46" s="1082">
        <f ca="1">财务分析!J77</f>
        <v>0</v>
      </c>
      <c r="J46" s="51" t="s">
        <v>1886</v>
      </c>
      <c r="K46" s="43">
        <f>财务分析!G30</f>
        <v>0.15958549414148612</v>
      </c>
      <c r="L46" s="43">
        <f>财务分析!H30</f>
        <v>0</v>
      </c>
      <c r="M46" s="43">
        <f>财务分析!I30</f>
        <v>0</v>
      </c>
      <c r="N46" s="1079">
        <f>财务分析!J30</f>
        <v>0</v>
      </c>
    </row>
    <row r="47" spans="5:14">
      <c r="E47" s="41" t="s">
        <v>1887</v>
      </c>
      <c r="F47" s="42">
        <f ca="1">财务分析!G79</f>
        <v>0</v>
      </c>
      <c r="G47" s="42">
        <f ca="1">财务分析!H79</f>
        <v>0</v>
      </c>
      <c r="H47" s="42">
        <f ca="1">财务分析!I79</f>
        <v>0</v>
      </c>
      <c r="I47" s="1082">
        <f ca="1">财务分析!J79</f>
        <v>0</v>
      </c>
      <c r="J47" s="58" t="s">
        <v>1888</v>
      </c>
      <c r="K47" s="42"/>
      <c r="L47" s="42"/>
      <c r="M47" s="42"/>
      <c r="N47" s="1078"/>
    </row>
    <row r="48" spans="5:14" ht="11.6">
      <c r="E48" s="41" t="s">
        <v>1889</v>
      </c>
      <c r="F48" s="42">
        <f ca="1">财务分析!G87</f>
        <v>0</v>
      </c>
      <c r="G48" s="42">
        <f ca="1">财务分析!H87</f>
        <v>0</v>
      </c>
      <c r="H48" s="42">
        <f ca="1">财务分析!I87</f>
        <v>0</v>
      </c>
      <c r="I48" s="1082">
        <f ca="1">财务分析!J87</f>
        <v>0</v>
      </c>
      <c r="J48" s="51" t="s">
        <v>1890</v>
      </c>
      <c r="K48" s="43">
        <f>财务分析!G54</f>
        <v>0.12644723917957848</v>
      </c>
      <c r="L48" s="43">
        <f>财务分析!H54</f>
        <v>0</v>
      </c>
      <c r="M48" s="43">
        <f>财务分析!I54</f>
        <v>0</v>
      </c>
      <c r="N48" s="1079">
        <f>财务分析!J54</f>
        <v>0</v>
      </c>
    </row>
    <row r="49" spans="5:14" ht="11.6">
      <c r="E49" s="41" t="s">
        <v>1891</v>
      </c>
      <c r="F49" s="42">
        <f ca="1">财务分析!G88</f>
        <v>0</v>
      </c>
      <c r="G49" s="42">
        <f ca="1">财务分析!H88</f>
        <v>0</v>
      </c>
      <c r="H49" s="42">
        <f ca="1">财务分析!I88</f>
        <v>0</v>
      </c>
      <c r="I49" s="1082">
        <f ca="1">财务分析!J88</f>
        <v>0</v>
      </c>
      <c r="J49" s="51" t="s">
        <v>1892</v>
      </c>
      <c r="K49" s="43">
        <f>财务分析!G58</f>
        <v>0.8388725383427581</v>
      </c>
      <c r="L49" s="43">
        <f>财务分析!H58</f>
        <v>0</v>
      </c>
      <c r="M49" s="43">
        <f>财务分析!I58</f>
        <v>0</v>
      </c>
      <c r="N49" s="1079">
        <f>财务分析!J58</f>
        <v>0</v>
      </c>
    </row>
    <row r="50" spans="5:14">
      <c r="E50" s="41" t="s">
        <v>1893</v>
      </c>
      <c r="F50" s="42">
        <f ca="1">财务分析!G89</f>
        <v>0</v>
      </c>
      <c r="G50" s="42">
        <f ca="1">财务分析!H89</f>
        <v>0</v>
      </c>
      <c r="H50" s="42">
        <f ca="1">财务分析!I89</f>
        <v>0</v>
      </c>
      <c r="I50" s="1082">
        <f ca="1">财务分析!J89</f>
        <v>0</v>
      </c>
      <c r="J50" s="51" t="s">
        <v>1894</v>
      </c>
      <c r="K50" s="43">
        <f>财务分析!G55</f>
        <v>9.542920989271704E-2</v>
      </c>
      <c r="L50" s="43">
        <f>财务分析!H55</f>
        <v>0</v>
      </c>
      <c r="M50" s="43">
        <f>财务分析!I55</f>
        <v>0</v>
      </c>
      <c r="N50" s="1079">
        <f>财务分析!J55</f>
        <v>0</v>
      </c>
    </row>
    <row r="51" spans="5:14" ht="11.6">
      <c r="E51" s="41" t="s">
        <v>1895</v>
      </c>
      <c r="F51" s="42">
        <f ca="1">财务分析!G90</f>
        <v>0</v>
      </c>
      <c r="G51" s="42">
        <f ca="1">财务分析!H90</f>
        <v>0</v>
      </c>
      <c r="H51" s="42">
        <f ca="1">财务分析!I90</f>
        <v>0</v>
      </c>
      <c r="I51" s="1082">
        <f ca="1">财务分析!J90</f>
        <v>0</v>
      </c>
      <c r="J51" s="51" t="s">
        <v>1896</v>
      </c>
      <c r="K51" s="42">
        <f>财务分析!G65</f>
        <v>2.7780148063849954</v>
      </c>
      <c r="L51" s="42">
        <f>财务分析!H65</f>
        <v>0</v>
      </c>
      <c r="M51" s="42">
        <f>财务分析!I65</f>
        <v>0</v>
      </c>
      <c r="N51" s="1078">
        <f>财务分析!J65</f>
        <v>0</v>
      </c>
    </row>
    <row r="52" spans="5:14" ht="11.6">
      <c r="E52" s="41" t="s">
        <v>1897</v>
      </c>
      <c r="F52" s="42">
        <f>财务分析!G94</f>
        <v>0</v>
      </c>
      <c r="G52" s="42">
        <f>财务分析!H94</f>
        <v>0</v>
      </c>
      <c r="H52" s="42">
        <f>财务分析!I94</f>
        <v>0</v>
      </c>
      <c r="I52" s="1082">
        <f>财务分析!J94</f>
        <v>0</v>
      </c>
      <c r="J52" s="51" t="s">
        <v>1898</v>
      </c>
      <c r="K52" s="42">
        <f>财务分析!G66</f>
        <v>2.0540537200970452</v>
      </c>
      <c r="L52" s="42">
        <f>财务分析!H66</f>
        <v>0</v>
      </c>
      <c r="M52" s="42">
        <f>财务分析!I66</f>
        <v>0</v>
      </c>
      <c r="N52" s="1078">
        <f>财务分析!J66</f>
        <v>0</v>
      </c>
    </row>
    <row r="53" spans="5:14" ht="11.6">
      <c r="E53" s="41" t="s">
        <v>1899</v>
      </c>
      <c r="F53" s="42">
        <f>财务分析!G95</f>
        <v>0</v>
      </c>
      <c r="G53" s="42">
        <f>财务分析!H95</f>
        <v>0</v>
      </c>
      <c r="H53" s="42">
        <f>财务分析!I95</f>
        <v>0</v>
      </c>
      <c r="I53" s="1082">
        <f>财务分析!J95</f>
        <v>0</v>
      </c>
      <c r="J53" s="51" t="s">
        <v>1900</v>
      </c>
      <c r="K53" s="43">
        <f>财务分析!G59</f>
        <v>0</v>
      </c>
      <c r="L53" s="43">
        <f>财务分析!H59</f>
        <v>0</v>
      </c>
      <c r="M53" s="43">
        <f>财务分析!I59</f>
        <v>0</v>
      </c>
      <c r="N53" s="1079">
        <f>财务分析!J59</f>
        <v>0</v>
      </c>
    </row>
    <row r="54" spans="5:14" ht="11.6">
      <c r="E54" s="41" t="s">
        <v>1901</v>
      </c>
      <c r="F54" s="42">
        <f>财务分析!G96</f>
        <v>0</v>
      </c>
      <c r="G54" s="42">
        <f>财务分析!H96</f>
        <v>0</v>
      </c>
      <c r="H54" s="42">
        <f>财务分析!I96</f>
        <v>0</v>
      </c>
      <c r="I54" s="1082">
        <f>财务分析!J96</f>
        <v>0</v>
      </c>
      <c r="J54" s="51" t="s">
        <v>1902</v>
      </c>
      <c r="K54" s="43">
        <f>财务分析!G60</f>
        <v>1</v>
      </c>
      <c r="L54" s="43">
        <f>财务分析!H60</f>
        <v>1</v>
      </c>
      <c r="M54" s="43">
        <f>财务分析!I60</f>
        <v>1</v>
      </c>
      <c r="N54" s="1079">
        <f>财务分析!J60</f>
        <v>1</v>
      </c>
    </row>
    <row r="55" spans="5:14">
      <c r="E55" s="41" t="s">
        <v>1903</v>
      </c>
      <c r="F55" s="42">
        <f>财务分析!G97</f>
        <v>-2.7149988894356776E-2</v>
      </c>
      <c r="G55" s="42">
        <f>财务分析!H97</f>
        <v>0</v>
      </c>
      <c r="H55" s="42">
        <f>财务分析!I97</f>
        <v>0</v>
      </c>
      <c r="I55" s="1082">
        <f>财务分析!J97</f>
        <v>0</v>
      </c>
      <c r="J55" s="58" t="s">
        <v>1904</v>
      </c>
      <c r="K55" s="42"/>
      <c r="L55" s="42"/>
      <c r="M55" s="42"/>
      <c r="N55" s="1078"/>
    </row>
    <row r="56" spans="5:14" ht="11.6">
      <c r="E56" s="41" t="s">
        <v>1905</v>
      </c>
      <c r="F56" s="43">
        <f>财务分析!G50</f>
        <v>-0.11134983598256103</v>
      </c>
      <c r="G56" s="43">
        <f>财务分析!H50</f>
        <v>2.5907413364459994E-2</v>
      </c>
      <c r="H56" s="43">
        <f>财务分析!I50</f>
        <v>-0.11134983598256103</v>
      </c>
      <c r="I56" s="1088">
        <f>财务分析!J50</f>
        <v>-0.11134983598256103</v>
      </c>
      <c r="J56" s="51" t="s">
        <v>1906</v>
      </c>
      <c r="K56" s="42">
        <f>财务分析!G49</f>
        <v>0.49309054468559177</v>
      </c>
      <c r="L56" s="42">
        <f>财务分析!H49</f>
        <v>0</v>
      </c>
      <c r="M56" s="42">
        <f>财务分析!I49</f>
        <v>0</v>
      </c>
      <c r="N56" s="1078">
        <f>财务分析!J49</f>
        <v>0</v>
      </c>
    </row>
    <row r="57" spans="5:14" ht="11.6">
      <c r="E57" s="41" t="s">
        <v>1907</v>
      </c>
      <c r="F57" s="42">
        <f ca="1">财务分析!G91</f>
        <v>0</v>
      </c>
      <c r="G57" s="42">
        <f ca="1">财务分析!H91</f>
        <v>0</v>
      </c>
      <c r="H57" s="42">
        <f ca="1">财务分析!I91</f>
        <v>0</v>
      </c>
      <c r="I57" s="1082">
        <f ca="1">财务分析!J91</f>
        <v>0</v>
      </c>
      <c r="J57" s="51" t="s">
        <v>1908</v>
      </c>
      <c r="K57" s="42">
        <f>财务分析!G48</f>
        <v>1.0036223163612534</v>
      </c>
      <c r="L57" s="42">
        <f>财务分析!H48</f>
        <v>0</v>
      </c>
      <c r="M57" s="42">
        <f>财务分析!I48</f>
        <v>0</v>
      </c>
      <c r="N57" s="1078">
        <f>财务分析!J48</f>
        <v>0</v>
      </c>
    </row>
    <row r="58" spans="5:14" ht="11.6">
      <c r="E58" s="41"/>
      <c r="F58" s="44"/>
      <c r="G58" s="44"/>
      <c r="H58" s="44"/>
      <c r="I58" s="1085"/>
      <c r="J58" s="51" t="s">
        <v>1909</v>
      </c>
      <c r="K58" s="42">
        <f>财务分析!G47</f>
        <v>2.5058659199465669</v>
      </c>
      <c r="L58" s="42">
        <f>财务分析!H47</f>
        <v>2.5058659199465669</v>
      </c>
      <c r="M58" s="42">
        <f>财务分析!I47</f>
        <v>2.5058659199465669</v>
      </c>
      <c r="N58" s="1078">
        <f>财务分析!J47</f>
        <v>2.5058659199465665</v>
      </c>
    </row>
    <row r="59" spans="5:14" ht="11.6">
      <c r="E59" s="45"/>
      <c r="F59" s="46"/>
      <c r="G59" s="46"/>
      <c r="H59" s="46"/>
      <c r="I59" s="1089"/>
      <c r="J59" s="59" t="s">
        <v>1910</v>
      </c>
      <c r="K59" s="60">
        <f>财务分析!G46</f>
        <v>3.6806138483118422</v>
      </c>
      <c r="L59" s="60">
        <f>财务分析!H46</f>
        <v>3.6806138483118418</v>
      </c>
      <c r="M59" s="60">
        <f>财务分析!I46</f>
        <v>3.6806138483118422</v>
      </c>
      <c r="N59" s="1093">
        <f>财务分析!J46</f>
        <v>3.6806138483118422</v>
      </c>
    </row>
    <row r="60" spans="5:14">
      <c r="E60" s="15"/>
      <c r="F60" s="15"/>
      <c r="G60" s="15"/>
      <c r="H60" s="15"/>
      <c r="I60" s="44"/>
      <c r="J60" s="15"/>
      <c r="K60" s="15"/>
      <c r="L60" s="15"/>
      <c r="M60" s="15"/>
      <c r="N60" s="15"/>
    </row>
    <row r="61" spans="5:14" ht="13">
      <c r="E61" s="15"/>
      <c r="F61" s="15"/>
      <c r="G61" s="15"/>
      <c r="H61" s="15"/>
      <c r="I61" s="44"/>
      <c r="J61" s="61"/>
      <c r="K61" s="15"/>
      <c r="L61" s="44"/>
      <c r="M61" s="62"/>
      <c r="N61" s="63"/>
    </row>
    <row r="62" spans="5:14" ht="13">
      <c r="E62" s="15"/>
      <c r="F62" s="15"/>
      <c r="G62" s="15"/>
      <c r="H62" s="15"/>
      <c r="I62" s="44"/>
      <c r="J62" s="64"/>
      <c r="K62" s="15"/>
      <c r="L62" s="44"/>
      <c r="M62" s="62"/>
      <c r="N62" s="63"/>
    </row>
    <row r="63" spans="5:14" ht="13">
      <c r="E63" s="15"/>
      <c r="F63" s="15"/>
      <c r="G63" s="15"/>
      <c r="H63" s="15"/>
      <c r="I63" s="44"/>
      <c r="J63" s="65"/>
      <c r="K63" s="44"/>
      <c r="L63" s="44"/>
      <c r="M63" s="62"/>
      <c r="N63" s="66"/>
    </row>
    <row r="64" spans="5:14">
      <c r="E64" s="44"/>
      <c r="F64" s="44"/>
      <c r="G64" s="44"/>
      <c r="H64" s="44"/>
      <c r="I64" s="44"/>
      <c r="J64" s="44"/>
      <c r="K64" s="44"/>
      <c r="L64" s="44"/>
      <c r="M64" s="44"/>
      <c r="N64" s="44"/>
    </row>
    <row r="65" spans="9:9" s="15" customFormat="1">
      <c r="I65" s="44"/>
    </row>
    <row r="66" spans="9:9" s="15" customFormat="1">
      <c r="I66" s="44"/>
    </row>
    <row r="67" spans="9:9" s="15" customFormat="1">
      <c r="I67" s="44"/>
    </row>
    <row r="68" spans="9:9" s="15" customFormat="1">
      <c r="I68" s="44"/>
    </row>
    <row r="69" spans="9:9" s="15" customFormat="1">
      <c r="I69" s="44"/>
    </row>
    <row r="70" spans="9:9" s="15" customFormat="1">
      <c r="I70" s="44"/>
    </row>
    <row r="71" spans="9:9" s="15" customFormat="1">
      <c r="I71" s="44"/>
    </row>
    <row r="72" spans="9:9" s="15" customFormat="1">
      <c r="I72" s="44"/>
    </row>
    <row r="73" spans="9:9" s="15" customFormat="1">
      <c r="I73" s="44"/>
    </row>
    <row r="74" spans="9:9" s="15" customFormat="1">
      <c r="I74" s="44"/>
    </row>
    <row r="75" spans="9:9" s="15" customFormat="1">
      <c r="I75" s="44"/>
    </row>
    <row r="76" spans="9:9" s="15" customFormat="1">
      <c r="I76" s="44"/>
    </row>
    <row r="77" spans="9:9" s="15" customFormat="1">
      <c r="I77" s="44"/>
    </row>
    <row r="78" spans="9:9" s="15" customFormat="1">
      <c r="I78" s="44"/>
    </row>
    <row r="79" spans="9:9" s="15" customFormat="1">
      <c r="I79" s="44"/>
    </row>
    <row r="80" spans="9:9" s="15" customFormat="1">
      <c r="I80" s="44"/>
    </row>
    <row r="81" spans="9:9" s="15" customFormat="1">
      <c r="I81" s="44"/>
    </row>
    <row r="82" spans="9:9" s="15" customFormat="1">
      <c r="I82" s="44"/>
    </row>
    <row r="83" spans="9:9" s="15" customFormat="1">
      <c r="I83" s="44"/>
    </row>
    <row r="84" spans="9:9" s="15" customFormat="1">
      <c r="I84" s="44"/>
    </row>
    <row r="85" spans="9:9" s="15" customFormat="1">
      <c r="I85" s="44"/>
    </row>
    <row r="86" spans="9:9" s="15" customFormat="1">
      <c r="I86" s="44"/>
    </row>
    <row r="87" spans="9:9" s="15" customFormat="1">
      <c r="I87" s="44"/>
    </row>
    <row r="88" spans="9:9" s="15" customFormat="1">
      <c r="I88" s="44"/>
    </row>
    <row r="89" spans="9:9" s="15" customFormat="1">
      <c r="I89" s="44"/>
    </row>
    <row r="90" spans="9:9" s="15" customFormat="1">
      <c r="I90" s="44"/>
    </row>
    <row r="91" spans="9:9" s="15" customFormat="1">
      <c r="I91" s="44"/>
    </row>
    <row r="92" spans="9:9" s="15" customFormat="1">
      <c r="I92" s="44"/>
    </row>
    <row r="93" spans="9:9" s="15" customFormat="1">
      <c r="I93" s="44"/>
    </row>
    <row r="94" spans="9:9" s="15" customFormat="1">
      <c r="I94" s="44"/>
    </row>
    <row r="95" spans="9:9" s="15" customFormat="1">
      <c r="I95" s="44"/>
    </row>
    <row r="96" spans="9:9" s="15" customFormat="1">
      <c r="I96" s="44"/>
    </row>
    <row r="97" spans="9:9" s="15" customFormat="1">
      <c r="I97" s="44"/>
    </row>
    <row r="98" spans="9:9" s="15" customFormat="1">
      <c r="I98" s="44"/>
    </row>
    <row r="99" spans="9:9" s="15" customFormat="1">
      <c r="I99" s="44"/>
    </row>
    <row r="100" spans="9:9" s="15" customFormat="1">
      <c r="I100" s="44"/>
    </row>
    <row r="101" spans="9:9" s="15" customFormat="1">
      <c r="I101" s="44"/>
    </row>
    <row r="102" spans="9:9" s="15" customFormat="1">
      <c r="I102" s="44"/>
    </row>
    <row r="103" spans="9:9" s="15" customFormat="1">
      <c r="I103" s="44"/>
    </row>
    <row r="104" spans="9:9" s="15" customFormat="1">
      <c r="I104" s="44"/>
    </row>
    <row r="105" spans="9:9" s="15" customFormat="1">
      <c r="I105" s="44"/>
    </row>
    <row r="106" spans="9:9" s="15" customFormat="1">
      <c r="I106" s="44"/>
    </row>
    <row r="107" spans="9:9" s="15" customFormat="1">
      <c r="I107" s="44"/>
    </row>
    <row r="108" spans="9:9" s="15" customFormat="1">
      <c r="I108" s="44"/>
    </row>
    <row r="109" spans="9:9" s="15" customFormat="1">
      <c r="I109" s="44"/>
    </row>
    <row r="110" spans="9:9" s="15" customFormat="1">
      <c r="I110" s="44"/>
    </row>
    <row r="111" spans="9:9" s="15" customFormat="1">
      <c r="I111" s="44"/>
    </row>
    <row r="112" spans="9:9" s="15" customFormat="1">
      <c r="I112" s="44"/>
    </row>
    <row r="113" spans="9:9" s="15" customFormat="1">
      <c r="I113" s="44"/>
    </row>
    <row r="114" spans="9:9" s="15" customFormat="1">
      <c r="I114" s="44"/>
    </row>
    <row r="115" spans="9:9" s="15" customFormat="1">
      <c r="I115" s="44"/>
    </row>
    <row r="116" spans="9:9" s="15" customFormat="1">
      <c r="I116" s="44"/>
    </row>
    <row r="117" spans="9:9" s="15" customFormat="1">
      <c r="I117" s="44"/>
    </row>
    <row r="118" spans="9:9" s="15" customFormat="1">
      <c r="I118" s="44"/>
    </row>
    <row r="119" spans="9:9" s="15" customFormat="1">
      <c r="I119" s="44"/>
    </row>
    <row r="120" spans="9:9" s="15" customFormat="1">
      <c r="I120" s="44"/>
    </row>
    <row r="121" spans="9:9" s="15" customFormat="1">
      <c r="I121" s="44"/>
    </row>
    <row r="122" spans="9:9" s="15" customFormat="1">
      <c r="I122" s="44"/>
    </row>
    <row r="123" spans="9:9" s="15" customFormat="1">
      <c r="I123" s="44"/>
    </row>
    <row r="124" spans="9:9" s="15" customFormat="1">
      <c r="I124" s="44"/>
    </row>
    <row r="125" spans="9:9" s="15" customFormat="1">
      <c r="I125" s="44"/>
    </row>
    <row r="126" spans="9:9" s="15" customFormat="1">
      <c r="I126" s="44"/>
    </row>
    <row r="127" spans="9:9" s="15" customFormat="1">
      <c r="I127" s="44"/>
    </row>
    <row r="128" spans="9:9" s="15" customFormat="1">
      <c r="I128" s="44"/>
    </row>
    <row r="129" spans="9:9" s="15" customFormat="1">
      <c r="I129" s="44"/>
    </row>
    <row r="130" spans="9:9" s="15" customFormat="1">
      <c r="I130" s="44"/>
    </row>
    <row r="131" spans="9:9" s="15" customFormat="1">
      <c r="I131" s="44"/>
    </row>
    <row r="132" spans="9:9" s="15" customFormat="1">
      <c r="I132" s="44"/>
    </row>
    <row r="133" spans="9:9" s="15" customFormat="1">
      <c r="I133" s="44"/>
    </row>
    <row r="134" spans="9:9" s="15" customFormat="1">
      <c r="I134" s="44"/>
    </row>
    <row r="135" spans="9:9" s="15" customFormat="1">
      <c r="I135" s="44"/>
    </row>
    <row r="136" spans="9:9" s="15" customFormat="1">
      <c r="I136" s="44"/>
    </row>
    <row r="137" spans="9:9" s="15" customFormat="1">
      <c r="I137" s="44"/>
    </row>
    <row r="138" spans="9:9" s="15" customFormat="1">
      <c r="I138" s="44"/>
    </row>
    <row r="139" spans="9:9" s="15" customFormat="1">
      <c r="I139" s="44"/>
    </row>
    <row r="140" spans="9:9" s="15" customFormat="1">
      <c r="I140" s="44"/>
    </row>
    <row r="141" spans="9:9" s="15" customFormat="1">
      <c r="I141" s="44"/>
    </row>
    <row r="142" spans="9:9" s="15" customFormat="1">
      <c r="I142" s="44"/>
    </row>
    <row r="143" spans="9:9" s="15" customFormat="1">
      <c r="I143" s="44"/>
    </row>
    <row r="144" spans="9:9" s="15" customFormat="1">
      <c r="I144" s="44"/>
    </row>
    <row r="145" spans="9:9" s="15" customFormat="1">
      <c r="I145" s="44"/>
    </row>
    <row r="146" spans="9:9" s="15" customFormat="1">
      <c r="I146" s="44"/>
    </row>
    <row r="147" spans="9:9" s="15" customFormat="1">
      <c r="I147" s="44"/>
    </row>
    <row r="148" spans="9:9" s="15" customFormat="1">
      <c r="I148" s="44"/>
    </row>
    <row r="149" spans="9:9" s="15" customFormat="1">
      <c r="I149" s="44"/>
    </row>
    <row r="150" spans="9:9" s="15" customFormat="1">
      <c r="I150" s="44"/>
    </row>
    <row r="151" spans="9:9" s="15" customFormat="1">
      <c r="I151" s="44"/>
    </row>
    <row r="152" spans="9:9" s="15" customFormat="1">
      <c r="I152" s="44"/>
    </row>
    <row r="153" spans="9:9" s="15" customFormat="1">
      <c r="I153" s="44"/>
    </row>
    <row r="154" spans="9:9" s="15" customFormat="1">
      <c r="I154" s="44"/>
    </row>
    <row r="155" spans="9:9" s="15" customFormat="1">
      <c r="I155" s="44"/>
    </row>
    <row r="156" spans="9:9" s="15" customFormat="1">
      <c r="I156" s="44"/>
    </row>
    <row r="157" spans="9:9" s="15" customFormat="1">
      <c r="I157" s="44"/>
    </row>
    <row r="158" spans="9:9" s="15" customFormat="1">
      <c r="I158" s="44"/>
    </row>
    <row r="159" spans="9:9" s="15" customFormat="1">
      <c r="I159" s="44"/>
    </row>
    <row r="160" spans="9:9" s="15" customFormat="1">
      <c r="I160" s="44"/>
    </row>
    <row r="161" spans="9:9" s="15" customFormat="1">
      <c r="I161" s="44"/>
    </row>
    <row r="162" spans="9:9" s="15" customFormat="1">
      <c r="I162" s="44"/>
    </row>
    <row r="163" spans="9:9" s="15" customFormat="1">
      <c r="I163" s="44"/>
    </row>
    <row r="164" spans="9:9" s="15" customFormat="1">
      <c r="I164" s="44"/>
    </row>
    <row r="165" spans="9:9" s="15" customFormat="1">
      <c r="I165" s="44"/>
    </row>
    <row r="166" spans="9:9" s="15" customFormat="1">
      <c r="I166" s="44"/>
    </row>
    <row r="167" spans="9:9" s="15" customFormat="1">
      <c r="I167" s="44"/>
    </row>
    <row r="168" spans="9:9" s="15" customFormat="1">
      <c r="I168" s="44"/>
    </row>
    <row r="169" spans="9:9" s="15" customFormat="1">
      <c r="I169" s="44"/>
    </row>
    <row r="170" spans="9:9" s="15" customFormat="1">
      <c r="I170" s="44"/>
    </row>
    <row r="171" spans="9:9" s="15" customFormat="1">
      <c r="I171" s="44"/>
    </row>
    <row r="172" spans="9:9" s="15" customFormat="1">
      <c r="I172" s="44"/>
    </row>
    <row r="173" spans="9:9" s="15" customFormat="1">
      <c r="I173" s="44"/>
    </row>
    <row r="174" spans="9:9" s="15" customFormat="1">
      <c r="I174" s="44"/>
    </row>
    <row r="175" spans="9:9" s="15" customFormat="1">
      <c r="I175" s="44"/>
    </row>
    <row r="176" spans="9:9" s="15" customFormat="1">
      <c r="I176" s="44"/>
    </row>
    <row r="177" spans="9:9" s="15" customFormat="1">
      <c r="I177" s="44"/>
    </row>
    <row r="178" spans="9:9" s="15" customFormat="1">
      <c r="I178" s="44"/>
    </row>
    <row r="179" spans="9:9" s="15" customFormat="1">
      <c r="I179" s="44"/>
    </row>
    <row r="180" spans="9:9" s="15" customFormat="1">
      <c r="I180" s="44"/>
    </row>
    <row r="181" spans="9:9" s="15" customFormat="1">
      <c r="I181" s="44"/>
    </row>
    <row r="182" spans="9:9" s="15" customFormat="1">
      <c r="I182" s="44"/>
    </row>
    <row r="183" spans="9:9" s="15" customFormat="1">
      <c r="I183" s="44"/>
    </row>
    <row r="184" spans="9:9" s="15" customFormat="1">
      <c r="I184" s="44"/>
    </row>
    <row r="185" spans="9:9" s="15" customFormat="1">
      <c r="I185" s="44"/>
    </row>
    <row r="186" spans="9:9" s="15" customFormat="1">
      <c r="I186" s="44"/>
    </row>
    <row r="187" spans="9:9" s="15" customFormat="1">
      <c r="I187" s="44"/>
    </row>
    <row r="188" spans="9:9" s="15" customFormat="1">
      <c r="I188" s="44"/>
    </row>
    <row r="189" spans="9:9" s="15" customFormat="1">
      <c r="I189" s="44"/>
    </row>
    <row r="190" spans="9:9" s="15" customFormat="1">
      <c r="I190" s="44"/>
    </row>
    <row r="191" spans="9:9" s="15" customFormat="1">
      <c r="I191" s="44"/>
    </row>
    <row r="192" spans="9:9" s="15" customFormat="1">
      <c r="I192" s="44"/>
    </row>
    <row r="193" spans="9:9" s="15" customFormat="1">
      <c r="I193" s="44"/>
    </row>
    <row r="194" spans="9:9" s="15" customFormat="1">
      <c r="I194" s="44"/>
    </row>
    <row r="195" spans="9:9" s="15" customFormat="1">
      <c r="I195" s="44"/>
    </row>
    <row r="196" spans="9:9" s="15" customFormat="1">
      <c r="I196" s="44"/>
    </row>
    <row r="197" spans="9:9" s="15" customFormat="1">
      <c r="I197" s="44"/>
    </row>
    <row r="198" spans="9:9" s="15" customFormat="1">
      <c r="I198" s="44"/>
    </row>
    <row r="199" spans="9:9" s="15" customFormat="1">
      <c r="I199" s="44"/>
    </row>
    <row r="200" spans="9:9" s="15" customFormat="1">
      <c r="I200" s="44"/>
    </row>
    <row r="201" spans="9:9" s="15" customFormat="1">
      <c r="I201" s="44"/>
    </row>
    <row r="202" spans="9:9" s="15" customFormat="1">
      <c r="I202" s="44"/>
    </row>
    <row r="203" spans="9:9" s="15" customFormat="1">
      <c r="I203" s="44"/>
    </row>
    <row r="204" spans="9:9" s="15" customFormat="1">
      <c r="I204" s="44"/>
    </row>
    <row r="205" spans="9:9" s="15" customFormat="1">
      <c r="I205" s="44"/>
    </row>
    <row r="206" spans="9:9" s="15" customFormat="1">
      <c r="I206" s="44"/>
    </row>
    <row r="207" spans="9:9" s="15" customFormat="1">
      <c r="I207" s="44"/>
    </row>
    <row r="208" spans="9:9" s="15" customFormat="1">
      <c r="I208" s="44"/>
    </row>
    <row r="209" spans="9:9" s="15" customFormat="1">
      <c r="I209" s="44"/>
    </row>
    <row r="210" spans="9:9" s="15" customFormat="1">
      <c r="I210" s="44"/>
    </row>
    <row r="211" spans="9:9" s="15" customFormat="1">
      <c r="I211" s="44"/>
    </row>
    <row r="212" spans="9:9" s="15" customFormat="1">
      <c r="I212" s="44"/>
    </row>
    <row r="213" spans="9:9" s="15" customFormat="1">
      <c r="I213" s="44"/>
    </row>
    <row r="214" spans="9:9" s="15" customFormat="1">
      <c r="I214" s="44"/>
    </row>
    <row r="215" spans="9:9" s="15" customFormat="1">
      <c r="I215" s="44"/>
    </row>
    <row r="216" spans="9:9" s="15" customFormat="1">
      <c r="I216" s="44"/>
    </row>
    <row r="217" spans="9:9" s="15" customFormat="1">
      <c r="I217" s="44"/>
    </row>
    <row r="218" spans="9:9" s="15" customFormat="1">
      <c r="I218" s="44"/>
    </row>
    <row r="219" spans="9:9" s="15" customFormat="1">
      <c r="I219" s="44"/>
    </row>
    <row r="220" spans="9:9" s="15" customFormat="1">
      <c r="I220" s="44"/>
    </row>
    <row r="221" spans="9:9" s="15" customFormat="1">
      <c r="I221" s="44"/>
    </row>
    <row r="222" spans="9:9" s="15" customFormat="1">
      <c r="I222" s="44"/>
    </row>
    <row r="223" spans="9:9" s="15" customFormat="1">
      <c r="I223" s="44"/>
    </row>
    <row r="224" spans="9:9" s="15" customFormat="1">
      <c r="I224" s="44"/>
    </row>
    <row r="225" spans="9:9" s="15" customFormat="1">
      <c r="I225" s="44"/>
    </row>
    <row r="226" spans="9:9" s="15" customFormat="1">
      <c r="I226" s="44"/>
    </row>
    <row r="227" spans="9:9" s="15" customFormat="1">
      <c r="I227" s="44"/>
    </row>
    <row r="228" spans="9:9" s="15" customFormat="1">
      <c r="I228" s="44"/>
    </row>
    <row r="229" spans="9:9" s="15" customFormat="1">
      <c r="I229" s="44"/>
    </row>
    <row r="230" spans="9:9" s="15" customFormat="1">
      <c r="I230" s="44"/>
    </row>
    <row r="231" spans="9:9" s="15" customFormat="1">
      <c r="I231" s="44"/>
    </row>
    <row r="232" spans="9:9" s="15" customFormat="1">
      <c r="I232" s="44"/>
    </row>
    <row r="233" spans="9:9" s="15" customFormat="1">
      <c r="I233" s="44"/>
    </row>
    <row r="234" spans="9:9" s="15" customFormat="1">
      <c r="I234" s="44"/>
    </row>
    <row r="235" spans="9:9" s="15" customFormat="1">
      <c r="I235" s="44"/>
    </row>
    <row r="236" spans="9:9" s="15" customFormat="1">
      <c r="I236" s="44"/>
    </row>
    <row r="237" spans="9:9" s="15" customFormat="1">
      <c r="I237" s="44"/>
    </row>
    <row r="238" spans="9:9" s="15" customFormat="1">
      <c r="I238" s="44"/>
    </row>
    <row r="239" spans="9:9" s="15" customFormat="1">
      <c r="I239" s="44"/>
    </row>
    <row r="240" spans="9:9" s="15" customFormat="1">
      <c r="I240" s="44"/>
    </row>
    <row r="241" spans="9:9" s="15" customFormat="1">
      <c r="I241" s="44"/>
    </row>
    <row r="242" spans="9:9" s="15" customFormat="1">
      <c r="I242" s="44"/>
    </row>
    <row r="243" spans="9:9" s="15" customFormat="1">
      <c r="I243" s="44"/>
    </row>
    <row r="244" spans="9:9" s="15" customFormat="1">
      <c r="I244" s="44"/>
    </row>
    <row r="245" spans="9:9" s="15" customFormat="1">
      <c r="I245" s="44"/>
    </row>
    <row r="246" spans="9:9" s="15" customFormat="1">
      <c r="I246" s="44"/>
    </row>
    <row r="247" spans="9:9" s="15" customFormat="1">
      <c r="I247" s="44"/>
    </row>
    <row r="248" spans="9:9" s="15" customFormat="1">
      <c r="I248" s="44"/>
    </row>
    <row r="249" spans="9:9" s="15" customFormat="1">
      <c r="I249" s="44"/>
    </row>
    <row r="250" spans="9:9" s="15" customFormat="1">
      <c r="I250" s="44"/>
    </row>
    <row r="251" spans="9:9" s="15" customFormat="1">
      <c r="I251" s="44"/>
    </row>
    <row r="252" spans="9:9" s="15" customFormat="1">
      <c r="I252" s="44"/>
    </row>
    <row r="253" spans="9:9" s="15" customFormat="1">
      <c r="I253" s="44"/>
    </row>
    <row r="254" spans="9:9" s="15" customFormat="1">
      <c r="I254" s="44"/>
    </row>
    <row r="255" spans="9:9" s="15" customFormat="1">
      <c r="I255" s="44"/>
    </row>
    <row r="256" spans="9:9" s="15" customFormat="1">
      <c r="I256" s="44"/>
    </row>
    <row r="257" spans="9:9" s="15" customFormat="1">
      <c r="I257" s="44"/>
    </row>
    <row r="258" spans="9:9" s="15" customFormat="1">
      <c r="I258" s="44"/>
    </row>
    <row r="259" spans="9:9" s="15" customFormat="1">
      <c r="I259" s="44"/>
    </row>
    <row r="260" spans="9:9" s="15" customFormat="1">
      <c r="I260" s="44"/>
    </row>
    <row r="261" spans="9:9" s="15" customFormat="1">
      <c r="I261" s="44"/>
    </row>
    <row r="262" spans="9:9" s="15" customFormat="1">
      <c r="I262" s="44"/>
    </row>
    <row r="263" spans="9:9" s="15" customFormat="1">
      <c r="I263" s="44"/>
    </row>
    <row r="264" spans="9:9" s="15" customFormat="1">
      <c r="I264" s="44"/>
    </row>
    <row r="265" spans="9:9" s="15" customFormat="1">
      <c r="I265" s="44"/>
    </row>
    <row r="266" spans="9:9" s="15" customFormat="1">
      <c r="I266" s="44"/>
    </row>
    <row r="267" spans="9:9" s="15" customFormat="1">
      <c r="I267" s="44"/>
    </row>
    <row r="268" spans="9:9" s="15" customFormat="1">
      <c r="I268" s="44"/>
    </row>
    <row r="269" spans="9:9" s="15" customFormat="1">
      <c r="I269" s="44"/>
    </row>
    <row r="270" spans="9:9" s="15" customFormat="1">
      <c r="I270" s="44"/>
    </row>
    <row r="271" spans="9:9" s="15" customFormat="1">
      <c r="I271" s="44"/>
    </row>
    <row r="272" spans="9:9" s="15" customFormat="1">
      <c r="I272" s="44"/>
    </row>
    <row r="273" spans="9:9" s="15" customFormat="1">
      <c r="I273" s="44"/>
    </row>
    <row r="274" spans="9:9" s="15" customFormat="1">
      <c r="I274" s="44"/>
    </row>
    <row r="275" spans="9:9" s="15" customFormat="1">
      <c r="I275" s="44"/>
    </row>
    <row r="276" spans="9:9" s="15" customFormat="1">
      <c r="I276" s="44"/>
    </row>
    <row r="277" spans="9:9" s="15" customFormat="1">
      <c r="I277" s="44"/>
    </row>
    <row r="278" spans="9:9" s="15" customFormat="1">
      <c r="I278" s="44"/>
    </row>
    <row r="279" spans="9:9" s="15" customFormat="1">
      <c r="I279" s="44"/>
    </row>
    <row r="280" spans="9:9" s="15" customFormat="1">
      <c r="I280" s="44"/>
    </row>
    <row r="281" spans="9:9" s="15" customFormat="1">
      <c r="I281" s="44"/>
    </row>
    <row r="282" spans="9:9" s="15" customFormat="1">
      <c r="I282" s="44"/>
    </row>
    <row r="283" spans="9:9" s="15" customFormat="1">
      <c r="I283" s="44"/>
    </row>
    <row r="284" spans="9:9" s="15" customFormat="1">
      <c r="I284" s="44"/>
    </row>
    <row r="285" spans="9:9" s="15" customFormat="1">
      <c r="I285" s="44"/>
    </row>
    <row r="286" spans="9:9" s="15" customFormat="1">
      <c r="I286" s="44"/>
    </row>
    <row r="287" spans="9:9" s="15" customFormat="1">
      <c r="I287" s="44"/>
    </row>
    <row r="288" spans="9:9" s="15" customFormat="1">
      <c r="I288" s="44"/>
    </row>
    <row r="289" spans="9:9" s="15" customFormat="1">
      <c r="I289" s="44"/>
    </row>
    <row r="290" spans="9:9" s="15" customFormat="1">
      <c r="I290" s="44"/>
    </row>
    <row r="291" spans="9:9" s="15" customFormat="1">
      <c r="I291" s="44"/>
    </row>
    <row r="292" spans="9:9" s="15" customFormat="1">
      <c r="I292" s="44"/>
    </row>
    <row r="293" spans="9:9" s="15" customFormat="1">
      <c r="I293" s="44"/>
    </row>
    <row r="294" spans="9:9" s="15" customFormat="1">
      <c r="I294" s="44"/>
    </row>
    <row r="295" spans="9:9" s="15" customFormat="1">
      <c r="I295" s="44"/>
    </row>
    <row r="296" spans="9:9" s="15" customFormat="1">
      <c r="I296" s="44"/>
    </row>
    <row r="297" spans="9:9" s="15" customFormat="1">
      <c r="I297" s="44"/>
    </row>
    <row r="298" spans="9:9" s="15" customFormat="1">
      <c r="I298" s="44"/>
    </row>
    <row r="299" spans="9:9" s="15" customFormat="1">
      <c r="I299" s="44"/>
    </row>
    <row r="300" spans="9:9" s="15" customFormat="1">
      <c r="I300" s="44"/>
    </row>
    <row r="301" spans="9:9" s="15" customFormat="1">
      <c r="I301" s="44"/>
    </row>
    <row r="302" spans="9:9" s="15" customFormat="1">
      <c r="I302" s="44"/>
    </row>
    <row r="303" spans="9:9" s="15" customFormat="1">
      <c r="I303" s="44"/>
    </row>
    <row r="304" spans="9:9" s="15" customFormat="1">
      <c r="I304" s="44"/>
    </row>
    <row r="305" spans="9:9" s="15" customFormat="1">
      <c r="I305" s="44"/>
    </row>
    <row r="306" spans="9:9" s="15" customFormat="1">
      <c r="I306" s="44"/>
    </row>
    <row r="307" spans="9:9" s="15" customFormat="1">
      <c r="I307" s="44"/>
    </row>
    <row r="308" spans="9:9" s="15" customFormat="1">
      <c r="I308" s="44"/>
    </row>
    <row r="309" spans="9:9" s="15" customFormat="1">
      <c r="I309" s="44"/>
    </row>
    <row r="310" spans="9:9" s="15" customFormat="1">
      <c r="I310" s="44"/>
    </row>
    <row r="311" spans="9:9" s="15" customFormat="1">
      <c r="I311" s="44"/>
    </row>
    <row r="312" spans="9:9" s="15" customFormat="1">
      <c r="I312" s="44"/>
    </row>
    <row r="313" spans="9:9" s="15" customFormat="1">
      <c r="I313" s="44"/>
    </row>
    <row r="314" spans="9:9" s="15" customFormat="1">
      <c r="I314" s="44"/>
    </row>
    <row r="315" spans="9:9" s="15" customFormat="1">
      <c r="I315" s="44"/>
    </row>
    <row r="316" spans="9:9" s="15" customFormat="1">
      <c r="I316" s="44"/>
    </row>
    <row r="317" spans="9:9" s="15" customFormat="1">
      <c r="I317" s="44"/>
    </row>
    <row r="318" spans="9:9" s="15" customFormat="1">
      <c r="I318" s="44"/>
    </row>
    <row r="319" spans="9:9" s="15" customFormat="1">
      <c r="I319" s="44"/>
    </row>
    <row r="320" spans="9:9" s="15" customFormat="1">
      <c r="I320" s="44"/>
    </row>
    <row r="321" spans="9:9" s="15" customFormat="1">
      <c r="I321" s="44"/>
    </row>
    <row r="322" spans="9:9" s="15" customFormat="1">
      <c r="I322" s="44"/>
    </row>
    <row r="323" spans="9:9" s="15" customFormat="1">
      <c r="I323" s="44"/>
    </row>
    <row r="324" spans="9:9" s="15" customFormat="1">
      <c r="I324" s="44"/>
    </row>
    <row r="325" spans="9:9" s="15" customFormat="1">
      <c r="I325" s="44"/>
    </row>
    <row r="326" spans="9:9" s="15" customFormat="1">
      <c r="I326" s="44"/>
    </row>
    <row r="327" spans="9:9" s="15" customFormat="1">
      <c r="I327" s="44"/>
    </row>
    <row r="328" spans="9:9" s="15" customFormat="1">
      <c r="I328" s="44"/>
    </row>
    <row r="329" spans="9:9" s="15" customFormat="1">
      <c r="I329" s="44"/>
    </row>
    <row r="330" spans="9:9" s="15" customFormat="1">
      <c r="I330" s="44"/>
    </row>
    <row r="331" spans="9:9" s="15" customFormat="1">
      <c r="I331" s="44"/>
    </row>
    <row r="332" spans="9:9" s="15" customFormat="1">
      <c r="I332" s="44"/>
    </row>
    <row r="333" spans="9:9" s="15" customFormat="1">
      <c r="I333" s="44"/>
    </row>
    <row r="334" spans="9:9" s="15" customFormat="1">
      <c r="I334" s="44"/>
    </row>
    <row r="335" spans="9:9" s="15" customFormat="1">
      <c r="I335" s="44"/>
    </row>
    <row r="336" spans="9:9" s="15" customFormat="1">
      <c r="I336" s="44"/>
    </row>
    <row r="337" spans="9:9" s="15" customFormat="1">
      <c r="I337" s="44"/>
    </row>
    <row r="338" spans="9:9" s="15" customFormat="1">
      <c r="I338" s="44"/>
    </row>
    <row r="339" spans="9:9" s="15" customFormat="1">
      <c r="I339" s="44"/>
    </row>
    <row r="340" spans="9:9" s="15" customFormat="1">
      <c r="I340" s="44"/>
    </row>
    <row r="341" spans="9:9" s="15" customFormat="1">
      <c r="I341" s="44"/>
    </row>
  </sheetData>
  <mergeCells count="5">
    <mergeCell ref="B5:C5"/>
    <mergeCell ref="H5:I5"/>
    <mergeCell ref="M5:N5"/>
    <mergeCell ref="H40:I40"/>
    <mergeCell ref="E2:F4"/>
  </mergeCells>
  <phoneticPr fontId="96" type="noConversion"/>
  <pageMargins left="0.7" right="0.7" top="0.75" bottom="0.75" header="0.3" footer="0.3"/>
  <pageSetup paperSize="9" orientation="portrait"/>
  <ignoredErrors>
    <ignoredError sqref="K2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T64"/>
  <sheetViews>
    <sheetView topLeftCell="A34" workbookViewId="0">
      <selection activeCell="B65" sqref="B65"/>
    </sheetView>
  </sheetViews>
  <sheetFormatPr defaultColWidth="9" defaultRowHeight="14.35"/>
  <cols>
    <col min="1" max="1" width="29.5625" customWidth="1"/>
    <col min="2" max="2" width="10.25" customWidth="1"/>
    <col min="7" max="7" width="21.4375" customWidth="1"/>
    <col min="15" max="15" width="23.875" customWidth="1"/>
    <col min="16" max="16" width="17.5625" customWidth="1"/>
    <col min="17" max="17" width="27.75" customWidth="1"/>
  </cols>
  <sheetData>
    <row r="1" spans="1:20">
      <c r="A1" t="s">
        <v>1535</v>
      </c>
      <c r="B1">
        <v>2</v>
      </c>
      <c r="C1" t="s">
        <v>1911</v>
      </c>
      <c r="D1" s="10" t="s">
        <v>1912</v>
      </c>
      <c r="E1" t="s">
        <v>1913</v>
      </c>
      <c r="G1" t="s">
        <v>527</v>
      </c>
      <c r="H1" s="11" t="s">
        <v>1914</v>
      </c>
      <c r="I1" s="13">
        <v>4</v>
      </c>
      <c r="K1">
        <v>2015</v>
      </c>
      <c r="L1">
        <v>1</v>
      </c>
      <c r="N1">
        <v>14</v>
      </c>
      <c r="O1" t="s">
        <v>527</v>
      </c>
      <c r="P1" t="s">
        <v>1915</v>
      </c>
      <c r="Q1" t="s">
        <v>1916</v>
      </c>
      <c r="R1" t="b">
        <v>0</v>
      </c>
      <c r="T1">
        <f>EndYear-目录!C9+目录!C11+1</f>
        <v>7</v>
      </c>
    </row>
    <row r="2" spans="1:20">
      <c r="A2" t="s">
        <v>1536</v>
      </c>
      <c r="B2">
        <v>1</v>
      </c>
      <c r="C2" t="s">
        <v>1911</v>
      </c>
      <c r="D2" s="10" t="s">
        <v>1917</v>
      </c>
      <c r="E2" t="s">
        <v>1918</v>
      </c>
      <c r="G2" t="s">
        <v>1802</v>
      </c>
      <c r="H2" s="12" t="s">
        <v>1919</v>
      </c>
      <c r="I2" s="13">
        <v>5</v>
      </c>
      <c r="K2">
        <v>2016</v>
      </c>
      <c r="L2">
        <v>5</v>
      </c>
      <c r="O2" t="s">
        <v>1920</v>
      </c>
      <c r="P2" t="s">
        <v>1915</v>
      </c>
      <c r="Q2" t="s">
        <v>1921</v>
      </c>
      <c r="R2" t="b">
        <v>0</v>
      </c>
      <c r="T2" t="s">
        <v>3557</v>
      </c>
    </row>
    <row r="3" spans="1:20">
      <c r="A3" t="s">
        <v>1537</v>
      </c>
      <c r="B3">
        <v>1</v>
      </c>
      <c r="C3" t="s">
        <v>1911</v>
      </c>
      <c r="D3" s="10" t="s">
        <v>1922</v>
      </c>
      <c r="E3" t="s">
        <v>1923</v>
      </c>
      <c r="G3" t="s">
        <v>1803</v>
      </c>
      <c r="H3" s="12" t="s">
        <v>1924</v>
      </c>
      <c r="I3" s="13">
        <v>6</v>
      </c>
      <c r="K3">
        <v>2017</v>
      </c>
      <c r="L3">
        <v>9</v>
      </c>
      <c r="O3" t="s">
        <v>1925</v>
      </c>
      <c r="P3" t="s">
        <v>1915</v>
      </c>
      <c r="Q3" t="s">
        <v>1926</v>
      </c>
      <c r="R3" t="b">
        <v>0</v>
      </c>
      <c r="T3" t="s">
        <v>3558</v>
      </c>
    </row>
    <row r="4" spans="1:20">
      <c r="A4" t="s">
        <v>1538</v>
      </c>
      <c r="B4">
        <v>1</v>
      </c>
      <c r="C4" t="s">
        <v>1911</v>
      </c>
      <c r="D4" s="10" t="s">
        <v>1927</v>
      </c>
      <c r="E4" t="s">
        <v>1928</v>
      </c>
      <c r="G4" t="s">
        <v>1498</v>
      </c>
      <c r="H4" s="12" t="s">
        <v>1929</v>
      </c>
      <c r="I4" s="13">
        <v>7</v>
      </c>
      <c r="K4">
        <v>2018</v>
      </c>
      <c r="L4">
        <v>13</v>
      </c>
      <c r="O4" t="s">
        <v>1802</v>
      </c>
      <c r="P4" t="s">
        <v>1915</v>
      </c>
      <c r="Q4" t="s">
        <v>1930</v>
      </c>
      <c r="R4" t="b">
        <v>0</v>
      </c>
      <c r="T4" t="s">
        <v>3559</v>
      </c>
    </row>
    <row r="5" spans="1:20">
      <c r="A5" t="s">
        <v>1539</v>
      </c>
      <c r="B5">
        <v>1</v>
      </c>
      <c r="C5" t="s">
        <v>1911</v>
      </c>
      <c r="D5" s="10" t="s">
        <v>1931</v>
      </c>
      <c r="E5" t="s">
        <v>1932</v>
      </c>
      <c r="G5" t="s">
        <v>1804</v>
      </c>
      <c r="H5" s="12" t="s">
        <v>1933</v>
      </c>
      <c r="I5" s="13">
        <v>8</v>
      </c>
      <c r="K5">
        <v>2018</v>
      </c>
      <c r="L5">
        <v>17</v>
      </c>
      <c r="O5" t="s">
        <v>1934</v>
      </c>
      <c r="P5" t="s">
        <v>1915</v>
      </c>
      <c r="Q5" t="s">
        <v>1935</v>
      </c>
      <c r="R5" t="b">
        <v>0</v>
      </c>
      <c r="T5" t="s">
        <v>3560</v>
      </c>
    </row>
    <row r="6" spans="1:20">
      <c r="A6" t="s">
        <v>1540</v>
      </c>
      <c r="B6">
        <v>1</v>
      </c>
      <c r="C6" t="s">
        <v>1911</v>
      </c>
      <c r="D6" s="10" t="s">
        <v>1936</v>
      </c>
      <c r="E6" t="s">
        <v>1937</v>
      </c>
      <c r="G6" t="s">
        <v>1805</v>
      </c>
      <c r="H6" s="12" t="s">
        <v>1938</v>
      </c>
      <c r="I6" s="13">
        <v>9</v>
      </c>
      <c r="K6">
        <v>2018</v>
      </c>
      <c r="L6">
        <v>21</v>
      </c>
      <c r="O6" t="s">
        <v>1939</v>
      </c>
      <c r="P6" t="s">
        <v>1915</v>
      </c>
      <c r="Q6" t="s">
        <v>1940</v>
      </c>
      <c r="R6" t="b">
        <v>0</v>
      </c>
      <c r="T6" t="s">
        <v>3556</v>
      </c>
    </row>
    <row r="7" spans="1:20">
      <c r="A7" t="s">
        <v>1541</v>
      </c>
      <c r="B7">
        <v>1</v>
      </c>
      <c r="C7" t="s">
        <v>1911</v>
      </c>
      <c r="D7" s="10" t="s">
        <v>1941</v>
      </c>
      <c r="E7" t="s">
        <v>1942</v>
      </c>
      <c r="G7" t="s">
        <v>1806</v>
      </c>
      <c r="H7" s="12" t="s">
        <v>1943</v>
      </c>
      <c r="I7" s="13">
        <v>10</v>
      </c>
      <c r="K7" s="14">
        <v>2016</v>
      </c>
      <c r="L7" s="14">
        <v>25</v>
      </c>
      <c r="O7" t="s">
        <v>1803</v>
      </c>
      <c r="P7" t="s">
        <v>1915</v>
      </c>
      <c r="Q7" t="s">
        <v>1944</v>
      </c>
      <c r="R7" t="b">
        <v>0</v>
      </c>
      <c r="T7" t="s">
        <v>1697</v>
      </c>
    </row>
    <row r="8" spans="1:20">
      <c r="A8" t="s">
        <v>1542</v>
      </c>
      <c r="B8">
        <v>2</v>
      </c>
      <c r="C8" t="s">
        <v>1911</v>
      </c>
      <c r="D8" s="10" t="s">
        <v>1945</v>
      </c>
      <c r="E8" t="s">
        <v>1946</v>
      </c>
      <c r="G8" t="s">
        <v>1468</v>
      </c>
      <c r="H8" s="12" t="s">
        <v>1947</v>
      </c>
      <c r="I8" s="13">
        <v>11</v>
      </c>
      <c r="K8" s="14">
        <v>2017</v>
      </c>
      <c r="L8" s="14">
        <v>29</v>
      </c>
      <c r="O8" t="s">
        <v>1948</v>
      </c>
      <c r="P8" t="s">
        <v>1915</v>
      </c>
      <c r="Q8" t="s">
        <v>1949</v>
      </c>
      <c r="R8" t="b">
        <v>0</v>
      </c>
      <c r="T8" t="s">
        <v>1698</v>
      </c>
    </row>
    <row r="9" spans="1:20">
      <c r="A9" t="s">
        <v>1543</v>
      </c>
      <c r="B9">
        <v>1</v>
      </c>
      <c r="C9" t="s">
        <v>1911</v>
      </c>
      <c r="D9" s="10" t="s">
        <v>1950</v>
      </c>
      <c r="E9" t="s">
        <v>1951</v>
      </c>
      <c r="G9" t="s">
        <v>1807</v>
      </c>
      <c r="H9" s="12" t="s">
        <v>1952</v>
      </c>
      <c r="I9" s="13">
        <v>12</v>
      </c>
      <c r="K9" s="14">
        <v>2014</v>
      </c>
      <c r="L9" s="14">
        <v>33</v>
      </c>
      <c r="O9" t="s">
        <v>1953</v>
      </c>
      <c r="P9" t="s">
        <v>1915</v>
      </c>
      <c r="Q9" t="s">
        <v>1954</v>
      </c>
      <c r="R9" t="b">
        <v>0</v>
      </c>
      <c r="T9" t="s">
        <v>3539</v>
      </c>
    </row>
    <row r="10" spans="1:20">
      <c r="A10" t="s">
        <v>1544</v>
      </c>
      <c r="B10">
        <v>1</v>
      </c>
      <c r="C10" t="s">
        <v>1911</v>
      </c>
      <c r="D10" s="10" t="s">
        <v>1955</v>
      </c>
      <c r="E10" t="s">
        <v>1956</v>
      </c>
      <c r="G10" t="s">
        <v>1808</v>
      </c>
      <c r="H10" s="12" t="s">
        <v>1957</v>
      </c>
      <c r="I10" s="13">
        <v>13</v>
      </c>
      <c r="K10" s="14">
        <v>2015</v>
      </c>
      <c r="L10" s="14">
        <v>37</v>
      </c>
      <c r="O10" t="s">
        <v>1498</v>
      </c>
      <c r="P10" t="s">
        <v>1915</v>
      </c>
      <c r="Q10" t="s">
        <v>1958</v>
      </c>
      <c r="R10" t="b">
        <v>0</v>
      </c>
      <c r="T10" t="s">
        <v>3540</v>
      </c>
    </row>
    <row r="11" spans="1:20">
      <c r="A11" t="s">
        <v>1547</v>
      </c>
      <c r="B11">
        <v>1</v>
      </c>
      <c r="C11" t="s">
        <v>1911</v>
      </c>
      <c r="D11" s="10" t="s">
        <v>1959</v>
      </c>
      <c r="E11" t="s">
        <v>1960</v>
      </c>
      <c r="G11" t="s">
        <v>1809</v>
      </c>
      <c r="H11" s="12" t="s">
        <v>1961</v>
      </c>
      <c r="I11" s="13">
        <v>14</v>
      </c>
      <c r="K11" s="14">
        <v>2016</v>
      </c>
      <c r="L11" s="14">
        <v>41</v>
      </c>
      <c r="O11" t="s">
        <v>1962</v>
      </c>
      <c r="P11" t="s">
        <v>1915</v>
      </c>
      <c r="Q11" t="s">
        <v>1963</v>
      </c>
      <c r="R11" t="b">
        <v>0</v>
      </c>
      <c r="T11" t="s">
        <v>1698</v>
      </c>
    </row>
    <row r="12" spans="1:20">
      <c r="A12" t="s">
        <v>1548</v>
      </c>
      <c r="B12">
        <v>1</v>
      </c>
      <c r="C12" t="s">
        <v>1911</v>
      </c>
      <c r="D12" s="10" t="s">
        <v>1964</v>
      </c>
      <c r="E12" t="s">
        <v>1965</v>
      </c>
      <c r="G12" t="s">
        <v>1810</v>
      </c>
      <c r="H12" s="12" t="s">
        <v>1966</v>
      </c>
      <c r="I12" s="13">
        <v>15</v>
      </c>
      <c r="K12" s="14">
        <v>2017</v>
      </c>
      <c r="L12" s="14">
        <v>45</v>
      </c>
      <c r="O12" t="s">
        <v>1967</v>
      </c>
      <c r="P12" t="s">
        <v>1915</v>
      </c>
      <c r="Q12" t="s">
        <v>1968</v>
      </c>
      <c r="R12" t="b">
        <v>0</v>
      </c>
      <c r="T12" t="s">
        <v>1697</v>
      </c>
    </row>
    <row r="13" spans="1:20">
      <c r="A13" t="s">
        <v>1549</v>
      </c>
      <c r="B13">
        <v>1</v>
      </c>
      <c r="C13" t="s">
        <v>1911</v>
      </c>
      <c r="D13" s="10" t="s">
        <v>1969</v>
      </c>
      <c r="E13" t="s">
        <v>1970</v>
      </c>
      <c r="G13" t="s">
        <v>1812</v>
      </c>
      <c r="H13" s="12" t="s">
        <v>1971</v>
      </c>
      <c r="I13" s="13">
        <v>17</v>
      </c>
      <c r="O13" t="s">
        <v>1804</v>
      </c>
      <c r="P13" t="s">
        <v>1915</v>
      </c>
      <c r="Q13" t="s">
        <v>1972</v>
      </c>
      <c r="R13" t="b">
        <v>0</v>
      </c>
      <c r="T13" t="s">
        <v>1973</v>
      </c>
    </row>
    <row r="14" spans="1:20">
      <c r="A14" t="s">
        <v>1550</v>
      </c>
      <c r="B14">
        <v>1</v>
      </c>
      <c r="C14" t="s">
        <v>1911</v>
      </c>
      <c r="D14" s="10" t="s">
        <v>1974</v>
      </c>
      <c r="E14" t="s">
        <v>1975</v>
      </c>
      <c r="G14" t="s">
        <v>1813</v>
      </c>
      <c r="H14" s="13" t="s">
        <v>1976</v>
      </c>
      <c r="I14" s="13">
        <v>18</v>
      </c>
      <c r="O14" t="s">
        <v>1977</v>
      </c>
      <c r="P14" t="s">
        <v>1915</v>
      </c>
      <c r="Q14" t="s">
        <v>1978</v>
      </c>
      <c r="R14" t="b">
        <v>0</v>
      </c>
    </row>
    <row r="15" spans="1:20">
      <c r="A15" t="s">
        <v>1551</v>
      </c>
      <c r="B15">
        <v>1</v>
      </c>
      <c r="C15" t="s">
        <v>1911</v>
      </c>
      <c r="D15" s="10" t="s">
        <v>1979</v>
      </c>
      <c r="E15" t="s">
        <v>1980</v>
      </c>
      <c r="G15" t="s">
        <v>1814</v>
      </c>
      <c r="H15" s="12" t="s">
        <v>1981</v>
      </c>
      <c r="I15" s="13">
        <v>19</v>
      </c>
      <c r="O15" t="s">
        <v>1982</v>
      </c>
      <c r="P15" t="s">
        <v>1915</v>
      </c>
      <c r="Q15" t="s">
        <v>1983</v>
      </c>
      <c r="R15" t="b">
        <v>0</v>
      </c>
    </row>
    <row r="16" spans="1:20">
      <c r="A16" t="s">
        <v>1552</v>
      </c>
      <c r="B16">
        <v>1</v>
      </c>
      <c r="C16" t="s">
        <v>1911</v>
      </c>
      <c r="D16" s="10" t="s">
        <v>1984</v>
      </c>
      <c r="E16" t="s">
        <v>1985</v>
      </c>
      <c r="G16" t="s">
        <v>1562</v>
      </c>
      <c r="H16" s="12" t="s">
        <v>1986</v>
      </c>
      <c r="I16" s="13">
        <v>20</v>
      </c>
      <c r="O16" t="s">
        <v>1805</v>
      </c>
      <c r="P16" t="s">
        <v>1915</v>
      </c>
      <c r="Q16" t="s">
        <v>1987</v>
      </c>
      <c r="R16" t="b">
        <v>0</v>
      </c>
    </row>
    <row r="17" spans="1:18">
      <c r="A17" t="s">
        <v>1553</v>
      </c>
      <c r="B17">
        <v>1</v>
      </c>
      <c r="C17" t="s">
        <v>1911</v>
      </c>
      <c r="D17" s="10" t="s">
        <v>1988</v>
      </c>
      <c r="E17" t="s">
        <v>1989</v>
      </c>
      <c r="G17" t="s">
        <v>1815</v>
      </c>
      <c r="H17" s="12" t="s">
        <v>1990</v>
      </c>
      <c r="I17" s="13">
        <v>21</v>
      </c>
      <c r="O17" t="s">
        <v>1991</v>
      </c>
      <c r="P17" t="s">
        <v>1915</v>
      </c>
      <c r="Q17" t="s">
        <v>1992</v>
      </c>
      <c r="R17" t="b">
        <v>0</v>
      </c>
    </row>
    <row r="18" spans="1:18">
      <c r="A18" t="s">
        <v>1554</v>
      </c>
      <c r="B18">
        <v>1</v>
      </c>
      <c r="C18" t="s">
        <v>1911</v>
      </c>
      <c r="D18" s="10" t="s">
        <v>1993</v>
      </c>
      <c r="E18" t="s">
        <v>1994</v>
      </c>
      <c r="G18" t="s">
        <v>1816</v>
      </c>
      <c r="H18" s="12" t="s">
        <v>1995</v>
      </c>
      <c r="I18" s="13">
        <v>22</v>
      </c>
      <c r="O18" t="s">
        <v>1996</v>
      </c>
      <c r="P18" t="s">
        <v>1915</v>
      </c>
      <c r="Q18" t="s">
        <v>1997</v>
      </c>
      <c r="R18" t="b">
        <v>0</v>
      </c>
    </row>
    <row r="19" spans="1:18">
      <c r="A19" t="s">
        <v>1555</v>
      </c>
      <c r="B19">
        <v>1</v>
      </c>
      <c r="C19" t="s">
        <v>1911</v>
      </c>
      <c r="D19" s="10" t="s">
        <v>1998</v>
      </c>
      <c r="E19" t="s">
        <v>1999</v>
      </c>
      <c r="G19" t="s">
        <v>1809</v>
      </c>
      <c r="H19" s="12" t="s">
        <v>2000</v>
      </c>
      <c r="I19" s="13">
        <v>14</v>
      </c>
      <c r="O19" t="s">
        <v>1806</v>
      </c>
      <c r="P19" t="s">
        <v>1915</v>
      </c>
      <c r="Q19" t="s">
        <v>2001</v>
      </c>
      <c r="R19" t="b">
        <v>0</v>
      </c>
    </row>
    <row r="20" spans="1:18">
      <c r="A20" t="s">
        <v>1556</v>
      </c>
      <c r="B20">
        <v>1</v>
      </c>
      <c r="C20" t="s">
        <v>1911</v>
      </c>
      <c r="D20" s="10" t="s">
        <v>2002</v>
      </c>
      <c r="E20" t="s">
        <v>2003</v>
      </c>
      <c r="O20" t="s">
        <v>2004</v>
      </c>
      <c r="P20" t="s">
        <v>1915</v>
      </c>
      <c r="Q20" t="s">
        <v>2005</v>
      </c>
      <c r="R20" t="b">
        <v>0</v>
      </c>
    </row>
    <row r="21" spans="1:18">
      <c r="A21" t="s">
        <v>1557</v>
      </c>
      <c r="B21">
        <v>1</v>
      </c>
      <c r="C21" t="s">
        <v>1911</v>
      </c>
      <c r="D21" s="10" t="s">
        <v>2006</v>
      </c>
      <c r="E21" t="s">
        <v>2007</v>
      </c>
      <c r="O21" t="s">
        <v>2008</v>
      </c>
      <c r="P21" t="s">
        <v>1915</v>
      </c>
      <c r="Q21" t="s">
        <v>2009</v>
      </c>
      <c r="R21" t="b">
        <v>0</v>
      </c>
    </row>
    <row r="22" spans="1:18">
      <c r="A22" t="s">
        <v>1558</v>
      </c>
      <c r="B22">
        <v>1</v>
      </c>
      <c r="C22" t="s">
        <v>1911</v>
      </c>
      <c r="D22" s="10" t="s">
        <v>2010</v>
      </c>
      <c r="E22" t="s">
        <v>2011</v>
      </c>
      <c r="G22" t="s">
        <v>1537</v>
      </c>
      <c r="H22" s="10" t="s">
        <v>1922</v>
      </c>
      <c r="O22" t="s">
        <v>1468</v>
      </c>
      <c r="P22" t="s">
        <v>1915</v>
      </c>
      <c r="Q22" t="s">
        <v>2012</v>
      </c>
      <c r="R22" t="b">
        <v>0</v>
      </c>
    </row>
    <row r="23" spans="1:18">
      <c r="A23" t="s">
        <v>1559</v>
      </c>
      <c r="B23">
        <v>1</v>
      </c>
      <c r="C23" t="s">
        <v>2013</v>
      </c>
      <c r="D23" s="10" t="s">
        <v>2014</v>
      </c>
      <c r="E23" t="s">
        <v>2015</v>
      </c>
      <c r="G23" t="s">
        <v>1539</v>
      </c>
      <c r="H23" s="10" t="s">
        <v>1931</v>
      </c>
      <c r="O23" t="s">
        <v>2016</v>
      </c>
      <c r="P23" t="s">
        <v>1915</v>
      </c>
      <c r="Q23" t="s">
        <v>2017</v>
      </c>
      <c r="R23" t="b">
        <v>0</v>
      </c>
    </row>
    <row r="24" spans="1:18">
      <c r="A24" t="s">
        <v>1560</v>
      </c>
      <c r="B24">
        <v>1</v>
      </c>
      <c r="C24" t="s">
        <v>2013</v>
      </c>
      <c r="D24" s="10" t="s">
        <v>2018</v>
      </c>
      <c r="E24" t="s">
        <v>2019</v>
      </c>
      <c r="G24" t="s">
        <v>1540</v>
      </c>
      <c r="H24" s="10" t="s">
        <v>1936</v>
      </c>
      <c r="O24" t="s">
        <v>2020</v>
      </c>
      <c r="P24" t="s">
        <v>1915</v>
      </c>
      <c r="Q24" t="s">
        <v>2021</v>
      </c>
      <c r="R24" t="b">
        <v>0</v>
      </c>
    </row>
    <row r="25" spans="1:18">
      <c r="A25" t="s">
        <v>1561</v>
      </c>
      <c r="B25">
        <v>1</v>
      </c>
      <c r="C25" t="s">
        <v>2013</v>
      </c>
      <c r="D25" s="10" t="s">
        <v>2022</v>
      </c>
      <c r="E25" t="s">
        <v>2023</v>
      </c>
      <c r="G25" t="s">
        <v>1536</v>
      </c>
      <c r="H25" s="10" t="s">
        <v>1917</v>
      </c>
      <c r="O25" t="s">
        <v>1807</v>
      </c>
      <c r="P25" t="s">
        <v>1915</v>
      </c>
      <c r="Q25" t="s">
        <v>2024</v>
      </c>
      <c r="R25" t="b">
        <v>0</v>
      </c>
    </row>
    <row r="26" spans="1:18">
      <c r="A26" t="s">
        <v>1562</v>
      </c>
      <c r="B26">
        <v>1</v>
      </c>
      <c r="C26" t="s">
        <v>2013</v>
      </c>
      <c r="D26" s="10" t="s">
        <v>2025</v>
      </c>
      <c r="E26" t="s">
        <v>2026</v>
      </c>
      <c r="G26" t="s">
        <v>1556</v>
      </c>
      <c r="H26" s="10" t="s">
        <v>2002</v>
      </c>
      <c r="O26" t="s">
        <v>2027</v>
      </c>
      <c r="P26" t="s">
        <v>1915</v>
      </c>
      <c r="Q26" t="s">
        <v>2028</v>
      </c>
      <c r="R26" t="b">
        <v>0</v>
      </c>
    </row>
    <row r="27" spans="1:18">
      <c r="A27" t="s">
        <v>1563</v>
      </c>
      <c r="B27">
        <v>1</v>
      </c>
      <c r="C27" t="s">
        <v>1911</v>
      </c>
      <c r="D27" s="10" t="s">
        <v>2029</v>
      </c>
      <c r="E27" t="s">
        <v>2030</v>
      </c>
      <c r="G27" t="s">
        <v>1605</v>
      </c>
      <c r="H27" s="10" t="s">
        <v>1912</v>
      </c>
      <c r="O27" t="s">
        <v>2031</v>
      </c>
      <c r="P27" t="s">
        <v>1915</v>
      </c>
      <c r="Q27" t="s">
        <v>2032</v>
      </c>
      <c r="R27" t="b">
        <v>0</v>
      </c>
    </row>
    <row r="28" spans="1:18">
      <c r="A28" t="s">
        <v>1565</v>
      </c>
      <c r="B28">
        <v>1</v>
      </c>
      <c r="C28" t="s">
        <v>1911</v>
      </c>
      <c r="D28" s="10" t="s">
        <v>2033</v>
      </c>
      <c r="E28" t="s">
        <v>2034</v>
      </c>
      <c r="G28" t="s">
        <v>2035</v>
      </c>
      <c r="H28" s="10" t="s">
        <v>1964</v>
      </c>
      <c r="O28" t="s">
        <v>1808</v>
      </c>
      <c r="P28" t="s">
        <v>1915</v>
      </c>
      <c r="Q28" t="s">
        <v>2036</v>
      </c>
      <c r="R28" t="b">
        <v>0</v>
      </c>
    </row>
    <row r="29" spans="1:18">
      <c r="A29" t="s">
        <v>1566</v>
      </c>
      <c r="B29">
        <v>1</v>
      </c>
      <c r="C29" t="s">
        <v>1911</v>
      </c>
      <c r="D29" s="10" t="s">
        <v>2037</v>
      </c>
      <c r="E29" t="s">
        <v>2038</v>
      </c>
      <c r="G29" t="s">
        <v>2039</v>
      </c>
      <c r="H29" s="10" t="s">
        <v>1969</v>
      </c>
      <c r="O29" t="s">
        <v>2040</v>
      </c>
      <c r="P29" t="s">
        <v>1915</v>
      </c>
      <c r="Q29" t="s">
        <v>2041</v>
      </c>
      <c r="R29" t="b">
        <v>0</v>
      </c>
    </row>
    <row r="30" spans="1:18">
      <c r="A30" t="s">
        <v>1567</v>
      </c>
      <c r="B30">
        <v>1</v>
      </c>
      <c r="C30" t="s">
        <v>1911</v>
      </c>
      <c r="D30" s="10" t="s">
        <v>2042</v>
      </c>
      <c r="E30" t="s">
        <v>2043</v>
      </c>
      <c r="G30" t="s">
        <v>2044</v>
      </c>
      <c r="H30" s="10" t="s">
        <v>1974</v>
      </c>
      <c r="O30" t="s">
        <v>2045</v>
      </c>
      <c r="P30" t="s">
        <v>1915</v>
      </c>
      <c r="Q30" t="s">
        <v>2046</v>
      </c>
      <c r="R30" t="b">
        <v>0</v>
      </c>
    </row>
    <row r="31" spans="1:18">
      <c r="A31" t="s">
        <v>1568</v>
      </c>
      <c r="B31">
        <v>1</v>
      </c>
      <c r="C31" t="s">
        <v>1911</v>
      </c>
      <c r="D31" s="10" t="s">
        <v>2047</v>
      </c>
      <c r="E31" t="s">
        <v>2048</v>
      </c>
      <c r="G31" t="s">
        <v>2049</v>
      </c>
      <c r="H31" s="10" t="s">
        <v>1979</v>
      </c>
      <c r="O31" t="s">
        <v>1809</v>
      </c>
      <c r="P31" t="s">
        <v>1915</v>
      </c>
      <c r="Q31" t="s">
        <v>2050</v>
      </c>
      <c r="R31" t="b">
        <v>0</v>
      </c>
    </row>
    <row r="32" spans="1:18">
      <c r="A32" t="s">
        <v>1569</v>
      </c>
      <c r="B32">
        <v>1</v>
      </c>
      <c r="C32" t="s">
        <v>1911</v>
      </c>
      <c r="D32" s="10" t="s">
        <v>2051</v>
      </c>
      <c r="E32" t="s">
        <v>2052</v>
      </c>
      <c r="G32" t="s">
        <v>2053</v>
      </c>
      <c r="H32" s="10" t="s">
        <v>1984</v>
      </c>
      <c r="O32" t="s">
        <v>2054</v>
      </c>
      <c r="P32" t="s">
        <v>1915</v>
      </c>
      <c r="Q32" t="s">
        <v>2055</v>
      </c>
      <c r="R32" t="b">
        <v>0</v>
      </c>
    </row>
    <row r="33" spans="1:18">
      <c r="A33" t="s">
        <v>1447</v>
      </c>
      <c r="B33">
        <v>1</v>
      </c>
      <c r="C33" t="s">
        <v>1911</v>
      </c>
      <c r="D33" s="10" t="s">
        <v>2056</v>
      </c>
      <c r="E33" t="s">
        <v>2057</v>
      </c>
      <c r="G33" t="s">
        <v>1606</v>
      </c>
      <c r="H33" t="s">
        <v>1606</v>
      </c>
      <c r="O33" t="s">
        <v>2058</v>
      </c>
      <c r="P33" t="s">
        <v>1915</v>
      </c>
      <c r="Q33" t="s">
        <v>2059</v>
      </c>
      <c r="R33" t="b">
        <v>0</v>
      </c>
    </row>
    <row r="34" spans="1:18">
      <c r="A34" t="s">
        <v>1570</v>
      </c>
      <c r="B34">
        <v>1</v>
      </c>
      <c r="C34" t="s">
        <v>1911</v>
      </c>
      <c r="D34" s="10" t="s">
        <v>2060</v>
      </c>
      <c r="E34" t="s">
        <v>2061</v>
      </c>
      <c r="G34" t="s">
        <v>2062</v>
      </c>
      <c r="H34" t="s">
        <v>2062</v>
      </c>
      <c r="O34" t="s">
        <v>1810</v>
      </c>
      <c r="P34" t="s">
        <v>1915</v>
      </c>
      <c r="Q34" t="s">
        <v>2063</v>
      </c>
      <c r="R34" t="b">
        <v>0</v>
      </c>
    </row>
    <row r="35" spans="1:18">
      <c r="A35" t="s">
        <v>1571</v>
      </c>
      <c r="B35">
        <v>1</v>
      </c>
      <c r="C35" t="s">
        <v>2013</v>
      </c>
      <c r="D35" s="10" t="s">
        <v>2064</v>
      </c>
      <c r="E35" t="s">
        <v>2065</v>
      </c>
      <c r="G35" t="s">
        <v>2066</v>
      </c>
      <c r="H35" t="s">
        <v>2066</v>
      </c>
      <c r="O35" t="s">
        <v>2067</v>
      </c>
      <c r="P35" t="s">
        <v>1915</v>
      </c>
      <c r="Q35" t="s">
        <v>2068</v>
      </c>
      <c r="R35" t="b">
        <v>0</v>
      </c>
    </row>
    <row r="36" spans="1:18">
      <c r="A36" t="s">
        <v>1572</v>
      </c>
      <c r="B36">
        <v>1</v>
      </c>
      <c r="C36" t="s">
        <v>2013</v>
      </c>
      <c r="D36" s="10" t="s">
        <v>2069</v>
      </c>
      <c r="E36" t="s">
        <v>2070</v>
      </c>
      <c r="G36" t="s">
        <v>2071</v>
      </c>
      <c r="H36" t="s">
        <v>2071</v>
      </c>
      <c r="O36" t="s">
        <v>2072</v>
      </c>
      <c r="P36" t="s">
        <v>1915</v>
      </c>
      <c r="Q36" t="s">
        <v>2073</v>
      </c>
      <c r="R36" t="b">
        <v>0</v>
      </c>
    </row>
    <row r="37" spans="1:18">
      <c r="A37" t="s">
        <v>1574</v>
      </c>
      <c r="B37">
        <v>2</v>
      </c>
      <c r="C37" t="s">
        <v>2013</v>
      </c>
      <c r="D37" s="10" t="s">
        <v>2074</v>
      </c>
      <c r="E37" t="s">
        <v>2075</v>
      </c>
      <c r="G37" t="s">
        <v>1544</v>
      </c>
      <c r="H37" s="10" t="s">
        <v>1955</v>
      </c>
      <c r="O37" t="s">
        <v>1811</v>
      </c>
      <c r="P37" t="s">
        <v>1915</v>
      </c>
      <c r="Q37" t="s">
        <v>2076</v>
      </c>
      <c r="R37" t="b">
        <v>0</v>
      </c>
    </row>
    <row r="38" spans="1:18">
      <c r="A38" t="s">
        <v>1575</v>
      </c>
      <c r="B38">
        <v>1</v>
      </c>
      <c r="C38" t="s">
        <v>2013</v>
      </c>
      <c r="D38" s="10" t="s">
        <v>2077</v>
      </c>
      <c r="E38" t="s">
        <v>2078</v>
      </c>
      <c r="G38" t="s">
        <v>1542</v>
      </c>
      <c r="H38" s="10" t="s">
        <v>1945</v>
      </c>
      <c r="O38" t="s">
        <v>2079</v>
      </c>
      <c r="P38" t="s">
        <v>1915</v>
      </c>
      <c r="Q38" t="s">
        <v>2080</v>
      </c>
      <c r="R38" t="b">
        <v>0</v>
      </c>
    </row>
    <row r="39" spans="1:18">
      <c r="A39" t="s">
        <v>1576</v>
      </c>
      <c r="B39">
        <v>1</v>
      </c>
      <c r="C39" t="s">
        <v>2013</v>
      </c>
      <c r="D39" s="10" t="s">
        <v>2081</v>
      </c>
      <c r="E39" t="s">
        <v>2082</v>
      </c>
      <c r="G39" t="s">
        <v>1565</v>
      </c>
      <c r="H39" s="10" t="s">
        <v>2033</v>
      </c>
      <c r="O39" t="s">
        <v>2083</v>
      </c>
      <c r="P39" t="s">
        <v>1915</v>
      </c>
      <c r="Q39" t="s">
        <v>2084</v>
      </c>
      <c r="R39" t="b">
        <v>0</v>
      </c>
    </row>
    <row r="40" spans="1:18">
      <c r="A40" t="s">
        <v>1577</v>
      </c>
      <c r="B40">
        <v>1</v>
      </c>
      <c r="C40" t="s">
        <v>2013</v>
      </c>
      <c r="D40" s="10" t="s">
        <v>2085</v>
      </c>
      <c r="E40" t="s">
        <v>2086</v>
      </c>
      <c r="G40" t="s">
        <v>1562</v>
      </c>
      <c r="H40" s="10" t="s">
        <v>2025</v>
      </c>
      <c r="O40" t="s">
        <v>2087</v>
      </c>
      <c r="P40" t="s">
        <v>1915</v>
      </c>
      <c r="Q40" t="s">
        <v>2088</v>
      </c>
      <c r="R40" t="b">
        <v>0</v>
      </c>
    </row>
    <row r="41" spans="1:18">
      <c r="A41" t="s">
        <v>1578</v>
      </c>
      <c r="B41">
        <v>1</v>
      </c>
      <c r="C41" t="s">
        <v>2013</v>
      </c>
      <c r="D41" s="10" t="s">
        <v>2089</v>
      </c>
      <c r="E41" t="s">
        <v>2090</v>
      </c>
      <c r="G41" t="s">
        <v>1561</v>
      </c>
      <c r="H41" s="10" t="s">
        <v>2022</v>
      </c>
      <c r="O41" t="s">
        <v>2091</v>
      </c>
      <c r="P41" t="s">
        <v>1915</v>
      </c>
      <c r="Q41" t="s">
        <v>2092</v>
      </c>
      <c r="R41" t="b">
        <v>0</v>
      </c>
    </row>
    <row r="42" spans="1:18">
      <c r="A42" t="s">
        <v>1579</v>
      </c>
      <c r="B42">
        <v>1</v>
      </c>
      <c r="C42" t="s">
        <v>2013</v>
      </c>
      <c r="D42" s="10" t="s">
        <v>2093</v>
      </c>
      <c r="E42" t="s">
        <v>2094</v>
      </c>
      <c r="G42" t="s">
        <v>1559</v>
      </c>
      <c r="H42" s="10" t="s">
        <v>2014</v>
      </c>
      <c r="O42" t="s">
        <v>2095</v>
      </c>
      <c r="P42" t="s">
        <v>1915</v>
      </c>
      <c r="Q42" t="s">
        <v>2096</v>
      </c>
      <c r="R42" t="b">
        <v>0</v>
      </c>
    </row>
    <row r="43" spans="1:18">
      <c r="A43" t="s">
        <v>1580</v>
      </c>
      <c r="B43">
        <v>1</v>
      </c>
      <c r="C43" t="s">
        <v>2013</v>
      </c>
      <c r="D43" s="10" t="s">
        <v>2097</v>
      </c>
      <c r="E43" t="s">
        <v>2098</v>
      </c>
      <c r="G43" t="s">
        <v>1560</v>
      </c>
      <c r="H43" s="10" t="s">
        <v>2018</v>
      </c>
      <c r="O43" t="s">
        <v>1813</v>
      </c>
      <c r="P43" t="s">
        <v>1915</v>
      </c>
      <c r="Q43" t="s">
        <v>2099</v>
      </c>
      <c r="R43" t="b">
        <v>0</v>
      </c>
    </row>
    <row r="44" spans="1:18">
      <c r="A44" t="s">
        <v>1581</v>
      </c>
      <c r="B44">
        <v>1</v>
      </c>
      <c r="C44" t="s">
        <v>2013</v>
      </c>
      <c r="D44" s="10" t="s">
        <v>2100</v>
      </c>
      <c r="E44" t="s">
        <v>2101</v>
      </c>
      <c r="O44" t="s">
        <v>2102</v>
      </c>
      <c r="P44" t="s">
        <v>1915</v>
      </c>
      <c r="Q44" t="s">
        <v>2103</v>
      </c>
      <c r="R44" t="b">
        <v>0</v>
      </c>
    </row>
    <row r="45" spans="1:18">
      <c r="A45" t="s">
        <v>1582</v>
      </c>
      <c r="B45">
        <v>1</v>
      </c>
      <c r="C45" t="s">
        <v>2013</v>
      </c>
      <c r="D45" s="10" t="s">
        <v>2104</v>
      </c>
      <c r="E45" t="s">
        <v>2105</v>
      </c>
      <c r="O45" t="s">
        <v>2106</v>
      </c>
      <c r="P45" t="s">
        <v>1915</v>
      </c>
      <c r="Q45" t="s">
        <v>2107</v>
      </c>
      <c r="R45" t="b">
        <v>0</v>
      </c>
    </row>
    <row r="46" spans="1:18">
      <c r="A46" t="s">
        <v>1584</v>
      </c>
      <c r="B46">
        <v>1</v>
      </c>
      <c r="C46" t="s">
        <v>2013</v>
      </c>
      <c r="D46" s="10" t="s">
        <v>2108</v>
      </c>
      <c r="E46" t="s">
        <v>2109</v>
      </c>
      <c r="O46" t="s">
        <v>1548</v>
      </c>
      <c r="P46" t="s">
        <v>1915</v>
      </c>
      <c r="Q46" t="s">
        <v>2110</v>
      </c>
      <c r="R46" t="b">
        <v>0</v>
      </c>
    </row>
    <row r="47" spans="1:18">
      <c r="A47" t="s">
        <v>1585</v>
      </c>
      <c r="B47">
        <v>1</v>
      </c>
      <c r="C47" t="s">
        <v>2013</v>
      </c>
      <c r="D47" s="10" t="s">
        <v>2111</v>
      </c>
      <c r="E47" t="s">
        <v>2112</v>
      </c>
      <c r="O47" t="s">
        <v>2113</v>
      </c>
      <c r="P47" t="s">
        <v>1915</v>
      </c>
      <c r="Q47" t="s">
        <v>2114</v>
      </c>
      <c r="R47" t="b">
        <v>0</v>
      </c>
    </row>
    <row r="48" spans="1:18">
      <c r="A48" t="s">
        <v>1586</v>
      </c>
      <c r="B48">
        <v>1</v>
      </c>
      <c r="C48" t="s">
        <v>2013</v>
      </c>
      <c r="D48" s="10" t="s">
        <v>2115</v>
      </c>
      <c r="E48" t="s">
        <v>2116</v>
      </c>
      <c r="O48" t="s">
        <v>2117</v>
      </c>
      <c r="P48" t="s">
        <v>1915</v>
      </c>
      <c r="Q48" t="s">
        <v>2118</v>
      </c>
      <c r="R48" t="b">
        <v>0</v>
      </c>
    </row>
    <row r="49" spans="1:18">
      <c r="A49" t="s">
        <v>1587</v>
      </c>
      <c r="B49">
        <v>1</v>
      </c>
      <c r="C49" t="s">
        <v>2013</v>
      </c>
      <c r="D49" s="10" t="s">
        <v>2119</v>
      </c>
      <c r="E49" t="s">
        <v>2120</v>
      </c>
      <c r="O49" t="s">
        <v>1562</v>
      </c>
      <c r="P49" t="s">
        <v>1915</v>
      </c>
      <c r="Q49" t="s">
        <v>2121</v>
      </c>
      <c r="R49" t="b">
        <v>0</v>
      </c>
    </row>
    <row r="50" spans="1:18">
      <c r="A50" t="s">
        <v>1588</v>
      </c>
      <c r="B50">
        <v>1</v>
      </c>
      <c r="C50" t="s">
        <v>2013</v>
      </c>
      <c r="D50" s="10" t="s">
        <v>2122</v>
      </c>
      <c r="E50" t="s">
        <v>2123</v>
      </c>
      <c r="O50" t="s">
        <v>2124</v>
      </c>
      <c r="P50" t="s">
        <v>1915</v>
      </c>
      <c r="Q50" t="s">
        <v>2125</v>
      </c>
      <c r="R50" t="b">
        <v>0</v>
      </c>
    </row>
    <row r="51" spans="1:18">
      <c r="A51" t="s">
        <v>1589</v>
      </c>
      <c r="B51">
        <v>1</v>
      </c>
      <c r="C51" t="s">
        <v>2013</v>
      </c>
      <c r="D51" s="10" t="s">
        <v>2126</v>
      </c>
      <c r="E51" t="s">
        <v>2127</v>
      </c>
      <c r="O51" t="s">
        <v>2128</v>
      </c>
      <c r="P51" t="s">
        <v>1915</v>
      </c>
      <c r="Q51" t="s">
        <v>2129</v>
      </c>
      <c r="R51" t="b">
        <v>0</v>
      </c>
    </row>
    <row r="52" spans="1:18">
      <c r="A52" t="s">
        <v>1591</v>
      </c>
      <c r="B52">
        <v>1</v>
      </c>
      <c r="C52" t="s">
        <v>2013</v>
      </c>
      <c r="D52" s="10" t="s">
        <v>2130</v>
      </c>
      <c r="E52" t="s">
        <v>2131</v>
      </c>
      <c r="O52" t="s">
        <v>1572</v>
      </c>
      <c r="P52" t="s">
        <v>1915</v>
      </c>
      <c r="Q52" t="s">
        <v>2132</v>
      </c>
      <c r="R52" t="b">
        <v>0</v>
      </c>
    </row>
    <row r="53" spans="1:18">
      <c r="A53" t="s">
        <v>1593</v>
      </c>
      <c r="B53">
        <v>1</v>
      </c>
      <c r="C53" t="s">
        <v>2013</v>
      </c>
      <c r="D53" s="10" t="s">
        <v>2133</v>
      </c>
      <c r="E53" t="s">
        <v>2134</v>
      </c>
      <c r="O53" t="s">
        <v>2135</v>
      </c>
      <c r="P53" t="s">
        <v>1915</v>
      </c>
      <c r="Q53" t="s">
        <v>2136</v>
      </c>
      <c r="R53" t="b">
        <v>0</v>
      </c>
    </row>
    <row r="54" spans="1:18">
      <c r="A54" t="s">
        <v>1594</v>
      </c>
      <c r="B54">
        <v>1</v>
      </c>
      <c r="C54" t="s">
        <v>2013</v>
      </c>
      <c r="D54" s="10" t="s">
        <v>2137</v>
      </c>
      <c r="E54" t="s">
        <v>2138</v>
      </c>
      <c r="O54" t="s">
        <v>2139</v>
      </c>
      <c r="P54" t="s">
        <v>1915</v>
      </c>
      <c r="Q54" t="s">
        <v>2140</v>
      </c>
      <c r="R54" t="b">
        <v>0</v>
      </c>
    </row>
    <row r="55" spans="1:18">
      <c r="A55" t="s">
        <v>2141</v>
      </c>
      <c r="B55">
        <v>1</v>
      </c>
      <c r="C55" t="s">
        <v>2013</v>
      </c>
      <c r="D55" s="10" t="s">
        <v>2142</v>
      </c>
      <c r="E55" t="s">
        <v>2143</v>
      </c>
      <c r="O55" t="s">
        <v>1565</v>
      </c>
      <c r="P55" t="s">
        <v>1915</v>
      </c>
      <c r="Q55" t="s">
        <v>2144</v>
      </c>
      <c r="R55" t="b">
        <v>0</v>
      </c>
    </row>
    <row r="56" spans="1:18">
      <c r="A56" t="s">
        <v>1596</v>
      </c>
      <c r="B56">
        <v>1</v>
      </c>
      <c r="C56" t="s">
        <v>2013</v>
      </c>
      <c r="D56" s="10" t="s">
        <v>2145</v>
      </c>
      <c r="E56" t="s">
        <v>2146</v>
      </c>
      <c r="O56" t="s">
        <v>2147</v>
      </c>
      <c r="P56" t="s">
        <v>1915</v>
      </c>
      <c r="Q56" t="s">
        <v>2148</v>
      </c>
      <c r="R56" t="b">
        <v>0</v>
      </c>
    </row>
    <row r="57" spans="1:18">
      <c r="A57" t="s">
        <v>2149</v>
      </c>
      <c r="B57">
        <v>1</v>
      </c>
      <c r="C57" t="s">
        <v>2013</v>
      </c>
      <c r="D57" s="10" t="s">
        <v>2150</v>
      </c>
      <c r="E57" t="s">
        <v>2151</v>
      </c>
      <c r="O57" t="s">
        <v>2152</v>
      </c>
      <c r="P57" t="s">
        <v>1915</v>
      </c>
      <c r="Q57" t="s">
        <v>2153</v>
      </c>
      <c r="R57" t="b">
        <v>0</v>
      </c>
    </row>
    <row r="58" spans="1:18">
      <c r="A58" t="s">
        <v>1598</v>
      </c>
      <c r="B58">
        <v>1</v>
      </c>
      <c r="C58" t="s">
        <v>2013</v>
      </c>
      <c r="D58" s="10" t="s">
        <v>2154</v>
      </c>
      <c r="E58" t="s">
        <v>2155</v>
      </c>
    </row>
    <row r="59" spans="1:18">
      <c r="A59" t="s">
        <v>1545</v>
      </c>
      <c r="B59">
        <v>1</v>
      </c>
      <c r="C59" t="s">
        <v>2013</v>
      </c>
      <c r="D59" s="10" t="s">
        <v>2156</v>
      </c>
      <c r="E59" t="s">
        <v>2157</v>
      </c>
    </row>
    <row r="60" spans="1:18">
      <c r="A60" t="s">
        <v>1599</v>
      </c>
      <c r="B60">
        <v>1</v>
      </c>
      <c r="C60" t="s">
        <v>2013</v>
      </c>
      <c r="D60" s="10" t="s">
        <v>2158</v>
      </c>
      <c r="E60" t="s">
        <v>2159</v>
      </c>
    </row>
    <row r="61" spans="1:18">
      <c r="A61" t="s">
        <v>2160</v>
      </c>
      <c r="B61">
        <v>1</v>
      </c>
      <c r="C61" t="s">
        <v>2013</v>
      </c>
      <c r="D61" s="10" t="s">
        <v>2161</v>
      </c>
      <c r="E61" t="s">
        <v>2162</v>
      </c>
    </row>
    <row r="62" spans="1:18">
      <c r="A62" t="s">
        <v>1601</v>
      </c>
      <c r="B62">
        <v>2</v>
      </c>
      <c r="C62" t="s">
        <v>2013</v>
      </c>
      <c r="D62" s="10" t="s">
        <v>2163</v>
      </c>
      <c r="E62" t="s">
        <v>2164</v>
      </c>
    </row>
    <row r="63" spans="1:18">
      <c r="A63" t="s">
        <v>1602</v>
      </c>
      <c r="B63">
        <v>1</v>
      </c>
      <c r="C63" t="s">
        <v>2013</v>
      </c>
      <c r="D63" s="10" t="s">
        <v>2165</v>
      </c>
      <c r="E63" t="s">
        <v>2166</v>
      </c>
    </row>
    <row r="64" spans="1:18">
      <c r="A64" t="s">
        <v>1603</v>
      </c>
      <c r="B64">
        <v>1</v>
      </c>
      <c r="C64" t="s">
        <v>2013</v>
      </c>
      <c r="D64" s="10" t="s">
        <v>2167</v>
      </c>
      <c r="E64" t="s">
        <v>2168</v>
      </c>
    </row>
  </sheetData>
  <phoneticPr fontId="96"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AW156"/>
  <sheetViews>
    <sheetView workbookViewId="0">
      <selection activeCell="I19" sqref="I19"/>
    </sheetView>
  </sheetViews>
  <sheetFormatPr defaultColWidth="9" defaultRowHeight="14.35"/>
  <cols>
    <col min="1" max="1" width="27.25" customWidth="1"/>
    <col min="2" max="2" width="28.5625" customWidth="1"/>
    <col min="3" max="8" width="13.875" customWidth="1"/>
    <col min="9" max="9" width="19.4375" customWidth="1"/>
    <col min="17" max="17" width="19" customWidth="1"/>
  </cols>
  <sheetData>
    <row r="1" spans="1:49">
      <c r="A1" t="s">
        <v>527</v>
      </c>
      <c r="B1" s="1" t="s">
        <v>3562</v>
      </c>
      <c r="C1" s="1" t="s">
        <v>3563</v>
      </c>
      <c r="D1" s="1" t="s">
        <v>3564</v>
      </c>
      <c r="E1" s="1" t="s">
        <v>3565</v>
      </c>
      <c r="F1" s="1" t="s">
        <v>3566</v>
      </c>
      <c r="G1" s="1" t="s">
        <v>3567</v>
      </c>
      <c r="H1" s="1" t="s">
        <v>3568</v>
      </c>
      <c r="I1" s="1" t="s">
        <v>3569</v>
      </c>
      <c r="J1" s="1" t="s">
        <v>3570</v>
      </c>
      <c r="K1" s="1" t="s">
        <v>3571</v>
      </c>
      <c r="L1" s="1" t="s">
        <v>3572</v>
      </c>
      <c r="M1" s="1" t="s">
        <v>3573</v>
      </c>
      <c r="N1" s="1" t="s">
        <v>3574</v>
      </c>
      <c r="O1" s="1" t="s">
        <v>3575</v>
      </c>
      <c r="P1" s="1" t="s">
        <v>3576</v>
      </c>
      <c r="Q1" s="1" t="s">
        <v>3577</v>
      </c>
      <c r="R1" t="s">
        <v>3315</v>
      </c>
      <c r="S1" t="s">
        <v>3316</v>
      </c>
      <c r="T1" t="s">
        <v>3317</v>
      </c>
      <c r="U1" t="s">
        <v>3318</v>
      </c>
      <c r="V1" t="s">
        <v>2185</v>
      </c>
      <c r="W1" t="s">
        <v>2186</v>
      </c>
      <c r="X1" t="s">
        <v>2187</v>
      </c>
      <c r="Y1" t="s">
        <v>2188</v>
      </c>
      <c r="Z1" t="s">
        <v>2189</v>
      </c>
      <c r="AA1" t="s">
        <v>2190</v>
      </c>
      <c r="AB1" t="s">
        <v>2189</v>
      </c>
      <c r="AC1" t="s">
        <v>2191</v>
      </c>
      <c r="AD1" t="s">
        <v>2189</v>
      </c>
      <c r="AE1" t="s">
        <v>2192</v>
      </c>
      <c r="AF1" t="s">
        <v>2193</v>
      </c>
      <c r="AG1" t="s">
        <v>2194</v>
      </c>
      <c r="AH1" t="s">
        <v>2169</v>
      </c>
      <c r="AI1" t="s">
        <v>2170</v>
      </c>
      <c r="AJ1" t="s">
        <v>2171</v>
      </c>
      <c r="AK1" t="s">
        <v>2172</v>
      </c>
      <c r="AL1" t="s">
        <v>2173</v>
      </c>
      <c r="AM1" t="s">
        <v>2174</v>
      </c>
      <c r="AN1" t="s">
        <v>2175</v>
      </c>
      <c r="AO1" t="s">
        <v>2176</v>
      </c>
      <c r="AP1" t="s">
        <v>2177</v>
      </c>
      <c r="AQ1" t="s">
        <v>2178</v>
      </c>
      <c r="AR1" t="s">
        <v>2179</v>
      </c>
      <c r="AS1" t="s">
        <v>2180</v>
      </c>
      <c r="AT1" t="s">
        <v>2181</v>
      </c>
      <c r="AU1" t="s">
        <v>2182</v>
      </c>
      <c r="AV1" t="s">
        <v>2183</v>
      </c>
      <c r="AW1" t="s">
        <v>2184</v>
      </c>
    </row>
    <row r="2" spans="1:49">
      <c r="A2" t="s">
        <v>1920</v>
      </c>
      <c r="B2" t="s">
        <v>3578</v>
      </c>
      <c r="C2" t="s">
        <v>3579</v>
      </c>
      <c r="D2" t="s">
        <v>3580</v>
      </c>
      <c r="E2" t="s">
        <v>3581</v>
      </c>
      <c r="F2" t="s">
        <v>3562</v>
      </c>
      <c r="G2" t="s">
        <v>3563</v>
      </c>
      <c r="H2" t="s">
        <v>3564</v>
      </c>
      <c r="I2" t="s">
        <v>3565</v>
      </c>
      <c r="J2" t="s">
        <v>3566</v>
      </c>
      <c r="K2" t="s">
        <v>3567</v>
      </c>
      <c r="L2" t="s">
        <v>3568</v>
      </c>
      <c r="M2" t="s">
        <v>3569</v>
      </c>
      <c r="N2" t="s">
        <v>3570</v>
      </c>
      <c r="O2" t="s">
        <v>3571</v>
      </c>
      <c r="P2" t="s">
        <v>3572</v>
      </c>
      <c r="Q2" t="s">
        <v>3573</v>
      </c>
      <c r="R2" t="s">
        <v>3311</v>
      </c>
      <c r="S2" t="s">
        <v>3312</v>
      </c>
      <c r="T2" t="s">
        <v>3313</v>
      </c>
      <c r="U2" t="s">
        <v>3314</v>
      </c>
      <c r="V2" t="s">
        <v>2189</v>
      </c>
      <c r="W2" t="s">
        <v>2199</v>
      </c>
      <c r="X2" t="s">
        <v>2189</v>
      </c>
      <c r="Y2" t="s">
        <v>2200</v>
      </c>
      <c r="Z2" t="s">
        <v>2189</v>
      </c>
      <c r="AA2" t="s">
        <v>2201</v>
      </c>
      <c r="AB2" t="s">
        <v>2189</v>
      </c>
      <c r="AC2" t="s">
        <v>2202</v>
      </c>
      <c r="AD2" t="s">
        <v>2189</v>
      </c>
      <c r="AE2" t="s">
        <v>2190</v>
      </c>
      <c r="AF2" t="s">
        <v>2189</v>
      </c>
      <c r="AG2" t="s">
        <v>2191</v>
      </c>
      <c r="AH2" t="s">
        <v>2195</v>
      </c>
      <c r="AI2" t="s">
        <v>2196</v>
      </c>
      <c r="AJ2" t="s">
        <v>2197</v>
      </c>
      <c r="AK2" t="s">
        <v>2198</v>
      </c>
      <c r="AL2" t="s">
        <v>2169</v>
      </c>
      <c r="AM2" t="s">
        <v>2170</v>
      </c>
      <c r="AN2" t="s">
        <v>2171</v>
      </c>
      <c r="AO2" t="s">
        <v>2172</v>
      </c>
      <c r="AP2" t="s">
        <v>2173</v>
      </c>
      <c r="AQ2" t="s">
        <v>2174</v>
      </c>
      <c r="AR2" t="s">
        <v>2175</v>
      </c>
      <c r="AS2" t="s">
        <v>2176</v>
      </c>
      <c r="AT2" t="s">
        <v>2177</v>
      </c>
      <c r="AU2" t="s">
        <v>2178</v>
      </c>
      <c r="AV2" t="s">
        <v>2179</v>
      </c>
      <c r="AW2" t="s">
        <v>2180</v>
      </c>
    </row>
    <row r="3" spans="1:49">
      <c r="A3" t="s">
        <v>1925</v>
      </c>
      <c r="B3" s="2" t="s">
        <v>3582</v>
      </c>
      <c r="C3" s="2" t="s">
        <v>3583</v>
      </c>
      <c r="D3" s="2" t="s">
        <v>3584</v>
      </c>
      <c r="E3" s="2" t="s">
        <v>3585</v>
      </c>
      <c r="F3" s="2" t="s">
        <v>3586</v>
      </c>
      <c r="G3" s="2" t="s">
        <v>3587</v>
      </c>
      <c r="H3" s="2" t="s">
        <v>3588</v>
      </c>
      <c r="I3" s="2" t="s">
        <v>3589</v>
      </c>
      <c r="J3" s="2" t="s">
        <v>3590</v>
      </c>
      <c r="K3" s="2" t="s">
        <v>3591</v>
      </c>
      <c r="L3" s="2" t="s">
        <v>3592</v>
      </c>
      <c r="M3" s="2" t="s">
        <v>3593</v>
      </c>
      <c r="N3" s="2" t="s">
        <v>3594</v>
      </c>
      <c r="O3" s="2" t="s">
        <v>3595</v>
      </c>
      <c r="P3" s="2" t="s">
        <v>3596</v>
      </c>
      <c r="Q3" s="2" t="s">
        <v>3597</v>
      </c>
      <c r="R3" t="s">
        <v>3319</v>
      </c>
      <c r="S3" t="s">
        <v>3320</v>
      </c>
      <c r="T3" t="s">
        <v>3321</v>
      </c>
      <c r="U3" t="s">
        <v>3322</v>
      </c>
      <c r="V3" t="s">
        <v>2189</v>
      </c>
      <c r="W3" t="s">
        <v>2219</v>
      </c>
      <c r="X3" t="s">
        <v>2189</v>
      </c>
      <c r="Y3" t="s">
        <v>2220</v>
      </c>
      <c r="Z3" t="s">
        <v>2189</v>
      </c>
      <c r="AA3" t="s">
        <v>2221</v>
      </c>
      <c r="AB3" t="s">
        <v>2189</v>
      </c>
      <c r="AC3" t="s">
        <v>2222</v>
      </c>
      <c r="AD3" t="s">
        <v>2189</v>
      </c>
      <c r="AE3" t="s">
        <v>2223</v>
      </c>
      <c r="AF3" t="s">
        <v>2189</v>
      </c>
      <c r="AG3" t="s">
        <v>2224</v>
      </c>
      <c r="AH3" t="s">
        <v>2203</v>
      </c>
      <c r="AI3" t="s">
        <v>2204</v>
      </c>
      <c r="AJ3" t="s">
        <v>2205</v>
      </c>
      <c r="AK3" t="s">
        <v>2206</v>
      </c>
      <c r="AL3" t="s">
        <v>2207</v>
      </c>
      <c r="AM3" t="s">
        <v>2208</v>
      </c>
      <c r="AN3" t="s">
        <v>2209</v>
      </c>
      <c r="AO3" t="s">
        <v>2210</v>
      </c>
      <c r="AP3" t="s">
        <v>2211</v>
      </c>
      <c r="AQ3" t="s">
        <v>2212</v>
      </c>
      <c r="AR3" t="s">
        <v>2213</v>
      </c>
      <c r="AS3" t="s">
        <v>2214</v>
      </c>
      <c r="AT3" t="s">
        <v>2215</v>
      </c>
      <c r="AU3" t="s">
        <v>2216</v>
      </c>
      <c r="AV3" t="s">
        <v>2217</v>
      </c>
      <c r="AW3" t="s">
        <v>2218</v>
      </c>
    </row>
    <row r="4" spans="1:49">
      <c r="A4" t="s">
        <v>1802</v>
      </c>
      <c r="B4" s="1" t="s">
        <v>3598</v>
      </c>
      <c r="C4" s="1" t="s">
        <v>3599</v>
      </c>
      <c r="D4" s="1" t="s">
        <v>3600</v>
      </c>
      <c r="E4" s="1" t="s">
        <v>3601</v>
      </c>
      <c r="F4" s="1" t="s">
        <v>3602</v>
      </c>
      <c r="G4" s="1" t="s">
        <v>3603</v>
      </c>
      <c r="H4" s="1" t="s">
        <v>3604</v>
      </c>
      <c r="I4" s="1" t="s">
        <v>3605</v>
      </c>
      <c r="J4" s="1" t="s">
        <v>3606</v>
      </c>
      <c r="K4" s="1" t="s">
        <v>3607</v>
      </c>
      <c r="L4" s="1" t="s">
        <v>3608</v>
      </c>
      <c r="M4" s="1" t="s">
        <v>3609</v>
      </c>
      <c r="N4" s="1" t="s">
        <v>3610</v>
      </c>
      <c r="O4" s="1" t="s">
        <v>3611</v>
      </c>
      <c r="P4" s="1" t="s">
        <v>3612</v>
      </c>
      <c r="Q4" s="1" t="s">
        <v>3613</v>
      </c>
      <c r="R4" t="s">
        <v>3327</v>
      </c>
      <c r="S4" t="s">
        <v>3328</v>
      </c>
      <c r="T4" t="s">
        <v>3329</v>
      </c>
      <c r="U4" t="s">
        <v>3330</v>
      </c>
      <c r="V4" t="s">
        <v>2241</v>
      </c>
      <c r="W4" t="s">
        <v>2242</v>
      </c>
      <c r="X4" t="s">
        <v>2243</v>
      </c>
      <c r="Y4" t="s">
        <v>2244</v>
      </c>
      <c r="Z4" t="s">
        <v>2189</v>
      </c>
      <c r="AA4" t="s">
        <v>2245</v>
      </c>
      <c r="AB4" t="s">
        <v>2189</v>
      </c>
      <c r="AC4" t="s">
        <v>2246</v>
      </c>
      <c r="AD4" t="s">
        <v>2189</v>
      </c>
      <c r="AE4" t="s">
        <v>2247</v>
      </c>
      <c r="AF4" t="s">
        <v>2248</v>
      </c>
      <c r="AG4" t="s">
        <v>2249</v>
      </c>
      <c r="AH4" t="s">
        <v>2225</v>
      </c>
      <c r="AI4" t="s">
        <v>2226</v>
      </c>
      <c r="AJ4" t="s">
        <v>2227</v>
      </c>
      <c r="AK4" t="s">
        <v>2228</v>
      </c>
      <c r="AL4" t="s">
        <v>2229</v>
      </c>
      <c r="AM4" t="s">
        <v>2230</v>
      </c>
      <c r="AN4" t="s">
        <v>2231</v>
      </c>
      <c r="AO4" t="s">
        <v>2232</v>
      </c>
      <c r="AP4" t="s">
        <v>2233</v>
      </c>
      <c r="AQ4" t="s">
        <v>2234</v>
      </c>
      <c r="AR4" t="s">
        <v>2235</v>
      </c>
      <c r="AS4" t="s">
        <v>2236</v>
      </c>
      <c r="AT4" t="s">
        <v>2237</v>
      </c>
      <c r="AU4" t="s">
        <v>2238</v>
      </c>
      <c r="AV4" t="s">
        <v>2239</v>
      </c>
      <c r="AW4" t="s">
        <v>2240</v>
      </c>
    </row>
    <row r="5" spans="1:49">
      <c r="A5" t="s">
        <v>1934</v>
      </c>
      <c r="B5" t="s">
        <v>3614</v>
      </c>
      <c r="C5" t="s">
        <v>3615</v>
      </c>
      <c r="D5" t="s">
        <v>3616</v>
      </c>
      <c r="E5" t="s">
        <v>3617</v>
      </c>
      <c r="F5" t="s">
        <v>3598</v>
      </c>
      <c r="G5" t="s">
        <v>3599</v>
      </c>
      <c r="H5" t="s">
        <v>3600</v>
      </c>
      <c r="I5" t="s">
        <v>3601</v>
      </c>
      <c r="J5" t="s">
        <v>3602</v>
      </c>
      <c r="K5" t="s">
        <v>3603</v>
      </c>
      <c r="L5" t="s">
        <v>3604</v>
      </c>
      <c r="M5" t="s">
        <v>3605</v>
      </c>
      <c r="N5" t="s">
        <v>3606</v>
      </c>
      <c r="O5" t="s">
        <v>3607</v>
      </c>
      <c r="P5" t="s">
        <v>3608</v>
      </c>
      <c r="Q5" t="s">
        <v>3609</v>
      </c>
      <c r="R5" t="s">
        <v>3323</v>
      </c>
      <c r="S5" t="s">
        <v>3324</v>
      </c>
      <c r="T5" t="s">
        <v>3325</v>
      </c>
      <c r="U5" t="s">
        <v>3326</v>
      </c>
      <c r="V5" t="s">
        <v>2189</v>
      </c>
      <c r="W5" t="s">
        <v>2254</v>
      </c>
      <c r="X5" t="s">
        <v>2189</v>
      </c>
      <c r="Y5" t="s">
        <v>2255</v>
      </c>
      <c r="Z5" t="s">
        <v>2189</v>
      </c>
      <c r="AA5" t="s">
        <v>2256</v>
      </c>
      <c r="AB5" t="s">
        <v>2189</v>
      </c>
      <c r="AC5" t="s">
        <v>2257</v>
      </c>
      <c r="AD5" t="s">
        <v>2189</v>
      </c>
      <c r="AE5" t="s">
        <v>2245</v>
      </c>
      <c r="AF5" t="s">
        <v>2189</v>
      </c>
      <c r="AG5" t="s">
        <v>2246</v>
      </c>
      <c r="AH5" t="s">
        <v>2250</v>
      </c>
      <c r="AI5" t="s">
        <v>2251</v>
      </c>
      <c r="AJ5" t="s">
        <v>2252</v>
      </c>
      <c r="AK5" t="s">
        <v>2253</v>
      </c>
      <c r="AL5" t="s">
        <v>2225</v>
      </c>
      <c r="AM5" t="s">
        <v>2226</v>
      </c>
      <c r="AN5" t="s">
        <v>2227</v>
      </c>
      <c r="AO5" t="s">
        <v>2228</v>
      </c>
      <c r="AP5" t="s">
        <v>2229</v>
      </c>
      <c r="AQ5" t="s">
        <v>2230</v>
      </c>
      <c r="AR5" t="s">
        <v>2231</v>
      </c>
      <c r="AS5" t="s">
        <v>2232</v>
      </c>
      <c r="AT5" t="s">
        <v>2233</v>
      </c>
      <c r="AU5" t="s">
        <v>2234</v>
      </c>
      <c r="AV5" t="s">
        <v>2235</v>
      </c>
      <c r="AW5" t="s">
        <v>2236</v>
      </c>
    </row>
    <row r="6" spans="1:49">
      <c r="A6" t="s">
        <v>1939</v>
      </c>
      <c r="B6" t="s">
        <v>3618</v>
      </c>
      <c r="C6" t="s">
        <v>3619</v>
      </c>
      <c r="D6" t="s">
        <v>3620</v>
      </c>
      <c r="E6" t="s">
        <v>3621</v>
      </c>
      <c r="F6" t="s">
        <v>3622</v>
      </c>
      <c r="G6" t="s">
        <v>3623</v>
      </c>
      <c r="H6" t="s">
        <v>3624</v>
      </c>
      <c r="I6" t="s">
        <v>3625</v>
      </c>
      <c r="J6" t="s">
        <v>3626</v>
      </c>
      <c r="K6" t="s">
        <v>3627</v>
      </c>
      <c r="L6" t="s">
        <v>3628</v>
      </c>
      <c r="M6" t="s">
        <v>3629</v>
      </c>
      <c r="N6" t="s">
        <v>3630</v>
      </c>
      <c r="O6" t="s">
        <v>3631</v>
      </c>
      <c r="P6" t="s">
        <v>3632</v>
      </c>
      <c r="Q6" t="s">
        <v>3633</v>
      </c>
      <c r="R6" t="s">
        <v>3331</v>
      </c>
      <c r="S6" t="s">
        <v>3332</v>
      </c>
      <c r="T6" t="s">
        <v>3333</v>
      </c>
      <c r="U6" t="s">
        <v>3334</v>
      </c>
      <c r="V6" t="s">
        <v>2189</v>
      </c>
      <c r="W6" t="s">
        <v>2272</v>
      </c>
      <c r="X6" t="s">
        <v>2189</v>
      </c>
      <c r="Y6" t="s">
        <v>2273</v>
      </c>
      <c r="Z6" t="s">
        <v>2189</v>
      </c>
      <c r="AA6" t="s">
        <v>2274</v>
      </c>
      <c r="AB6" t="s">
        <v>2189</v>
      </c>
      <c r="AC6" t="s">
        <v>2275</v>
      </c>
      <c r="AD6" t="s">
        <v>2189</v>
      </c>
      <c r="AE6" t="s">
        <v>2276</v>
      </c>
      <c r="AF6" t="s">
        <v>2189</v>
      </c>
      <c r="AG6" t="s">
        <v>2277</v>
      </c>
      <c r="AH6" t="s">
        <v>2258</v>
      </c>
      <c r="AI6" t="s">
        <v>2259</v>
      </c>
      <c r="AJ6" t="s">
        <v>2278</v>
      </c>
      <c r="AK6" t="s">
        <v>2260</v>
      </c>
      <c r="AL6" t="s">
        <v>2261</v>
      </c>
      <c r="AM6" t="s">
        <v>2262</v>
      </c>
      <c r="AN6" t="s">
        <v>2263</v>
      </c>
      <c r="AO6" t="s">
        <v>2264</v>
      </c>
      <c r="AP6" t="s">
        <v>2265</v>
      </c>
      <c r="AQ6" t="s">
        <v>2266</v>
      </c>
      <c r="AR6" t="s">
        <v>2267</v>
      </c>
      <c r="AS6" t="s">
        <v>2268</v>
      </c>
      <c r="AT6" t="s">
        <v>2269</v>
      </c>
      <c r="AU6" t="s">
        <v>2270</v>
      </c>
      <c r="AV6" t="s">
        <v>2279</v>
      </c>
      <c r="AW6" t="s">
        <v>2271</v>
      </c>
    </row>
    <row r="7" spans="1:49">
      <c r="A7" t="s">
        <v>1803</v>
      </c>
      <c r="B7" s="1" t="s">
        <v>3634</v>
      </c>
      <c r="C7" s="1" t="s">
        <v>3635</v>
      </c>
      <c r="D7" s="1" t="s">
        <v>3636</v>
      </c>
      <c r="E7" s="1" t="s">
        <v>3637</v>
      </c>
      <c r="F7" s="1" t="s">
        <v>3638</v>
      </c>
      <c r="G7" s="1" t="s">
        <v>3639</v>
      </c>
      <c r="H7" s="1" t="s">
        <v>3640</v>
      </c>
      <c r="I7" s="1" t="s">
        <v>3641</v>
      </c>
      <c r="J7" s="1" t="s">
        <v>3642</v>
      </c>
      <c r="K7" s="1" t="s">
        <v>3643</v>
      </c>
      <c r="L7" s="1" t="s">
        <v>3644</v>
      </c>
      <c r="M7" s="1" t="s">
        <v>3645</v>
      </c>
      <c r="N7" s="1" t="s">
        <v>3646</v>
      </c>
      <c r="O7" s="1" t="s">
        <v>3647</v>
      </c>
      <c r="P7" s="1" t="s">
        <v>3648</v>
      </c>
      <c r="Q7" s="1" t="s">
        <v>3649</v>
      </c>
      <c r="R7" t="s">
        <v>3339</v>
      </c>
      <c r="S7" t="s">
        <v>3340</v>
      </c>
      <c r="T7" t="s">
        <v>3341</v>
      </c>
      <c r="U7" t="s">
        <v>3342</v>
      </c>
      <c r="V7" t="s">
        <v>2296</v>
      </c>
      <c r="W7" t="s">
        <v>2297</v>
      </c>
      <c r="X7" t="s">
        <v>2298</v>
      </c>
      <c r="Y7" t="s">
        <v>2299</v>
      </c>
      <c r="Z7" t="s">
        <v>2189</v>
      </c>
      <c r="AA7" t="s">
        <v>2300</v>
      </c>
      <c r="AB7" t="s">
        <v>2189</v>
      </c>
      <c r="AC7" t="s">
        <v>2301</v>
      </c>
      <c r="AD7" t="s">
        <v>2189</v>
      </c>
      <c r="AE7" t="s">
        <v>2302</v>
      </c>
      <c r="AF7" t="s">
        <v>2303</v>
      </c>
      <c r="AG7" t="s">
        <v>2304</v>
      </c>
      <c r="AH7" t="s">
        <v>2280</v>
      </c>
      <c r="AI7" t="s">
        <v>2281</v>
      </c>
      <c r="AJ7" t="s">
        <v>2282</v>
      </c>
      <c r="AK7" t="s">
        <v>2283</v>
      </c>
      <c r="AL7" t="s">
        <v>2284</v>
      </c>
      <c r="AM7" t="s">
        <v>2285</v>
      </c>
      <c r="AN7" t="s">
        <v>2286</v>
      </c>
      <c r="AO7" t="s">
        <v>2287</v>
      </c>
      <c r="AP7" t="s">
        <v>2288</v>
      </c>
      <c r="AQ7" t="s">
        <v>2289</v>
      </c>
      <c r="AR7" t="s">
        <v>2290</v>
      </c>
      <c r="AS7" t="s">
        <v>2291</v>
      </c>
      <c r="AT7" t="s">
        <v>2292</v>
      </c>
      <c r="AU7" t="s">
        <v>2293</v>
      </c>
      <c r="AV7" t="s">
        <v>2294</v>
      </c>
      <c r="AW7" t="s">
        <v>2295</v>
      </c>
    </row>
    <row r="8" spans="1:49">
      <c r="A8" t="s">
        <v>1948</v>
      </c>
      <c r="B8" t="s">
        <v>3650</v>
      </c>
      <c r="C8" t="s">
        <v>3651</v>
      </c>
      <c r="D8" t="s">
        <v>3652</v>
      </c>
      <c r="E8" t="s">
        <v>3653</v>
      </c>
      <c r="F8" t="s">
        <v>3634</v>
      </c>
      <c r="G8" t="s">
        <v>3635</v>
      </c>
      <c r="H8" t="s">
        <v>3636</v>
      </c>
      <c r="I8" t="s">
        <v>3637</v>
      </c>
      <c r="J8" t="s">
        <v>3638</v>
      </c>
      <c r="K8" t="s">
        <v>3639</v>
      </c>
      <c r="L8" t="s">
        <v>3640</v>
      </c>
      <c r="M8" t="s">
        <v>3641</v>
      </c>
      <c r="N8" t="s">
        <v>3642</v>
      </c>
      <c r="O8" t="s">
        <v>3643</v>
      </c>
      <c r="P8" t="s">
        <v>3644</v>
      </c>
      <c r="Q8" t="s">
        <v>3645</v>
      </c>
      <c r="R8" t="s">
        <v>3335</v>
      </c>
      <c r="S8" t="s">
        <v>3336</v>
      </c>
      <c r="T8" t="s">
        <v>3337</v>
      </c>
      <c r="U8" t="s">
        <v>3338</v>
      </c>
      <c r="V8" t="s">
        <v>2189</v>
      </c>
      <c r="W8" t="s">
        <v>2309</v>
      </c>
      <c r="X8" t="s">
        <v>2189</v>
      </c>
      <c r="Y8" t="s">
        <v>2310</v>
      </c>
      <c r="Z8" t="s">
        <v>2189</v>
      </c>
      <c r="AA8" t="s">
        <v>2311</v>
      </c>
      <c r="AB8" t="s">
        <v>2189</v>
      </c>
      <c r="AC8" t="s">
        <v>2312</v>
      </c>
      <c r="AD8" t="s">
        <v>2189</v>
      </c>
      <c r="AE8" t="s">
        <v>2300</v>
      </c>
      <c r="AF8" t="s">
        <v>2189</v>
      </c>
      <c r="AG8" t="s">
        <v>2301</v>
      </c>
      <c r="AH8" t="s">
        <v>2305</v>
      </c>
      <c r="AI8" t="s">
        <v>2306</v>
      </c>
      <c r="AJ8" t="s">
        <v>2307</v>
      </c>
      <c r="AK8" t="s">
        <v>2308</v>
      </c>
      <c r="AL8" t="s">
        <v>2280</v>
      </c>
      <c r="AM8" t="s">
        <v>2281</v>
      </c>
      <c r="AN8" t="s">
        <v>2282</v>
      </c>
      <c r="AO8" t="s">
        <v>2283</v>
      </c>
      <c r="AP8" t="s">
        <v>2284</v>
      </c>
      <c r="AQ8" t="s">
        <v>2285</v>
      </c>
      <c r="AR8" t="s">
        <v>2286</v>
      </c>
      <c r="AS8" t="s">
        <v>2287</v>
      </c>
      <c r="AT8" t="s">
        <v>2288</v>
      </c>
      <c r="AU8" t="s">
        <v>2289</v>
      </c>
      <c r="AV8" t="s">
        <v>2290</v>
      </c>
      <c r="AW8" t="s">
        <v>2291</v>
      </c>
    </row>
    <row r="9" spans="1:49">
      <c r="A9" t="s">
        <v>1953</v>
      </c>
      <c r="B9" t="s">
        <v>3654</v>
      </c>
      <c r="C9" t="s">
        <v>3655</v>
      </c>
      <c r="D9" t="s">
        <v>3656</v>
      </c>
      <c r="E9" t="s">
        <v>3657</v>
      </c>
      <c r="F9" t="s">
        <v>3658</v>
      </c>
      <c r="G9" t="s">
        <v>3659</v>
      </c>
      <c r="H9" t="s">
        <v>3660</v>
      </c>
      <c r="I9" t="s">
        <v>3661</v>
      </c>
      <c r="J9" t="s">
        <v>3662</v>
      </c>
      <c r="K9" t="s">
        <v>3663</v>
      </c>
      <c r="L9" t="s">
        <v>3664</v>
      </c>
      <c r="M9" t="s">
        <v>3665</v>
      </c>
      <c r="N9" t="s">
        <v>3666</v>
      </c>
      <c r="O9" t="s">
        <v>3667</v>
      </c>
      <c r="P9" t="s">
        <v>3668</v>
      </c>
      <c r="Q9" t="s">
        <v>3669</v>
      </c>
      <c r="R9" t="s">
        <v>3343</v>
      </c>
      <c r="S9" t="s">
        <v>3344</v>
      </c>
      <c r="T9" t="s">
        <v>3345</v>
      </c>
      <c r="U9" t="s">
        <v>3346</v>
      </c>
      <c r="V9" t="s">
        <v>2189</v>
      </c>
      <c r="W9" t="s">
        <v>2329</v>
      </c>
      <c r="X9" t="s">
        <v>2189</v>
      </c>
      <c r="Y9" t="s">
        <v>2330</v>
      </c>
      <c r="Z9" t="s">
        <v>2189</v>
      </c>
      <c r="AA9" t="s">
        <v>2331</v>
      </c>
      <c r="AB9" t="s">
        <v>2189</v>
      </c>
      <c r="AC9" t="s">
        <v>2332</v>
      </c>
      <c r="AD9" t="s">
        <v>2189</v>
      </c>
      <c r="AE9" t="s">
        <v>2333</v>
      </c>
      <c r="AF9" t="s">
        <v>2189</v>
      </c>
      <c r="AG9" t="s">
        <v>2334</v>
      </c>
      <c r="AH9" t="s">
        <v>2313</v>
      </c>
      <c r="AI9" t="s">
        <v>2314</v>
      </c>
      <c r="AJ9" t="s">
        <v>2315</v>
      </c>
      <c r="AK9" t="s">
        <v>2316</v>
      </c>
      <c r="AL9" t="s">
        <v>2317</v>
      </c>
      <c r="AM9" t="s">
        <v>2318</v>
      </c>
      <c r="AN9" t="s">
        <v>2319</v>
      </c>
      <c r="AO9" t="s">
        <v>2320</v>
      </c>
      <c r="AP9" t="s">
        <v>2321</v>
      </c>
      <c r="AQ9" t="s">
        <v>2322</v>
      </c>
      <c r="AR9" t="s">
        <v>2323</v>
      </c>
      <c r="AS9" t="s">
        <v>2324</v>
      </c>
      <c r="AT9" t="s">
        <v>2325</v>
      </c>
      <c r="AU9" t="s">
        <v>2326</v>
      </c>
      <c r="AV9" t="s">
        <v>2327</v>
      </c>
      <c r="AW9" t="s">
        <v>2328</v>
      </c>
    </row>
    <row r="10" spans="1:49">
      <c r="A10" t="s">
        <v>1498</v>
      </c>
      <c r="B10" s="1" t="s">
        <v>3670</v>
      </c>
      <c r="C10" s="1" t="s">
        <v>3671</v>
      </c>
      <c r="D10" s="1" t="s">
        <v>3672</v>
      </c>
      <c r="E10" s="1" t="s">
        <v>3673</v>
      </c>
      <c r="F10" s="1" t="s">
        <v>3674</v>
      </c>
      <c r="G10" s="1" t="s">
        <v>3675</v>
      </c>
      <c r="H10" s="1" t="s">
        <v>3676</v>
      </c>
      <c r="I10" s="1" t="s">
        <v>3677</v>
      </c>
      <c r="J10" s="1" t="s">
        <v>3678</v>
      </c>
      <c r="K10" s="1" t="s">
        <v>3679</v>
      </c>
      <c r="L10" s="1" t="s">
        <v>3680</v>
      </c>
      <c r="M10" s="1" t="s">
        <v>3681</v>
      </c>
      <c r="N10" s="1" t="s">
        <v>3682</v>
      </c>
      <c r="O10" s="1" t="s">
        <v>3683</v>
      </c>
      <c r="P10" s="1" t="s">
        <v>3684</v>
      </c>
      <c r="Q10" s="1" t="s">
        <v>3685</v>
      </c>
      <c r="R10" t="s">
        <v>3351</v>
      </c>
      <c r="S10" t="s">
        <v>3352</v>
      </c>
      <c r="T10" t="s">
        <v>3353</v>
      </c>
      <c r="U10" t="s">
        <v>3354</v>
      </c>
      <c r="V10" t="s">
        <v>2351</v>
      </c>
      <c r="W10" t="s">
        <v>2352</v>
      </c>
      <c r="X10" t="s">
        <v>2353</v>
      </c>
      <c r="Y10" t="s">
        <v>2354</v>
      </c>
      <c r="Z10" t="s">
        <v>2189</v>
      </c>
      <c r="AA10" t="s">
        <v>2355</v>
      </c>
      <c r="AB10" t="s">
        <v>2189</v>
      </c>
      <c r="AC10" t="s">
        <v>2356</v>
      </c>
      <c r="AD10" t="s">
        <v>2189</v>
      </c>
      <c r="AE10" t="s">
        <v>2357</v>
      </c>
      <c r="AF10" t="s">
        <v>2358</v>
      </c>
      <c r="AG10" t="s">
        <v>2359</v>
      </c>
      <c r="AH10" t="s">
        <v>2335</v>
      </c>
      <c r="AI10" t="s">
        <v>2336</v>
      </c>
      <c r="AJ10" t="s">
        <v>2337</v>
      </c>
      <c r="AK10" t="s">
        <v>2338</v>
      </c>
      <c r="AL10" t="s">
        <v>2339</v>
      </c>
      <c r="AM10" t="s">
        <v>2340</v>
      </c>
      <c r="AN10" t="s">
        <v>2341</v>
      </c>
      <c r="AO10" t="s">
        <v>2342</v>
      </c>
      <c r="AP10" t="s">
        <v>2343</v>
      </c>
      <c r="AQ10" t="s">
        <v>2344</v>
      </c>
      <c r="AR10" t="s">
        <v>2345</v>
      </c>
      <c r="AS10" t="s">
        <v>2346</v>
      </c>
      <c r="AT10" t="s">
        <v>2347</v>
      </c>
      <c r="AU10" t="s">
        <v>2348</v>
      </c>
      <c r="AV10" t="s">
        <v>2349</v>
      </c>
      <c r="AW10" t="s">
        <v>2350</v>
      </c>
    </row>
    <row r="11" spans="1:49">
      <c r="A11" t="s">
        <v>1962</v>
      </c>
      <c r="B11" t="s">
        <v>3686</v>
      </c>
      <c r="C11" t="s">
        <v>3687</v>
      </c>
      <c r="D11" t="s">
        <v>3688</v>
      </c>
      <c r="E11" t="s">
        <v>3689</v>
      </c>
      <c r="F11" t="s">
        <v>3670</v>
      </c>
      <c r="G11" t="s">
        <v>3671</v>
      </c>
      <c r="H11" t="s">
        <v>3672</v>
      </c>
      <c r="I11" t="s">
        <v>3673</v>
      </c>
      <c r="J11" t="s">
        <v>3674</v>
      </c>
      <c r="K11" t="s">
        <v>3675</v>
      </c>
      <c r="L11" t="s">
        <v>3676</v>
      </c>
      <c r="M11" t="s">
        <v>3677</v>
      </c>
      <c r="N11" t="s">
        <v>3678</v>
      </c>
      <c r="O11" t="s">
        <v>3679</v>
      </c>
      <c r="P11" t="s">
        <v>3680</v>
      </c>
      <c r="Q11" t="s">
        <v>3681</v>
      </c>
      <c r="R11" t="s">
        <v>3347</v>
      </c>
      <c r="S11" t="s">
        <v>3348</v>
      </c>
      <c r="T11" t="s">
        <v>3349</v>
      </c>
      <c r="U11" t="s">
        <v>3350</v>
      </c>
      <c r="V11" t="s">
        <v>2189</v>
      </c>
      <c r="W11" t="s">
        <v>2364</v>
      </c>
      <c r="X11" t="s">
        <v>2189</v>
      </c>
      <c r="Y11" t="s">
        <v>2365</v>
      </c>
      <c r="Z11" t="s">
        <v>2189</v>
      </c>
      <c r="AA11" t="s">
        <v>2366</v>
      </c>
      <c r="AB11" t="s">
        <v>2189</v>
      </c>
      <c r="AC11" t="s">
        <v>2367</v>
      </c>
      <c r="AD11" t="s">
        <v>2189</v>
      </c>
      <c r="AE11" t="s">
        <v>2355</v>
      </c>
      <c r="AF11" t="s">
        <v>2189</v>
      </c>
      <c r="AG11" t="s">
        <v>2356</v>
      </c>
      <c r="AH11" t="s">
        <v>2360</v>
      </c>
      <c r="AI11" t="s">
        <v>2361</v>
      </c>
      <c r="AJ11" t="s">
        <v>2362</v>
      </c>
      <c r="AK11" t="s">
        <v>2363</v>
      </c>
      <c r="AL11" t="s">
        <v>2335</v>
      </c>
      <c r="AM11" t="s">
        <v>2336</v>
      </c>
      <c r="AN11" t="s">
        <v>2337</v>
      </c>
      <c r="AO11" t="s">
        <v>2338</v>
      </c>
      <c r="AP11" t="s">
        <v>2339</v>
      </c>
      <c r="AQ11" t="s">
        <v>2340</v>
      </c>
      <c r="AR11" t="s">
        <v>2341</v>
      </c>
      <c r="AS11" t="s">
        <v>2342</v>
      </c>
      <c r="AT11" t="s">
        <v>2343</v>
      </c>
      <c r="AU11" t="s">
        <v>2344</v>
      </c>
      <c r="AV11" t="s">
        <v>2345</v>
      </c>
      <c r="AW11" t="s">
        <v>2346</v>
      </c>
    </row>
    <row r="12" spans="1:49">
      <c r="A12" t="s">
        <v>1967</v>
      </c>
      <c r="B12" t="s">
        <v>3690</v>
      </c>
      <c r="C12" t="s">
        <v>3691</v>
      </c>
      <c r="D12" t="s">
        <v>3692</v>
      </c>
      <c r="E12" t="s">
        <v>3693</v>
      </c>
      <c r="F12" t="s">
        <v>3694</v>
      </c>
      <c r="G12" t="s">
        <v>3695</v>
      </c>
      <c r="H12" t="s">
        <v>3696</v>
      </c>
      <c r="I12" t="s">
        <v>3697</v>
      </c>
      <c r="J12" t="s">
        <v>3698</v>
      </c>
      <c r="K12" t="s">
        <v>3699</v>
      </c>
      <c r="L12" t="s">
        <v>3700</v>
      </c>
      <c r="M12" t="s">
        <v>3701</v>
      </c>
      <c r="N12" t="s">
        <v>3702</v>
      </c>
      <c r="O12" t="s">
        <v>3703</v>
      </c>
      <c r="P12" t="s">
        <v>3704</v>
      </c>
      <c r="Q12" t="s">
        <v>3705</v>
      </c>
      <c r="R12" t="s">
        <v>3355</v>
      </c>
      <c r="S12" t="s">
        <v>3356</v>
      </c>
      <c r="T12" t="s">
        <v>3357</v>
      </c>
      <c r="U12" t="s">
        <v>3358</v>
      </c>
      <c r="V12" t="s">
        <v>2189</v>
      </c>
      <c r="W12" t="s">
        <v>2384</v>
      </c>
      <c r="X12" t="s">
        <v>2189</v>
      </c>
      <c r="Y12" t="s">
        <v>2385</v>
      </c>
      <c r="Z12" t="s">
        <v>2189</v>
      </c>
      <c r="AA12" t="s">
        <v>2386</v>
      </c>
      <c r="AB12" t="s">
        <v>2189</v>
      </c>
      <c r="AC12" t="s">
        <v>2387</v>
      </c>
      <c r="AD12" t="s">
        <v>2189</v>
      </c>
      <c r="AE12" t="s">
        <v>2388</v>
      </c>
      <c r="AF12" t="s">
        <v>2189</v>
      </c>
      <c r="AG12" t="s">
        <v>2389</v>
      </c>
      <c r="AH12" t="s">
        <v>2368</v>
      </c>
      <c r="AI12" t="s">
        <v>2369</v>
      </c>
      <c r="AJ12" t="s">
        <v>2370</v>
      </c>
      <c r="AK12" t="s">
        <v>2371</v>
      </c>
      <c r="AL12" t="s">
        <v>2372</v>
      </c>
      <c r="AM12" t="s">
        <v>2373</v>
      </c>
      <c r="AN12" t="s">
        <v>2374</v>
      </c>
      <c r="AO12" t="s">
        <v>2375</v>
      </c>
      <c r="AP12" t="s">
        <v>2376</v>
      </c>
      <c r="AQ12" t="s">
        <v>2377</v>
      </c>
      <c r="AR12" t="s">
        <v>2378</v>
      </c>
      <c r="AS12" t="s">
        <v>2379</v>
      </c>
      <c r="AT12" t="s">
        <v>2380</v>
      </c>
      <c r="AU12" t="s">
        <v>2381</v>
      </c>
      <c r="AV12" t="s">
        <v>2382</v>
      </c>
      <c r="AW12" t="s">
        <v>2383</v>
      </c>
    </row>
    <row r="13" spans="1:49">
      <c r="A13" t="s">
        <v>1804</v>
      </c>
      <c r="B13" s="1" t="s">
        <v>3706</v>
      </c>
      <c r="C13" s="1" t="s">
        <v>3707</v>
      </c>
      <c r="D13" s="1" t="s">
        <v>3708</v>
      </c>
      <c r="E13" s="1" t="s">
        <v>3709</v>
      </c>
      <c r="F13" s="1" t="s">
        <v>3710</v>
      </c>
      <c r="G13" s="1" t="s">
        <v>3711</v>
      </c>
      <c r="H13" s="1" t="s">
        <v>3712</v>
      </c>
      <c r="I13" s="1" t="s">
        <v>3713</v>
      </c>
      <c r="J13" s="1" t="s">
        <v>3714</v>
      </c>
      <c r="K13" s="1" t="s">
        <v>3715</v>
      </c>
      <c r="L13" s="1" t="s">
        <v>3716</v>
      </c>
      <c r="M13" s="1" t="s">
        <v>3717</v>
      </c>
      <c r="N13" s="1" t="s">
        <v>3718</v>
      </c>
      <c r="O13" s="1" t="s">
        <v>3719</v>
      </c>
      <c r="P13" s="1" t="s">
        <v>3720</v>
      </c>
      <c r="Q13" s="1" t="s">
        <v>3721</v>
      </c>
      <c r="R13" t="s">
        <v>3363</v>
      </c>
      <c r="S13" t="s">
        <v>3364</v>
      </c>
      <c r="T13" t="s">
        <v>3365</v>
      </c>
      <c r="U13" t="s">
        <v>3366</v>
      </c>
      <c r="V13" t="s">
        <v>2404</v>
      </c>
      <c r="W13" t="s">
        <v>2405</v>
      </c>
      <c r="X13" t="s">
        <v>2406</v>
      </c>
      <c r="Y13" t="s">
        <v>2407</v>
      </c>
      <c r="Z13" t="s">
        <v>2189</v>
      </c>
      <c r="AA13" t="s">
        <v>2408</v>
      </c>
      <c r="AB13" t="s">
        <v>2189</v>
      </c>
      <c r="AC13" t="s">
        <v>2409</v>
      </c>
      <c r="AD13" t="s">
        <v>2189</v>
      </c>
      <c r="AE13" t="s">
        <v>2410</v>
      </c>
      <c r="AF13" t="s">
        <v>2411</v>
      </c>
      <c r="AG13" t="s">
        <v>2412</v>
      </c>
      <c r="AH13" t="s">
        <v>2390</v>
      </c>
      <c r="AI13" t="s">
        <v>2390</v>
      </c>
      <c r="AJ13" t="s">
        <v>2391</v>
      </c>
      <c r="AK13" t="s">
        <v>2392</v>
      </c>
      <c r="AL13" t="s">
        <v>2392</v>
      </c>
      <c r="AM13" t="s">
        <v>2393</v>
      </c>
      <c r="AN13" t="s">
        <v>2394</v>
      </c>
      <c r="AO13" t="s">
        <v>2395</v>
      </c>
      <c r="AP13" t="s">
        <v>2396</v>
      </c>
      <c r="AQ13" t="s">
        <v>2397</v>
      </c>
      <c r="AR13" t="s">
        <v>2398</v>
      </c>
      <c r="AS13" t="s">
        <v>2399</v>
      </c>
      <c r="AT13" t="s">
        <v>2400</v>
      </c>
      <c r="AU13" t="s">
        <v>2401</v>
      </c>
      <c r="AV13" t="s">
        <v>2402</v>
      </c>
      <c r="AW13" t="s">
        <v>2403</v>
      </c>
    </row>
    <row r="14" spans="1:49">
      <c r="A14" t="s">
        <v>1977</v>
      </c>
      <c r="B14" t="s">
        <v>3722</v>
      </c>
      <c r="C14" t="s">
        <v>3723</v>
      </c>
      <c r="D14" t="s">
        <v>3724</v>
      </c>
      <c r="E14" t="s">
        <v>3725</v>
      </c>
      <c r="F14" t="s">
        <v>3706</v>
      </c>
      <c r="G14" t="s">
        <v>3707</v>
      </c>
      <c r="H14" t="s">
        <v>3708</v>
      </c>
      <c r="I14" t="s">
        <v>3709</v>
      </c>
      <c r="J14" t="s">
        <v>3710</v>
      </c>
      <c r="K14" t="s">
        <v>3711</v>
      </c>
      <c r="L14" t="s">
        <v>3712</v>
      </c>
      <c r="M14" t="s">
        <v>3713</v>
      </c>
      <c r="N14" t="s">
        <v>3714</v>
      </c>
      <c r="O14" t="s">
        <v>3715</v>
      </c>
      <c r="P14" t="s">
        <v>3716</v>
      </c>
      <c r="Q14" t="s">
        <v>3717</v>
      </c>
      <c r="R14" t="s">
        <v>3359</v>
      </c>
      <c r="S14" t="s">
        <v>3360</v>
      </c>
      <c r="T14" t="s">
        <v>3361</v>
      </c>
      <c r="U14" t="s">
        <v>3362</v>
      </c>
      <c r="V14" t="s">
        <v>2189</v>
      </c>
      <c r="W14" t="s">
        <v>2415</v>
      </c>
      <c r="X14" t="s">
        <v>2189</v>
      </c>
      <c r="Y14" t="s">
        <v>2404</v>
      </c>
      <c r="Z14" t="s">
        <v>2189</v>
      </c>
      <c r="AA14" t="s">
        <v>2416</v>
      </c>
      <c r="AB14" t="s">
        <v>2189</v>
      </c>
      <c r="AC14" t="s">
        <v>2417</v>
      </c>
      <c r="AD14" t="s">
        <v>2189</v>
      </c>
      <c r="AE14" t="s">
        <v>2408</v>
      </c>
      <c r="AF14" t="s">
        <v>2189</v>
      </c>
      <c r="AG14" t="s">
        <v>2409</v>
      </c>
      <c r="AH14" t="s">
        <v>2413</v>
      </c>
      <c r="AI14" t="s">
        <v>2414</v>
      </c>
      <c r="AJ14" t="s">
        <v>2414</v>
      </c>
      <c r="AK14" t="s">
        <v>2390</v>
      </c>
      <c r="AL14" t="s">
        <v>2390</v>
      </c>
      <c r="AM14" t="s">
        <v>2390</v>
      </c>
      <c r="AN14" t="s">
        <v>2391</v>
      </c>
      <c r="AO14" t="s">
        <v>2392</v>
      </c>
      <c r="AP14" t="s">
        <v>2392</v>
      </c>
      <c r="AQ14" t="s">
        <v>2393</v>
      </c>
      <c r="AR14" t="s">
        <v>2394</v>
      </c>
      <c r="AS14" t="s">
        <v>2395</v>
      </c>
      <c r="AT14" t="s">
        <v>2396</v>
      </c>
      <c r="AU14" t="s">
        <v>2397</v>
      </c>
      <c r="AV14" t="s">
        <v>2398</v>
      </c>
      <c r="AW14" t="s">
        <v>2399</v>
      </c>
    </row>
    <row r="15" spans="1:49">
      <c r="A15" t="s">
        <v>1982</v>
      </c>
      <c r="B15" t="s">
        <v>3726</v>
      </c>
      <c r="C15" t="s">
        <v>3727</v>
      </c>
      <c r="D15" t="s">
        <v>3728</v>
      </c>
      <c r="E15" t="s">
        <v>3729</v>
      </c>
      <c r="F15" t="s">
        <v>3730</v>
      </c>
      <c r="G15" t="s">
        <v>3731</v>
      </c>
      <c r="H15" t="s">
        <v>3732</v>
      </c>
      <c r="I15" t="s">
        <v>3733</v>
      </c>
      <c r="J15" t="s">
        <v>3734</v>
      </c>
      <c r="K15" t="s">
        <v>3735</v>
      </c>
      <c r="L15" t="s">
        <v>3736</v>
      </c>
      <c r="M15" t="s">
        <v>3737</v>
      </c>
      <c r="N15" t="s">
        <v>3738</v>
      </c>
      <c r="O15" t="s">
        <v>3739</v>
      </c>
      <c r="P15" t="s">
        <v>3740</v>
      </c>
      <c r="Q15" t="s">
        <v>3741</v>
      </c>
      <c r="R15" t="s">
        <v>3367</v>
      </c>
      <c r="S15" t="s">
        <v>3368</v>
      </c>
      <c r="T15" t="s">
        <v>3369</v>
      </c>
      <c r="U15" t="s">
        <v>3370</v>
      </c>
      <c r="V15" t="s">
        <v>2189</v>
      </c>
      <c r="W15" t="s">
        <v>2433</v>
      </c>
      <c r="X15" t="s">
        <v>2189</v>
      </c>
      <c r="Y15" t="s">
        <v>2434</v>
      </c>
      <c r="Z15" t="s">
        <v>2189</v>
      </c>
      <c r="AA15" t="s">
        <v>2435</v>
      </c>
      <c r="AB15" t="s">
        <v>2189</v>
      </c>
      <c r="AC15" t="s">
        <v>2436</v>
      </c>
      <c r="AD15" t="s">
        <v>2189</v>
      </c>
      <c r="AE15" t="s">
        <v>2437</v>
      </c>
      <c r="AF15" t="s">
        <v>2189</v>
      </c>
      <c r="AG15" t="s">
        <v>2438</v>
      </c>
      <c r="AH15" t="s">
        <v>2418</v>
      </c>
      <c r="AI15" t="s">
        <v>2419</v>
      </c>
      <c r="AJ15" t="s">
        <v>2420</v>
      </c>
      <c r="AK15" t="s">
        <v>2421</v>
      </c>
      <c r="AL15" t="s">
        <v>2421</v>
      </c>
      <c r="AM15" t="s">
        <v>2422</v>
      </c>
      <c r="AN15" t="s">
        <v>2423</v>
      </c>
      <c r="AO15" t="s">
        <v>2424</v>
      </c>
      <c r="AP15" t="s">
        <v>2425</v>
      </c>
      <c r="AQ15" t="s">
        <v>2426</v>
      </c>
      <c r="AR15" t="s">
        <v>2427</v>
      </c>
      <c r="AS15" t="s">
        <v>2428</v>
      </c>
      <c r="AT15" t="s">
        <v>2429</v>
      </c>
      <c r="AU15" t="s">
        <v>2430</v>
      </c>
      <c r="AV15" t="s">
        <v>2431</v>
      </c>
      <c r="AW15" t="s">
        <v>2432</v>
      </c>
    </row>
    <row r="16" spans="1:49">
      <c r="A16" t="s">
        <v>1805</v>
      </c>
      <c r="B16" t="s">
        <v>3742</v>
      </c>
      <c r="C16" t="s">
        <v>3743</v>
      </c>
      <c r="D16" t="s">
        <v>3744</v>
      </c>
      <c r="E16" t="s">
        <v>3745</v>
      </c>
      <c r="F16" t="s">
        <v>3746</v>
      </c>
      <c r="G16" t="s">
        <v>3747</v>
      </c>
      <c r="H16" t="s">
        <v>3748</v>
      </c>
      <c r="I16" t="s">
        <v>3749</v>
      </c>
      <c r="J16" t="s">
        <v>3750</v>
      </c>
      <c r="K16" t="s">
        <v>3751</v>
      </c>
      <c r="L16" t="s">
        <v>3752</v>
      </c>
      <c r="M16" t="s">
        <v>3753</v>
      </c>
      <c r="N16" t="s">
        <v>3754</v>
      </c>
      <c r="O16" t="s">
        <v>3755</v>
      </c>
      <c r="P16" t="s">
        <v>3756</v>
      </c>
      <c r="Q16" t="s">
        <v>3757</v>
      </c>
      <c r="R16" t="s">
        <v>3375</v>
      </c>
      <c r="S16" t="s">
        <v>3376</v>
      </c>
      <c r="T16" t="s">
        <v>3377</v>
      </c>
      <c r="U16" t="s">
        <v>3378</v>
      </c>
      <c r="V16" t="s">
        <v>2455</v>
      </c>
      <c r="W16" t="s">
        <v>2456</v>
      </c>
      <c r="X16" t="s">
        <v>2457</v>
      </c>
      <c r="Y16" t="s">
        <v>2458</v>
      </c>
      <c r="Z16" t="s">
        <v>2189</v>
      </c>
      <c r="AA16" t="s">
        <v>2459</v>
      </c>
      <c r="AB16" t="s">
        <v>2189</v>
      </c>
      <c r="AC16" t="s">
        <v>2460</v>
      </c>
      <c r="AD16" t="s">
        <v>2189</v>
      </c>
      <c r="AE16" t="s">
        <v>2461</v>
      </c>
      <c r="AF16" t="s">
        <v>2462</v>
      </c>
      <c r="AG16" t="s">
        <v>2463</v>
      </c>
      <c r="AH16" t="s">
        <v>2439</v>
      </c>
      <c r="AI16" t="s">
        <v>2440</v>
      </c>
      <c r="AJ16" t="s">
        <v>2441</v>
      </c>
      <c r="AK16" t="s">
        <v>2442</v>
      </c>
      <c r="AL16" t="s">
        <v>2443</v>
      </c>
      <c r="AM16" t="s">
        <v>2444</v>
      </c>
      <c r="AN16" t="s">
        <v>2445</v>
      </c>
      <c r="AO16" t="s">
        <v>2446</v>
      </c>
      <c r="AP16" t="s">
        <v>2447</v>
      </c>
      <c r="AQ16" t="s">
        <v>2448</v>
      </c>
      <c r="AR16" t="s">
        <v>2449</v>
      </c>
      <c r="AS16" t="s">
        <v>2450</v>
      </c>
      <c r="AT16" t="s">
        <v>2451</v>
      </c>
      <c r="AU16" t="s">
        <v>2452</v>
      </c>
      <c r="AV16" t="s">
        <v>2453</v>
      </c>
      <c r="AW16" t="s">
        <v>2454</v>
      </c>
    </row>
    <row r="17" spans="1:49">
      <c r="A17" t="s">
        <v>1991</v>
      </c>
      <c r="B17" t="s">
        <v>3758</v>
      </c>
      <c r="C17" t="s">
        <v>3759</v>
      </c>
      <c r="D17" t="s">
        <v>3760</v>
      </c>
      <c r="E17" t="s">
        <v>3761</v>
      </c>
      <c r="F17" t="s">
        <v>3742</v>
      </c>
      <c r="G17" t="s">
        <v>3743</v>
      </c>
      <c r="H17" t="s">
        <v>3744</v>
      </c>
      <c r="I17" t="s">
        <v>3745</v>
      </c>
      <c r="J17" t="s">
        <v>3746</v>
      </c>
      <c r="K17" t="s">
        <v>3747</v>
      </c>
      <c r="L17" t="s">
        <v>3748</v>
      </c>
      <c r="M17" t="s">
        <v>3749</v>
      </c>
      <c r="N17" t="s">
        <v>3750</v>
      </c>
      <c r="O17" t="s">
        <v>3751</v>
      </c>
      <c r="P17" t="s">
        <v>3752</v>
      </c>
      <c r="Q17" t="s">
        <v>3753</v>
      </c>
      <c r="R17" t="s">
        <v>3371</v>
      </c>
      <c r="S17" t="s">
        <v>3372</v>
      </c>
      <c r="T17" t="s">
        <v>3373</v>
      </c>
      <c r="U17" t="s">
        <v>3374</v>
      </c>
      <c r="V17" t="s">
        <v>2189</v>
      </c>
      <c r="W17" t="s">
        <v>2468</v>
      </c>
      <c r="X17" t="s">
        <v>2189</v>
      </c>
      <c r="Y17" t="s">
        <v>2469</v>
      </c>
      <c r="Z17" t="s">
        <v>2189</v>
      </c>
      <c r="AA17" t="s">
        <v>2470</v>
      </c>
      <c r="AB17" t="s">
        <v>2189</v>
      </c>
      <c r="AC17" t="s">
        <v>2471</v>
      </c>
      <c r="AD17" t="s">
        <v>2189</v>
      </c>
      <c r="AE17" t="s">
        <v>2459</v>
      </c>
      <c r="AF17" t="s">
        <v>2189</v>
      </c>
      <c r="AG17" t="s">
        <v>2460</v>
      </c>
      <c r="AH17" t="s">
        <v>2464</v>
      </c>
      <c r="AI17" t="s">
        <v>2465</v>
      </c>
      <c r="AJ17" t="s">
        <v>2466</v>
      </c>
      <c r="AK17" t="s">
        <v>2467</v>
      </c>
      <c r="AL17" t="s">
        <v>2439</v>
      </c>
      <c r="AM17" t="s">
        <v>2440</v>
      </c>
      <c r="AN17" t="s">
        <v>2441</v>
      </c>
      <c r="AO17" t="s">
        <v>2442</v>
      </c>
      <c r="AP17" t="s">
        <v>2443</v>
      </c>
      <c r="AQ17" t="s">
        <v>2444</v>
      </c>
      <c r="AR17" t="s">
        <v>2445</v>
      </c>
      <c r="AS17" t="s">
        <v>2446</v>
      </c>
      <c r="AT17" t="s">
        <v>2447</v>
      </c>
      <c r="AU17" t="s">
        <v>2448</v>
      </c>
      <c r="AV17" t="s">
        <v>2449</v>
      </c>
      <c r="AW17" t="s">
        <v>2450</v>
      </c>
    </row>
    <row r="18" spans="1:49">
      <c r="A18" t="s">
        <v>1996</v>
      </c>
      <c r="B18" t="s">
        <v>3762</v>
      </c>
      <c r="C18" t="s">
        <v>3763</v>
      </c>
      <c r="D18" t="s">
        <v>3764</v>
      </c>
      <c r="E18" t="s">
        <v>3765</v>
      </c>
      <c r="F18" t="s">
        <v>3766</v>
      </c>
      <c r="G18" t="s">
        <v>3767</v>
      </c>
      <c r="H18" t="s">
        <v>3768</v>
      </c>
      <c r="I18" t="s">
        <v>3769</v>
      </c>
      <c r="J18" t="s">
        <v>3770</v>
      </c>
      <c r="K18" t="s">
        <v>3771</v>
      </c>
      <c r="L18" t="s">
        <v>3772</v>
      </c>
      <c r="M18" t="s">
        <v>3773</v>
      </c>
      <c r="N18" t="s">
        <v>3774</v>
      </c>
      <c r="O18" t="s">
        <v>3775</v>
      </c>
      <c r="P18" t="s">
        <v>3776</v>
      </c>
      <c r="Q18" t="s">
        <v>3777</v>
      </c>
      <c r="R18" t="s">
        <v>3379</v>
      </c>
      <c r="S18" t="s">
        <v>3380</v>
      </c>
      <c r="T18" t="s">
        <v>3381</v>
      </c>
      <c r="U18" t="s">
        <v>3382</v>
      </c>
      <c r="V18" t="s">
        <v>2189</v>
      </c>
      <c r="W18" t="s">
        <v>2488</v>
      </c>
      <c r="X18" t="s">
        <v>2189</v>
      </c>
      <c r="Y18" t="s">
        <v>2489</v>
      </c>
      <c r="Z18" t="s">
        <v>2189</v>
      </c>
      <c r="AA18" t="s">
        <v>2490</v>
      </c>
      <c r="AB18" t="s">
        <v>2189</v>
      </c>
      <c r="AC18" t="s">
        <v>2491</v>
      </c>
      <c r="AD18" t="s">
        <v>2189</v>
      </c>
      <c r="AE18" t="s">
        <v>2492</v>
      </c>
      <c r="AF18" t="s">
        <v>2189</v>
      </c>
      <c r="AG18" t="s">
        <v>2493</v>
      </c>
      <c r="AH18" t="s">
        <v>2472</v>
      </c>
      <c r="AI18" t="s">
        <v>2473</v>
      </c>
      <c r="AJ18" t="s">
        <v>2474</v>
      </c>
      <c r="AK18" t="s">
        <v>2475</v>
      </c>
      <c r="AL18" t="s">
        <v>2476</v>
      </c>
      <c r="AM18" t="s">
        <v>2477</v>
      </c>
      <c r="AN18" t="s">
        <v>2478</v>
      </c>
      <c r="AO18" t="s">
        <v>2479</v>
      </c>
      <c r="AP18" t="s">
        <v>2480</v>
      </c>
      <c r="AQ18" t="s">
        <v>2481</v>
      </c>
      <c r="AR18" t="s">
        <v>2482</v>
      </c>
      <c r="AS18" t="s">
        <v>2483</v>
      </c>
      <c r="AT18" t="s">
        <v>2484</v>
      </c>
      <c r="AU18" t="s">
        <v>2485</v>
      </c>
      <c r="AV18" t="s">
        <v>2486</v>
      </c>
      <c r="AW18" t="s">
        <v>2487</v>
      </c>
    </row>
    <row r="19" spans="1:49">
      <c r="A19" t="s">
        <v>1806</v>
      </c>
      <c r="B19" t="s">
        <v>3778</v>
      </c>
      <c r="C19" t="s">
        <v>3779</v>
      </c>
      <c r="D19" t="s">
        <v>3780</v>
      </c>
      <c r="E19" t="s">
        <v>3781</v>
      </c>
      <c r="F19" t="s">
        <v>3782</v>
      </c>
      <c r="G19" t="s">
        <v>3783</v>
      </c>
      <c r="H19" t="s">
        <v>3784</v>
      </c>
      <c r="I19" t="s">
        <v>3785</v>
      </c>
      <c r="J19" t="s">
        <v>3786</v>
      </c>
      <c r="K19" t="s">
        <v>3787</v>
      </c>
      <c r="L19" t="s">
        <v>3788</v>
      </c>
      <c r="M19" t="s">
        <v>3789</v>
      </c>
      <c r="N19" t="s">
        <v>3790</v>
      </c>
      <c r="O19" t="s">
        <v>3791</v>
      </c>
      <c r="P19" t="s">
        <v>3792</v>
      </c>
      <c r="Q19" t="s">
        <v>3793</v>
      </c>
      <c r="R19" t="s">
        <v>3387</v>
      </c>
      <c r="S19" t="s">
        <v>3388</v>
      </c>
      <c r="T19" t="s">
        <v>3389</v>
      </c>
      <c r="U19" t="s">
        <v>3390</v>
      </c>
      <c r="V19" t="s">
        <v>2510</v>
      </c>
      <c r="W19" t="s">
        <v>2511</v>
      </c>
      <c r="X19" t="s">
        <v>2512</v>
      </c>
      <c r="Y19" t="s">
        <v>2513</v>
      </c>
      <c r="Z19" t="s">
        <v>2189</v>
      </c>
      <c r="AA19" t="s">
        <v>2514</v>
      </c>
      <c r="AB19" t="s">
        <v>2189</v>
      </c>
      <c r="AC19" t="s">
        <v>2515</v>
      </c>
      <c r="AD19" t="s">
        <v>2189</v>
      </c>
      <c r="AE19" t="s">
        <v>2516</v>
      </c>
      <c r="AF19" t="s">
        <v>2517</v>
      </c>
      <c r="AG19" t="s">
        <v>2518</v>
      </c>
      <c r="AH19" t="s">
        <v>2494</v>
      </c>
      <c r="AI19" t="s">
        <v>2495</v>
      </c>
      <c r="AJ19" t="s">
        <v>2496</v>
      </c>
      <c r="AK19" t="s">
        <v>2497</v>
      </c>
      <c r="AL19" t="s">
        <v>2498</v>
      </c>
      <c r="AM19" t="s">
        <v>2499</v>
      </c>
      <c r="AN19" t="s">
        <v>2500</v>
      </c>
      <c r="AO19" t="s">
        <v>2501</v>
      </c>
      <c r="AP19" t="s">
        <v>2502</v>
      </c>
      <c r="AQ19" t="s">
        <v>2503</v>
      </c>
      <c r="AR19" t="s">
        <v>2504</v>
      </c>
      <c r="AS19" t="s">
        <v>2505</v>
      </c>
      <c r="AT19" t="s">
        <v>2506</v>
      </c>
      <c r="AU19" t="s">
        <v>2507</v>
      </c>
      <c r="AV19" t="s">
        <v>2508</v>
      </c>
      <c r="AW19" t="s">
        <v>2509</v>
      </c>
    </row>
    <row r="20" spans="1:49">
      <c r="A20" t="s">
        <v>2004</v>
      </c>
      <c r="B20" t="s">
        <v>3794</v>
      </c>
      <c r="C20" t="s">
        <v>3795</v>
      </c>
      <c r="D20" t="s">
        <v>3796</v>
      </c>
      <c r="E20" t="s">
        <v>3797</v>
      </c>
      <c r="F20" t="s">
        <v>3778</v>
      </c>
      <c r="G20" t="s">
        <v>3779</v>
      </c>
      <c r="H20" t="s">
        <v>3780</v>
      </c>
      <c r="I20" t="s">
        <v>3781</v>
      </c>
      <c r="J20" t="s">
        <v>3782</v>
      </c>
      <c r="K20" t="s">
        <v>3783</v>
      </c>
      <c r="L20" t="s">
        <v>3784</v>
      </c>
      <c r="M20" t="s">
        <v>3785</v>
      </c>
      <c r="N20" t="s">
        <v>3786</v>
      </c>
      <c r="O20" t="s">
        <v>3787</v>
      </c>
      <c r="P20" t="s">
        <v>3788</v>
      </c>
      <c r="Q20" t="s">
        <v>3789</v>
      </c>
      <c r="R20" t="s">
        <v>3383</v>
      </c>
      <c r="S20" t="s">
        <v>3384</v>
      </c>
      <c r="T20" t="s">
        <v>3385</v>
      </c>
      <c r="U20" t="s">
        <v>3386</v>
      </c>
      <c r="V20" t="s">
        <v>2189</v>
      </c>
      <c r="W20" t="s">
        <v>2523</v>
      </c>
      <c r="X20" t="s">
        <v>2189</v>
      </c>
      <c r="Y20" t="s">
        <v>2524</v>
      </c>
      <c r="Z20" t="s">
        <v>2189</v>
      </c>
      <c r="AA20" t="s">
        <v>2525</v>
      </c>
      <c r="AB20" t="s">
        <v>2189</v>
      </c>
      <c r="AC20" t="s">
        <v>2526</v>
      </c>
      <c r="AD20" t="s">
        <v>2189</v>
      </c>
      <c r="AE20" t="s">
        <v>2514</v>
      </c>
      <c r="AF20" t="s">
        <v>2189</v>
      </c>
      <c r="AG20" t="s">
        <v>2515</v>
      </c>
      <c r="AH20" t="s">
        <v>2519</v>
      </c>
      <c r="AI20" t="s">
        <v>2520</v>
      </c>
      <c r="AJ20" t="s">
        <v>2521</v>
      </c>
      <c r="AK20" t="s">
        <v>2522</v>
      </c>
      <c r="AL20" t="s">
        <v>2494</v>
      </c>
      <c r="AM20" t="s">
        <v>2495</v>
      </c>
      <c r="AN20" t="s">
        <v>2496</v>
      </c>
      <c r="AO20" t="s">
        <v>2497</v>
      </c>
      <c r="AP20" t="s">
        <v>2498</v>
      </c>
      <c r="AQ20" t="s">
        <v>2499</v>
      </c>
      <c r="AR20" t="s">
        <v>2500</v>
      </c>
      <c r="AS20" t="s">
        <v>2501</v>
      </c>
      <c r="AT20" t="s">
        <v>2502</v>
      </c>
      <c r="AU20" t="s">
        <v>2503</v>
      </c>
      <c r="AV20" t="s">
        <v>2504</v>
      </c>
      <c r="AW20" t="s">
        <v>2505</v>
      </c>
    </row>
    <row r="21" spans="1:49">
      <c r="A21" t="s">
        <v>2008</v>
      </c>
      <c r="B21" t="s">
        <v>3798</v>
      </c>
      <c r="C21" t="s">
        <v>3799</v>
      </c>
      <c r="D21" t="s">
        <v>3800</v>
      </c>
      <c r="E21" t="s">
        <v>3801</v>
      </c>
      <c r="F21" t="s">
        <v>3802</v>
      </c>
      <c r="G21" t="s">
        <v>3803</v>
      </c>
      <c r="H21" t="s">
        <v>3804</v>
      </c>
      <c r="I21" t="s">
        <v>3805</v>
      </c>
      <c r="J21" t="s">
        <v>3806</v>
      </c>
      <c r="K21" t="s">
        <v>3807</v>
      </c>
      <c r="L21" t="s">
        <v>3808</v>
      </c>
      <c r="M21" t="s">
        <v>3809</v>
      </c>
      <c r="N21" t="s">
        <v>3810</v>
      </c>
      <c r="O21" t="s">
        <v>3811</v>
      </c>
      <c r="P21" t="s">
        <v>3812</v>
      </c>
      <c r="Q21" t="s">
        <v>3813</v>
      </c>
      <c r="R21" t="s">
        <v>3391</v>
      </c>
      <c r="S21" t="s">
        <v>3392</v>
      </c>
      <c r="T21" t="s">
        <v>3393</v>
      </c>
      <c r="U21" t="s">
        <v>3394</v>
      </c>
      <c r="V21" t="s">
        <v>2189</v>
      </c>
      <c r="W21" t="s">
        <v>2543</v>
      </c>
      <c r="X21" t="s">
        <v>2189</v>
      </c>
      <c r="Y21" t="s">
        <v>2544</v>
      </c>
      <c r="Z21" t="s">
        <v>2189</v>
      </c>
      <c r="AA21" t="s">
        <v>2545</v>
      </c>
      <c r="AB21" t="s">
        <v>2189</v>
      </c>
      <c r="AC21" t="s">
        <v>2546</v>
      </c>
      <c r="AD21" t="s">
        <v>2189</v>
      </c>
      <c r="AE21" t="s">
        <v>2547</v>
      </c>
      <c r="AF21" t="s">
        <v>2189</v>
      </c>
      <c r="AG21" t="s">
        <v>2548</v>
      </c>
      <c r="AH21" t="s">
        <v>2527</v>
      </c>
      <c r="AI21" t="s">
        <v>2528</v>
      </c>
      <c r="AJ21" t="s">
        <v>2529</v>
      </c>
      <c r="AK21" t="s">
        <v>2530</v>
      </c>
      <c r="AL21" t="s">
        <v>2531</v>
      </c>
      <c r="AM21" t="s">
        <v>2532</v>
      </c>
      <c r="AN21" t="s">
        <v>2533</v>
      </c>
      <c r="AO21" t="s">
        <v>2534</v>
      </c>
      <c r="AP21" t="s">
        <v>2535</v>
      </c>
      <c r="AQ21" t="s">
        <v>2536</v>
      </c>
      <c r="AR21" t="s">
        <v>2537</v>
      </c>
      <c r="AS21" t="s">
        <v>2538</v>
      </c>
      <c r="AT21" t="s">
        <v>2539</v>
      </c>
      <c r="AU21" t="s">
        <v>2540</v>
      </c>
      <c r="AV21" t="s">
        <v>2541</v>
      </c>
      <c r="AW21" t="s">
        <v>2542</v>
      </c>
    </row>
    <row r="22" spans="1:49">
      <c r="A22" t="s">
        <v>1468</v>
      </c>
      <c r="B22" t="s">
        <v>3814</v>
      </c>
      <c r="C22" t="s">
        <v>3815</v>
      </c>
      <c r="D22" t="s">
        <v>3816</v>
      </c>
      <c r="E22" t="s">
        <v>3817</v>
      </c>
      <c r="F22" t="s">
        <v>3818</v>
      </c>
      <c r="G22" t="s">
        <v>3819</v>
      </c>
      <c r="H22" t="s">
        <v>3820</v>
      </c>
      <c r="I22" t="s">
        <v>3821</v>
      </c>
      <c r="J22" t="s">
        <v>3822</v>
      </c>
      <c r="K22" t="s">
        <v>3823</v>
      </c>
      <c r="L22" t="s">
        <v>3824</v>
      </c>
      <c r="M22" t="s">
        <v>3825</v>
      </c>
      <c r="N22" t="s">
        <v>3826</v>
      </c>
      <c r="O22" t="s">
        <v>3827</v>
      </c>
      <c r="P22" t="s">
        <v>3828</v>
      </c>
      <c r="Q22" t="s">
        <v>3829</v>
      </c>
      <c r="R22" t="s">
        <v>3399</v>
      </c>
      <c r="S22" t="s">
        <v>3400</v>
      </c>
      <c r="T22" t="s">
        <v>3401</v>
      </c>
      <c r="U22" t="s">
        <v>3402</v>
      </c>
      <c r="V22" t="s">
        <v>2564</v>
      </c>
      <c r="W22" t="s">
        <v>2565</v>
      </c>
      <c r="X22" t="s">
        <v>2566</v>
      </c>
      <c r="Y22" t="s">
        <v>2567</v>
      </c>
      <c r="Z22" t="s">
        <v>2189</v>
      </c>
      <c r="AA22" t="s">
        <v>2568</v>
      </c>
      <c r="AB22" t="s">
        <v>2189</v>
      </c>
      <c r="AC22" t="s">
        <v>2569</v>
      </c>
      <c r="AD22" t="s">
        <v>2189</v>
      </c>
      <c r="AE22" t="s">
        <v>2570</v>
      </c>
      <c r="AF22" t="s">
        <v>2571</v>
      </c>
      <c r="AG22" t="s">
        <v>2572</v>
      </c>
      <c r="AH22" t="s">
        <v>2549</v>
      </c>
      <c r="AI22" t="s">
        <v>2550</v>
      </c>
      <c r="AJ22" t="s">
        <v>2551</v>
      </c>
      <c r="AK22" t="s">
        <v>2552</v>
      </c>
      <c r="AL22" t="s">
        <v>2553</v>
      </c>
      <c r="AM22" t="s">
        <v>2554</v>
      </c>
      <c r="AN22" t="s">
        <v>2573</v>
      </c>
      <c r="AO22" t="s">
        <v>2556</v>
      </c>
      <c r="AP22" t="s">
        <v>2557</v>
      </c>
      <c r="AQ22" t="s">
        <v>2558</v>
      </c>
      <c r="AR22" t="s">
        <v>2574</v>
      </c>
      <c r="AS22" t="s">
        <v>2560</v>
      </c>
      <c r="AT22" t="s">
        <v>2561</v>
      </c>
      <c r="AU22" t="s">
        <v>2562</v>
      </c>
      <c r="AV22" t="s">
        <v>2575</v>
      </c>
      <c r="AW22" t="s">
        <v>2563</v>
      </c>
    </row>
    <row r="23" spans="1:49">
      <c r="A23" t="s">
        <v>2016</v>
      </c>
      <c r="B23" t="s">
        <v>3830</v>
      </c>
      <c r="C23" t="s">
        <v>3831</v>
      </c>
      <c r="D23" t="s">
        <v>3832</v>
      </c>
      <c r="E23" t="s">
        <v>3833</v>
      </c>
      <c r="F23" t="s">
        <v>3814</v>
      </c>
      <c r="G23" t="s">
        <v>3815</v>
      </c>
      <c r="H23" t="s">
        <v>3816</v>
      </c>
      <c r="I23" t="s">
        <v>3817</v>
      </c>
      <c r="J23" t="s">
        <v>3818</v>
      </c>
      <c r="K23" t="s">
        <v>3819</v>
      </c>
      <c r="L23" t="s">
        <v>3820</v>
      </c>
      <c r="M23" t="s">
        <v>3821</v>
      </c>
      <c r="N23" t="s">
        <v>3822</v>
      </c>
      <c r="O23" t="s">
        <v>3823</v>
      </c>
      <c r="P23" t="s">
        <v>3824</v>
      </c>
      <c r="Q23" t="s">
        <v>3825</v>
      </c>
      <c r="R23" t="s">
        <v>3395</v>
      </c>
      <c r="S23" t="s">
        <v>3396</v>
      </c>
      <c r="T23" t="s">
        <v>3397</v>
      </c>
      <c r="U23" t="s">
        <v>3398</v>
      </c>
      <c r="V23" t="s">
        <v>2579</v>
      </c>
      <c r="W23" t="s">
        <v>2580</v>
      </c>
      <c r="X23" t="s">
        <v>2581</v>
      </c>
      <c r="Y23" t="s">
        <v>2582</v>
      </c>
      <c r="Z23" t="s">
        <v>2189</v>
      </c>
      <c r="AA23" t="s">
        <v>2583</v>
      </c>
      <c r="AB23" t="s">
        <v>2189</v>
      </c>
      <c r="AC23" t="s">
        <v>2584</v>
      </c>
      <c r="AD23" t="s">
        <v>2189</v>
      </c>
      <c r="AE23" t="s">
        <v>2568</v>
      </c>
      <c r="AF23" t="s">
        <v>2585</v>
      </c>
      <c r="AG23" t="s">
        <v>2569</v>
      </c>
      <c r="AH23" t="s">
        <v>2576</v>
      </c>
      <c r="AI23" t="s">
        <v>2577</v>
      </c>
      <c r="AJ23" t="s">
        <v>2586</v>
      </c>
      <c r="AK23" t="s">
        <v>2578</v>
      </c>
      <c r="AL23" t="s">
        <v>2549</v>
      </c>
      <c r="AM23" t="s">
        <v>2550</v>
      </c>
      <c r="AN23" t="s">
        <v>2587</v>
      </c>
      <c r="AO23" t="s">
        <v>2552</v>
      </c>
      <c r="AP23" t="s">
        <v>2553</v>
      </c>
      <c r="AQ23" t="s">
        <v>2554</v>
      </c>
      <c r="AR23" t="s">
        <v>2555</v>
      </c>
      <c r="AS23" t="s">
        <v>2556</v>
      </c>
      <c r="AT23" t="s">
        <v>2557</v>
      </c>
      <c r="AU23" t="s">
        <v>2558</v>
      </c>
      <c r="AV23" t="s">
        <v>2559</v>
      </c>
      <c r="AW23" t="s">
        <v>2560</v>
      </c>
    </row>
    <row r="24" spans="1:49">
      <c r="A24" t="s">
        <v>2020</v>
      </c>
      <c r="B24" t="s">
        <v>3834</v>
      </c>
      <c r="C24" t="s">
        <v>3835</v>
      </c>
      <c r="D24" t="s">
        <v>3836</v>
      </c>
      <c r="E24" t="s">
        <v>3837</v>
      </c>
      <c r="F24" t="s">
        <v>3838</v>
      </c>
      <c r="G24" t="s">
        <v>3839</v>
      </c>
      <c r="H24" t="s">
        <v>3840</v>
      </c>
      <c r="I24" t="s">
        <v>3841</v>
      </c>
      <c r="J24" t="s">
        <v>3842</v>
      </c>
      <c r="K24" t="s">
        <v>3843</v>
      </c>
      <c r="L24" t="s">
        <v>3844</v>
      </c>
      <c r="M24" t="s">
        <v>3845</v>
      </c>
      <c r="N24" t="s">
        <v>3846</v>
      </c>
      <c r="O24" t="s">
        <v>3847</v>
      </c>
      <c r="P24" t="s">
        <v>3848</v>
      </c>
      <c r="Q24" t="s">
        <v>3849</v>
      </c>
      <c r="R24" t="s">
        <v>3403</v>
      </c>
      <c r="S24" t="s">
        <v>3404</v>
      </c>
      <c r="T24" t="s">
        <v>3405</v>
      </c>
      <c r="U24" t="s">
        <v>3406</v>
      </c>
      <c r="V24" t="s">
        <v>2600</v>
      </c>
      <c r="W24" t="s">
        <v>2601</v>
      </c>
      <c r="X24" t="s">
        <v>2602</v>
      </c>
      <c r="Y24" t="s">
        <v>2603</v>
      </c>
      <c r="Z24" t="s">
        <v>2189</v>
      </c>
      <c r="AA24" t="s">
        <v>2604</v>
      </c>
      <c r="AB24" t="s">
        <v>2189</v>
      </c>
      <c r="AC24" t="s">
        <v>2605</v>
      </c>
      <c r="AD24" t="s">
        <v>2189</v>
      </c>
      <c r="AE24" t="s">
        <v>2606</v>
      </c>
      <c r="AF24" t="s">
        <v>2607</v>
      </c>
      <c r="AG24" t="s">
        <v>2608</v>
      </c>
      <c r="AH24" t="s">
        <v>2588</v>
      </c>
      <c r="AI24" t="s">
        <v>2589</v>
      </c>
      <c r="AJ24" t="s">
        <v>2609</v>
      </c>
      <c r="AK24" t="s">
        <v>2590</v>
      </c>
      <c r="AL24" t="s">
        <v>2591</v>
      </c>
      <c r="AM24" t="s">
        <v>2592</v>
      </c>
      <c r="AN24" t="s">
        <v>2610</v>
      </c>
      <c r="AO24" t="s">
        <v>2593</v>
      </c>
      <c r="AP24" t="s">
        <v>2594</v>
      </c>
      <c r="AQ24" t="s">
        <v>2595</v>
      </c>
      <c r="AR24" t="s">
        <v>2611</v>
      </c>
      <c r="AS24" t="s">
        <v>2596</v>
      </c>
      <c r="AT24" t="s">
        <v>2597</v>
      </c>
      <c r="AU24" t="s">
        <v>2598</v>
      </c>
      <c r="AV24" t="s">
        <v>2612</v>
      </c>
      <c r="AW24" t="s">
        <v>2599</v>
      </c>
    </row>
    <row r="25" spans="1:49">
      <c r="A25" t="s">
        <v>1807</v>
      </c>
      <c r="B25" t="s">
        <v>3850</v>
      </c>
      <c r="C25" t="s">
        <v>3851</v>
      </c>
      <c r="D25" t="s">
        <v>3852</v>
      </c>
      <c r="E25" t="s">
        <v>3853</v>
      </c>
      <c r="F25" t="s">
        <v>3854</v>
      </c>
      <c r="G25" t="s">
        <v>3855</v>
      </c>
      <c r="H25" t="s">
        <v>3856</v>
      </c>
      <c r="I25" t="s">
        <v>3857</v>
      </c>
      <c r="J25" t="s">
        <v>3858</v>
      </c>
      <c r="K25" t="s">
        <v>3859</v>
      </c>
      <c r="L25" t="s">
        <v>3860</v>
      </c>
      <c r="M25" t="s">
        <v>3861</v>
      </c>
      <c r="N25" t="s">
        <v>3862</v>
      </c>
      <c r="O25" t="s">
        <v>3863</v>
      </c>
      <c r="P25" t="s">
        <v>3864</v>
      </c>
      <c r="Q25" t="s">
        <v>3865</v>
      </c>
      <c r="R25" t="s">
        <v>3411</v>
      </c>
      <c r="S25" t="s">
        <v>3412</v>
      </c>
      <c r="T25" t="s">
        <v>3413</v>
      </c>
      <c r="U25" t="s">
        <v>3414</v>
      </c>
      <c r="V25" t="s">
        <v>2628</v>
      </c>
      <c r="W25" t="s">
        <v>2629</v>
      </c>
      <c r="X25" t="s">
        <v>2630</v>
      </c>
      <c r="Y25" t="s">
        <v>2631</v>
      </c>
      <c r="Z25" t="s">
        <v>2189</v>
      </c>
      <c r="AA25" t="s">
        <v>2632</v>
      </c>
      <c r="AB25" t="s">
        <v>2189</v>
      </c>
      <c r="AC25" t="s">
        <v>2633</v>
      </c>
      <c r="AD25" t="s">
        <v>2189</v>
      </c>
      <c r="AE25" t="s">
        <v>2634</v>
      </c>
      <c r="AF25" t="s">
        <v>2635</v>
      </c>
      <c r="AG25" t="s">
        <v>2636</v>
      </c>
      <c r="AH25" t="s">
        <v>2613</v>
      </c>
      <c r="AI25" t="s">
        <v>2614</v>
      </c>
      <c r="AJ25" t="s">
        <v>2615</v>
      </c>
      <c r="AK25" t="s">
        <v>2616</v>
      </c>
      <c r="AL25" t="s">
        <v>2617</v>
      </c>
      <c r="AM25" t="s">
        <v>2618</v>
      </c>
      <c r="AN25" t="s">
        <v>2637</v>
      </c>
      <c r="AO25" t="s">
        <v>2620</v>
      </c>
      <c r="AP25" t="s">
        <v>2621</v>
      </c>
      <c r="AQ25" t="s">
        <v>2622</v>
      </c>
      <c r="AR25" t="s">
        <v>2638</v>
      </c>
      <c r="AS25" t="s">
        <v>2624</v>
      </c>
      <c r="AT25" t="s">
        <v>2625</v>
      </c>
      <c r="AU25" t="s">
        <v>2626</v>
      </c>
      <c r="AV25" t="s">
        <v>2639</v>
      </c>
      <c r="AW25" t="s">
        <v>2627</v>
      </c>
    </row>
    <row r="26" spans="1:49">
      <c r="A26" t="s">
        <v>2027</v>
      </c>
      <c r="B26" t="s">
        <v>3866</v>
      </c>
      <c r="C26" t="s">
        <v>3867</v>
      </c>
      <c r="D26" t="s">
        <v>3868</v>
      </c>
      <c r="E26" t="s">
        <v>3869</v>
      </c>
      <c r="F26" t="s">
        <v>3850</v>
      </c>
      <c r="G26" t="s">
        <v>3851</v>
      </c>
      <c r="H26" t="s">
        <v>3852</v>
      </c>
      <c r="I26" t="s">
        <v>3853</v>
      </c>
      <c r="J26" t="s">
        <v>3854</v>
      </c>
      <c r="K26" t="s">
        <v>3855</v>
      </c>
      <c r="L26" t="s">
        <v>3856</v>
      </c>
      <c r="M26" t="s">
        <v>3857</v>
      </c>
      <c r="N26" t="s">
        <v>3858</v>
      </c>
      <c r="O26" t="s">
        <v>3859</v>
      </c>
      <c r="P26" t="s">
        <v>3860</v>
      </c>
      <c r="Q26" t="s">
        <v>3861</v>
      </c>
      <c r="R26" t="s">
        <v>3407</v>
      </c>
      <c r="S26" t="s">
        <v>3408</v>
      </c>
      <c r="T26" t="s">
        <v>3409</v>
      </c>
      <c r="U26" t="s">
        <v>3410</v>
      </c>
      <c r="V26" t="s">
        <v>2643</v>
      </c>
      <c r="W26" t="s">
        <v>2644</v>
      </c>
      <c r="X26" t="s">
        <v>2645</v>
      </c>
      <c r="Y26" t="s">
        <v>2646</v>
      </c>
      <c r="Z26" t="s">
        <v>2189</v>
      </c>
      <c r="AA26" t="s">
        <v>2647</v>
      </c>
      <c r="AB26" t="s">
        <v>2189</v>
      </c>
      <c r="AC26" t="s">
        <v>2648</v>
      </c>
      <c r="AD26" t="s">
        <v>2189</v>
      </c>
      <c r="AE26" t="s">
        <v>2632</v>
      </c>
      <c r="AF26" t="s">
        <v>2649</v>
      </c>
      <c r="AG26" t="s">
        <v>2633</v>
      </c>
      <c r="AH26" t="s">
        <v>2640</v>
      </c>
      <c r="AI26" t="s">
        <v>2641</v>
      </c>
      <c r="AJ26" t="s">
        <v>2650</v>
      </c>
      <c r="AK26" t="s">
        <v>2642</v>
      </c>
      <c r="AL26" t="s">
        <v>2613</v>
      </c>
      <c r="AM26" t="s">
        <v>2614</v>
      </c>
      <c r="AN26" t="s">
        <v>2651</v>
      </c>
      <c r="AO26" t="s">
        <v>2616</v>
      </c>
      <c r="AP26" t="s">
        <v>2617</v>
      </c>
      <c r="AQ26" t="s">
        <v>2618</v>
      </c>
      <c r="AR26" t="s">
        <v>2619</v>
      </c>
      <c r="AS26" t="s">
        <v>2620</v>
      </c>
      <c r="AT26" t="s">
        <v>2621</v>
      </c>
      <c r="AU26" t="s">
        <v>2622</v>
      </c>
      <c r="AV26" t="s">
        <v>2623</v>
      </c>
      <c r="AW26" t="s">
        <v>2624</v>
      </c>
    </row>
    <row r="27" spans="1:49">
      <c r="A27" t="s">
        <v>2031</v>
      </c>
      <c r="B27" t="s">
        <v>3870</v>
      </c>
      <c r="C27" t="s">
        <v>3871</v>
      </c>
      <c r="D27" t="s">
        <v>3872</v>
      </c>
      <c r="E27" t="s">
        <v>3873</v>
      </c>
      <c r="F27" t="s">
        <v>3874</v>
      </c>
      <c r="G27" t="s">
        <v>3875</v>
      </c>
      <c r="H27" t="s">
        <v>3876</v>
      </c>
      <c r="I27" t="s">
        <v>3877</v>
      </c>
      <c r="J27" t="s">
        <v>3878</v>
      </c>
      <c r="K27" t="s">
        <v>3879</v>
      </c>
      <c r="L27" t="s">
        <v>3880</v>
      </c>
      <c r="M27" t="s">
        <v>3881</v>
      </c>
      <c r="N27" t="s">
        <v>3882</v>
      </c>
      <c r="O27" t="s">
        <v>3883</v>
      </c>
      <c r="P27" t="s">
        <v>3884</v>
      </c>
      <c r="Q27" t="s">
        <v>3885</v>
      </c>
      <c r="R27" t="s">
        <v>3415</v>
      </c>
      <c r="S27" t="s">
        <v>3416</v>
      </c>
      <c r="T27" t="s">
        <v>3417</v>
      </c>
      <c r="U27" t="s">
        <v>3418</v>
      </c>
      <c r="V27" t="s">
        <v>2664</v>
      </c>
      <c r="W27" t="s">
        <v>2665</v>
      </c>
      <c r="X27" t="s">
        <v>2666</v>
      </c>
      <c r="Y27" t="s">
        <v>2667</v>
      </c>
      <c r="Z27" t="s">
        <v>2189</v>
      </c>
      <c r="AA27" t="s">
        <v>2668</v>
      </c>
      <c r="AB27" t="s">
        <v>2189</v>
      </c>
      <c r="AC27" t="s">
        <v>2669</v>
      </c>
      <c r="AD27" t="s">
        <v>2189</v>
      </c>
      <c r="AE27" t="s">
        <v>2670</v>
      </c>
      <c r="AF27" t="s">
        <v>2671</v>
      </c>
      <c r="AG27" t="s">
        <v>2672</v>
      </c>
      <c r="AH27" t="s">
        <v>2652</v>
      </c>
      <c r="AI27" t="s">
        <v>2653</v>
      </c>
      <c r="AJ27" t="s">
        <v>2673</v>
      </c>
      <c r="AK27" t="s">
        <v>2654</v>
      </c>
      <c r="AL27" t="s">
        <v>2655</v>
      </c>
      <c r="AM27" t="s">
        <v>2656</v>
      </c>
      <c r="AN27" t="s">
        <v>2674</v>
      </c>
      <c r="AO27" t="s">
        <v>2657</v>
      </c>
      <c r="AP27" t="s">
        <v>2658</v>
      </c>
      <c r="AQ27" t="s">
        <v>2659</v>
      </c>
      <c r="AR27" t="s">
        <v>2675</v>
      </c>
      <c r="AS27" t="s">
        <v>2660</v>
      </c>
      <c r="AT27" t="s">
        <v>2661</v>
      </c>
      <c r="AU27" t="s">
        <v>2662</v>
      </c>
      <c r="AV27" t="s">
        <v>2676</v>
      </c>
      <c r="AW27" t="s">
        <v>2663</v>
      </c>
    </row>
    <row r="28" spans="1:49">
      <c r="A28" t="s">
        <v>1808</v>
      </c>
      <c r="B28" t="s">
        <v>3886</v>
      </c>
      <c r="C28" t="s">
        <v>3887</v>
      </c>
      <c r="D28" t="s">
        <v>3888</v>
      </c>
      <c r="E28" t="s">
        <v>3889</v>
      </c>
      <c r="F28" t="s">
        <v>3890</v>
      </c>
      <c r="G28" t="s">
        <v>3891</v>
      </c>
      <c r="H28" t="s">
        <v>3892</v>
      </c>
      <c r="I28" t="s">
        <v>3893</v>
      </c>
      <c r="J28" t="s">
        <v>3894</v>
      </c>
      <c r="K28" t="s">
        <v>3895</v>
      </c>
      <c r="L28" t="s">
        <v>3896</v>
      </c>
      <c r="M28" t="s">
        <v>3897</v>
      </c>
      <c r="N28" t="s">
        <v>3898</v>
      </c>
      <c r="O28" t="s">
        <v>3899</v>
      </c>
      <c r="P28" t="s">
        <v>3900</v>
      </c>
      <c r="Q28" t="s">
        <v>3901</v>
      </c>
      <c r="R28" t="s">
        <v>3423</v>
      </c>
      <c r="S28" t="s">
        <v>3424</v>
      </c>
      <c r="T28" t="s">
        <v>3425</v>
      </c>
      <c r="U28" t="s">
        <v>3426</v>
      </c>
      <c r="V28" t="s">
        <v>2691</v>
      </c>
      <c r="W28" t="s">
        <v>2692</v>
      </c>
      <c r="X28" t="s">
        <v>2693</v>
      </c>
      <c r="Y28" t="s">
        <v>2694</v>
      </c>
      <c r="Z28" t="s">
        <v>2189</v>
      </c>
      <c r="AA28" t="s">
        <v>2695</v>
      </c>
      <c r="AB28" t="s">
        <v>2189</v>
      </c>
      <c r="AC28" t="s">
        <v>2696</v>
      </c>
      <c r="AD28" t="s">
        <v>2189</v>
      </c>
      <c r="AE28" t="s">
        <v>2697</v>
      </c>
      <c r="AF28" t="s">
        <v>2698</v>
      </c>
      <c r="AG28" t="s">
        <v>2699</v>
      </c>
      <c r="AH28" t="s">
        <v>2677</v>
      </c>
      <c r="AI28" t="s">
        <v>2678</v>
      </c>
      <c r="AJ28" t="s">
        <v>2678</v>
      </c>
      <c r="AK28" t="s">
        <v>2679</v>
      </c>
      <c r="AL28" t="s">
        <v>2680</v>
      </c>
      <c r="AM28" t="s">
        <v>2681</v>
      </c>
      <c r="AN28" t="s">
        <v>2700</v>
      </c>
      <c r="AO28" t="s">
        <v>2683</v>
      </c>
      <c r="AP28" t="s">
        <v>2684</v>
      </c>
      <c r="AQ28" t="s">
        <v>2685</v>
      </c>
      <c r="AR28" t="s">
        <v>2701</v>
      </c>
      <c r="AS28" t="s">
        <v>2687</v>
      </c>
      <c r="AT28" t="s">
        <v>2688</v>
      </c>
      <c r="AU28" t="s">
        <v>2689</v>
      </c>
      <c r="AV28" t="s">
        <v>2702</v>
      </c>
      <c r="AW28" t="s">
        <v>2690</v>
      </c>
    </row>
    <row r="29" spans="1:49">
      <c r="A29" t="s">
        <v>2040</v>
      </c>
      <c r="B29" t="s">
        <v>3902</v>
      </c>
      <c r="C29" t="s">
        <v>3903</v>
      </c>
      <c r="D29" t="s">
        <v>3904</v>
      </c>
      <c r="E29" t="s">
        <v>3905</v>
      </c>
      <c r="F29" t="s">
        <v>3886</v>
      </c>
      <c r="G29" t="s">
        <v>3887</v>
      </c>
      <c r="H29" t="s">
        <v>3888</v>
      </c>
      <c r="I29" t="s">
        <v>3889</v>
      </c>
      <c r="J29" t="s">
        <v>3890</v>
      </c>
      <c r="K29" t="s">
        <v>3891</v>
      </c>
      <c r="L29" t="s">
        <v>3892</v>
      </c>
      <c r="M29" t="s">
        <v>3893</v>
      </c>
      <c r="N29" t="s">
        <v>3894</v>
      </c>
      <c r="O29" t="s">
        <v>3895</v>
      </c>
      <c r="P29" t="s">
        <v>3896</v>
      </c>
      <c r="Q29" t="s">
        <v>3897</v>
      </c>
      <c r="R29" t="s">
        <v>3419</v>
      </c>
      <c r="S29" t="s">
        <v>3420</v>
      </c>
      <c r="T29" t="s">
        <v>3421</v>
      </c>
      <c r="U29" t="s">
        <v>3422</v>
      </c>
      <c r="V29" t="s">
        <v>2705</v>
      </c>
      <c r="W29" t="s">
        <v>2706</v>
      </c>
      <c r="X29" t="s">
        <v>2707</v>
      </c>
      <c r="Y29" t="s">
        <v>2708</v>
      </c>
      <c r="Z29" t="s">
        <v>2189</v>
      </c>
      <c r="AA29" t="s">
        <v>2709</v>
      </c>
      <c r="AB29" t="s">
        <v>2189</v>
      </c>
      <c r="AC29" t="s">
        <v>2710</v>
      </c>
      <c r="AD29" t="s">
        <v>2189</v>
      </c>
      <c r="AE29" t="s">
        <v>2695</v>
      </c>
      <c r="AF29" t="s">
        <v>2711</v>
      </c>
      <c r="AG29" t="s">
        <v>2696</v>
      </c>
      <c r="AH29" t="s">
        <v>2189</v>
      </c>
      <c r="AI29" t="s">
        <v>2703</v>
      </c>
      <c r="AJ29" t="s">
        <v>2712</v>
      </c>
      <c r="AK29" t="s">
        <v>2704</v>
      </c>
      <c r="AL29" t="s">
        <v>2677</v>
      </c>
      <c r="AM29" t="s">
        <v>2678</v>
      </c>
      <c r="AN29" t="s">
        <v>2189</v>
      </c>
      <c r="AO29" t="s">
        <v>2679</v>
      </c>
      <c r="AP29" t="s">
        <v>2680</v>
      </c>
      <c r="AQ29" t="s">
        <v>2681</v>
      </c>
      <c r="AR29" t="s">
        <v>2682</v>
      </c>
      <c r="AS29" t="s">
        <v>2683</v>
      </c>
      <c r="AT29" t="s">
        <v>2684</v>
      </c>
      <c r="AU29" t="s">
        <v>2685</v>
      </c>
      <c r="AV29" t="s">
        <v>2686</v>
      </c>
      <c r="AW29" t="s">
        <v>2687</v>
      </c>
    </row>
    <row r="30" spans="1:49">
      <c r="A30" t="s">
        <v>2045</v>
      </c>
      <c r="B30" t="s">
        <v>3906</v>
      </c>
      <c r="C30" t="s">
        <v>3907</v>
      </c>
      <c r="D30" t="s">
        <v>3908</v>
      </c>
      <c r="E30" t="s">
        <v>3909</v>
      </c>
      <c r="F30" t="s">
        <v>3910</v>
      </c>
      <c r="G30" t="s">
        <v>3911</v>
      </c>
      <c r="H30" t="s">
        <v>3912</v>
      </c>
      <c r="I30" t="s">
        <v>3913</v>
      </c>
      <c r="J30" t="s">
        <v>3914</v>
      </c>
      <c r="K30" t="s">
        <v>3915</v>
      </c>
      <c r="L30" t="s">
        <v>3916</v>
      </c>
      <c r="M30" t="s">
        <v>3917</v>
      </c>
      <c r="N30" t="s">
        <v>3918</v>
      </c>
      <c r="O30" t="s">
        <v>3919</v>
      </c>
      <c r="P30" t="s">
        <v>3920</v>
      </c>
      <c r="Q30" t="s">
        <v>3921</v>
      </c>
      <c r="R30" t="s">
        <v>3427</v>
      </c>
      <c r="S30" t="s">
        <v>3428</v>
      </c>
      <c r="T30" t="s">
        <v>3429</v>
      </c>
      <c r="U30" t="s">
        <v>3430</v>
      </c>
      <c r="V30" t="s">
        <v>2724</v>
      </c>
      <c r="W30" t="s">
        <v>2725</v>
      </c>
      <c r="X30" t="s">
        <v>2726</v>
      </c>
      <c r="Y30" t="s">
        <v>2727</v>
      </c>
      <c r="Z30" t="s">
        <v>2189</v>
      </c>
      <c r="AA30" t="s">
        <v>2728</v>
      </c>
      <c r="AB30" t="s">
        <v>2189</v>
      </c>
      <c r="AC30" t="s">
        <v>2729</v>
      </c>
      <c r="AD30" t="s">
        <v>2189</v>
      </c>
      <c r="AE30" t="s">
        <v>2730</v>
      </c>
      <c r="AF30" t="s">
        <v>2731</v>
      </c>
      <c r="AG30" t="s">
        <v>2732</v>
      </c>
      <c r="AH30" t="s">
        <v>2189</v>
      </c>
      <c r="AI30" t="s">
        <v>2713</v>
      </c>
      <c r="AJ30" t="s">
        <v>2733</v>
      </c>
      <c r="AK30" t="s">
        <v>2714</v>
      </c>
      <c r="AL30" t="s">
        <v>2715</v>
      </c>
      <c r="AM30" t="s">
        <v>2716</v>
      </c>
      <c r="AN30" t="s">
        <v>2189</v>
      </c>
      <c r="AO30" t="s">
        <v>2717</v>
      </c>
      <c r="AP30" t="s">
        <v>2718</v>
      </c>
      <c r="AQ30" t="s">
        <v>2719</v>
      </c>
      <c r="AR30" t="s">
        <v>2734</v>
      </c>
      <c r="AS30" t="s">
        <v>2720</v>
      </c>
      <c r="AT30" t="s">
        <v>2721</v>
      </c>
      <c r="AU30" t="s">
        <v>2722</v>
      </c>
      <c r="AV30" t="s">
        <v>2735</v>
      </c>
      <c r="AW30" t="s">
        <v>2723</v>
      </c>
    </row>
    <row r="31" spans="1:49">
      <c r="A31" t="s">
        <v>1809</v>
      </c>
      <c r="B31" t="s">
        <v>3922</v>
      </c>
      <c r="C31" t="s">
        <v>3923</v>
      </c>
      <c r="D31" t="s">
        <v>3924</v>
      </c>
      <c r="E31" t="s">
        <v>3925</v>
      </c>
      <c r="F31" t="s">
        <v>3926</v>
      </c>
      <c r="G31" t="s">
        <v>3927</v>
      </c>
      <c r="H31" t="s">
        <v>3928</v>
      </c>
      <c r="I31" t="s">
        <v>3929</v>
      </c>
      <c r="J31" t="s">
        <v>3930</v>
      </c>
      <c r="K31" t="s">
        <v>3931</v>
      </c>
      <c r="L31" t="s">
        <v>3932</v>
      </c>
      <c r="M31" t="s">
        <v>3933</v>
      </c>
      <c r="N31" t="s">
        <v>3934</v>
      </c>
      <c r="O31" t="s">
        <v>3935</v>
      </c>
      <c r="P31" t="s">
        <v>3936</v>
      </c>
      <c r="Q31" t="s">
        <v>3937</v>
      </c>
      <c r="R31" t="s">
        <v>3435</v>
      </c>
      <c r="S31" t="s">
        <v>3436</v>
      </c>
      <c r="T31" t="s">
        <v>3437</v>
      </c>
      <c r="U31" t="s">
        <v>3438</v>
      </c>
      <c r="V31" t="s">
        <v>2751</v>
      </c>
      <c r="W31" t="s">
        <v>2752</v>
      </c>
      <c r="X31" t="s">
        <v>2753</v>
      </c>
      <c r="Y31" t="s">
        <v>2754</v>
      </c>
      <c r="Z31" t="s">
        <v>2189</v>
      </c>
      <c r="AA31" t="s">
        <v>2755</v>
      </c>
      <c r="AB31" t="s">
        <v>2189</v>
      </c>
      <c r="AC31" t="s">
        <v>2756</v>
      </c>
      <c r="AD31" t="s">
        <v>2189</v>
      </c>
      <c r="AE31" t="s">
        <v>2757</v>
      </c>
      <c r="AF31" t="s">
        <v>2758</v>
      </c>
      <c r="AG31" t="s">
        <v>2759</v>
      </c>
      <c r="AH31" t="s">
        <v>2736</v>
      </c>
      <c r="AI31" t="s">
        <v>2737</v>
      </c>
      <c r="AJ31" t="s">
        <v>2738</v>
      </c>
      <c r="AK31" t="s">
        <v>2739</v>
      </c>
      <c r="AL31" t="s">
        <v>2740</v>
      </c>
      <c r="AM31" t="s">
        <v>2741</v>
      </c>
      <c r="AN31" t="s">
        <v>2760</v>
      </c>
      <c r="AO31" t="s">
        <v>2743</v>
      </c>
      <c r="AP31" t="s">
        <v>2744</v>
      </c>
      <c r="AQ31" t="s">
        <v>2745</v>
      </c>
      <c r="AR31" t="s">
        <v>2761</v>
      </c>
      <c r="AS31" t="s">
        <v>2747</v>
      </c>
      <c r="AT31" t="s">
        <v>2748</v>
      </c>
      <c r="AU31" t="s">
        <v>2749</v>
      </c>
      <c r="AV31" t="s">
        <v>2762</v>
      </c>
      <c r="AW31" t="s">
        <v>2750</v>
      </c>
    </row>
    <row r="32" spans="1:49">
      <c r="A32" t="s">
        <v>2054</v>
      </c>
      <c r="B32" t="s">
        <v>3938</v>
      </c>
      <c r="C32" t="s">
        <v>3939</v>
      </c>
      <c r="D32" t="s">
        <v>3940</v>
      </c>
      <c r="E32" t="s">
        <v>3941</v>
      </c>
      <c r="F32" t="s">
        <v>3922</v>
      </c>
      <c r="G32" t="s">
        <v>3923</v>
      </c>
      <c r="H32" t="s">
        <v>3924</v>
      </c>
      <c r="I32" t="s">
        <v>3925</v>
      </c>
      <c r="J32" t="s">
        <v>3926</v>
      </c>
      <c r="K32" t="s">
        <v>3927</v>
      </c>
      <c r="L32" t="s">
        <v>3928</v>
      </c>
      <c r="M32" t="s">
        <v>3929</v>
      </c>
      <c r="N32" t="s">
        <v>3930</v>
      </c>
      <c r="O32" t="s">
        <v>3931</v>
      </c>
      <c r="P32" t="s">
        <v>3932</v>
      </c>
      <c r="Q32" t="s">
        <v>3933</v>
      </c>
      <c r="R32" t="s">
        <v>3431</v>
      </c>
      <c r="S32" t="s">
        <v>3432</v>
      </c>
      <c r="T32" t="s">
        <v>3433</v>
      </c>
      <c r="U32" t="s">
        <v>3434</v>
      </c>
      <c r="V32" t="s">
        <v>2766</v>
      </c>
      <c r="W32" t="s">
        <v>2767</v>
      </c>
      <c r="X32" t="s">
        <v>2768</v>
      </c>
      <c r="Y32" t="s">
        <v>2769</v>
      </c>
      <c r="Z32" t="s">
        <v>2189</v>
      </c>
      <c r="AA32" t="s">
        <v>2770</v>
      </c>
      <c r="AB32" t="s">
        <v>2189</v>
      </c>
      <c r="AC32" t="s">
        <v>2771</v>
      </c>
      <c r="AD32" t="s">
        <v>2189</v>
      </c>
      <c r="AE32" t="s">
        <v>2755</v>
      </c>
      <c r="AF32" t="s">
        <v>2772</v>
      </c>
      <c r="AG32" t="s">
        <v>2756</v>
      </c>
      <c r="AH32" t="s">
        <v>2763</v>
      </c>
      <c r="AI32" t="s">
        <v>2764</v>
      </c>
      <c r="AJ32" t="s">
        <v>2773</v>
      </c>
      <c r="AK32" t="s">
        <v>2765</v>
      </c>
      <c r="AL32" t="s">
        <v>2736</v>
      </c>
      <c r="AM32" t="s">
        <v>2737</v>
      </c>
      <c r="AN32" t="s">
        <v>2774</v>
      </c>
      <c r="AO32" t="s">
        <v>2739</v>
      </c>
      <c r="AP32" t="s">
        <v>2740</v>
      </c>
      <c r="AQ32" t="s">
        <v>2741</v>
      </c>
      <c r="AR32" t="s">
        <v>2742</v>
      </c>
      <c r="AS32" t="s">
        <v>2743</v>
      </c>
      <c r="AT32" t="s">
        <v>2744</v>
      </c>
      <c r="AU32" t="s">
        <v>2745</v>
      </c>
      <c r="AV32" t="s">
        <v>2746</v>
      </c>
      <c r="AW32" t="s">
        <v>2747</v>
      </c>
    </row>
    <row r="33" spans="1:49">
      <c r="A33" t="s">
        <v>2058</v>
      </c>
      <c r="B33" t="s">
        <v>3942</v>
      </c>
      <c r="C33" t="s">
        <v>3943</v>
      </c>
      <c r="D33" t="s">
        <v>3944</v>
      </c>
      <c r="E33" t="s">
        <v>3945</v>
      </c>
      <c r="F33" t="s">
        <v>3946</v>
      </c>
      <c r="G33" t="s">
        <v>3947</v>
      </c>
      <c r="H33" t="s">
        <v>3948</v>
      </c>
      <c r="I33" t="s">
        <v>3949</v>
      </c>
      <c r="J33" t="s">
        <v>3950</v>
      </c>
      <c r="K33" t="s">
        <v>3951</v>
      </c>
      <c r="L33" t="s">
        <v>3952</v>
      </c>
      <c r="M33" t="s">
        <v>3953</v>
      </c>
      <c r="N33" t="s">
        <v>3954</v>
      </c>
      <c r="O33" t="s">
        <v>3955</v>
      </c>
      <c r="P33" t="s">
        <v>3956</v>
      </c>
      <c r="Q33" t="s">
        <v>3957</v>
      </c>
      <c r="R33" t="s">
        <v>3439</v>
      </c>
      <c r="S33" t="s">
        <v>3440</v>
      </c>
      <c r="T33" t="s">
        <v>3441</v>
      </c>
      <c r="U33" t="s">
        <v>3442</v>
      </c>
      <c r="V33" t="s">
        <v>2787</v>
      </c>
      <c r="W33" t="s">
        <v>2788</v>
      </c>
      <c r="X33" t="s">
        <v>2789</v>
      </c>
      <c r="Y33" t="s">
        <v>2790</v>
      </c>
      <c r="Z33" t="s">
        <v>2189</v>
      </c>
      <c r="AA33" t="s">
        <v>2791</v>
      </c>
      <c r="AB33" t="s">
        <v>2189</v>
      </c>
      <c r="AC33" t="s">
        <v>2792</v>
      </c>
      <c r="AD33" t="s">
        <v>2189</v>
      </c>
      <c r="AE33" t="s">
        <v>2793</v>
      </c>
      <c r="AF33" t="s">
        <v>2794</v>
      </c>
      <c r="AG33" t="s">
        <v>2795</v>
      </c>
      <c r="AH33" t="s">
        <v>2775</v>
      </c>
      <c r="AI33" t="s">
        <v>2776</v>
      </c>
      <c r="AJ33" t="s">
        <v>2796</v>
      </c>
      <c r="AK33" t="s">
        <v>2777</v>
      </c>
      <c r="AL33" t="s">
        <v>2778</v>
      </c>
      <c r="AM33" t="s">
        <v>2779</v>
      </c>
      <c r="AN33" t="s">
        <v>2797</v>
      </c>
      <c r="AO33" t="s">
        <v>2780</v>
      </c>
      <c r="AP33" t="s">
        <v>2781</v>
      </c>
      <c r="AQ33" t="s">
        <v>2782</v>
      </c>
      <c r="AR33" t="s">
        <v>2798</v>
      </c>
      <c r="AS33" t="s">
        <v>2783</v>
      </c>
      <c r="AT33" t="s">
        <v>2784</v>
      </c>
      <c r="AU33" t="s">
        <v>2785</v>
      </c>
      <c r="AV33" t="s">
        <v>2799</v>
      </c>
      <c r="AW33" t="s">
        <v>2786</v>
      </c>
    </row>
    <row r="34" spans="1:49">
      <c r="A34" t="s">
        <v>1810</v>
      </c>
      <c r="B34" t="s">
        <v>3958</v>
      </c>
      <c r="C34" t="s">
        <v>3959</v>
      </c>
      <c r="D34" t="s">
        <v>3960</v>
      </c>
      <c r="E34" t="s">
        <v>3961</v>
      </c>
      <c r="F34" t="s">
        <v>3962</v>
      </c>
      <c r="G34" t="s">
        <v>3963</v>
      </c>
      <c r="H34" t="s">
        <v>3964</v>
      </c>
      <c r="I34" t="s">
        <v>3965</v>
      </c>
      <c r="J34" t="s">
        <v>3966</v>
      </c>
      <c r="K34" t="s">
        <v>3967</v>
      </c>
      <c r="L34" t="s">
        <v>3968</v>
      </c>
      <c r="M34" t="s">
        <v>3969</v>
      </c>
      <c r="N34" t="s">
        <v>3970</v>
      </c>
      <c r="O34" t="s">
        <v>3971</v>
      </c>
      <c r="P34" t="s">
        <v>3972</v>
      </c>
      <c r="Q34" t="s">
        <v>3973</v>
      </c>
      <c r="R34" t="s">
        <v>3447</v>
      </c>
      <c r="S34" t="s">
        <v>3448</v>
      </c>
      <c r="T34" t="s">
        <v>3449</v>
      </c>
      <c r="U34" t="s">
        <v>3450</v>
      </c>
      <c r="V34" t="s">
        <v>2815</v>
      </c>
      <c r="W34" t="s">
        <v>2816</v>
      </c>
      <c r="X34" t="s">
        <v>2817</v>
      </c>
      <c r="Y34" t="s">
        <v>2818</v>
      </c>
      <c r="Z34" t="s">
        <v>2189</v>
      </c>
      <c r="AA34" t="s">
        <v>2819</v>
      </c>
      <c r="AB34" t="s">
        <v>2189</v>
      </c>
      <c r="AC34" t="s">
        <v>2820</v>
      </c>
      <c r="AD34" t="s">
        <v>2189</v>
      </c>
      <c r="AE34" t="s">
        <v>2821</v>
      </c>
      <c r="AF34" t="s">
        <v>2822</v>
      </c>
      <c r="AG34" t="s">
        <v>2823</v>
      </c>
      <c r="AH34" t="s">
        <v>2800</v>
      </c>
      <c r="AI34" t="s">
        <v>2801</v>
      </c>
      <c r="AJ34" t="s">
        <v>2802</v>
      </c>
      <c r="AK34" t="s">
        <v>2803</v>
      </c>
      <c r="AL34" t="s">
        <v>2804</v>
      </c>
      <c r="AM34" t="s">
        <v>2805</v>
      </c>
      <c r="AN34" t="s">
        <v>2824</v>
      </c>
      <c r="AO34" t="s">
        <v>2807</v>
      </c>
      <c r="AP34" t="s">
        <v>2808</v>
      </c>
      <c r="AQ34" t="s">
        <v>2809</v>
      </c>
      <c r="AR34" t="s">
        <v>2825</v>
      </c>
      <c r="AS34" t="s">
        <v>2811</v>
      </c>
      <c r="AT34" t="s">
        <v>2812</v>
      </c>
      <c r="AU34" t="s">
        <v>2813</v>
      </c>
      <c r="AV34" t="s">
        <v>2826</v>
      </c>
      <c r="AW34" t="s">
        <v>2814</v>
      </c>
    </row>
    <row r="35" spans="1:49">
      <c r="A35" t="s">
        <v>2067</v>
      </c>
      <c r="B35" t="s">
        <v>3974</v>
      </c>
      <c r="C35" t="s">
        <v>3975</v>
      </c>
      <c r="D35" t="s">
        <v>3976</v>
      </c>
      <c r="E35" t="s">
        <v>3977</v>
      </c>
      <c r="F35" t="s">
        <v>3958</v>
      </c>
      <c r="G35" t="s">
        <v>3959</v>
      </c>
      <c r="H35" t="s">
        <v>3960</v>
      </c>
      <c r="I35" t="s">
        <v>3961</v>
      </c>
      <c r="J35" t="s">
        <v>3962</v>
      </c>
      <c r="K35" t="s">
        <v>3963</v>
      </c>
      <c r="L35" t="s">
        <v>3964</v>
      </c>
      <c r="M35" t="s">
        <v>3965</v>
      </c>
      <c r="N35" t="s">
        <v>3966</v>
      </c>
      <c r="O35" t="s">
        <v>3967</v>
      </c>
      <c r="P35" t="s">
        <v>3968</v>
      </c>
      <c r="Q35" t="s">
        <v>3969</v>
      </c>
      <c r="R35" t="s">
        <v>3443</v>
      </c>
      <c r="S35" t="s">
        <v>3444</v>
      </c>
      <c r="T35" t="s">
        <v>3445</v>
      </c>
      <c r="U35" t="s">
        <v>3446</v>
      </c>
      <c r="V35" t="s">
        <v>2830</v>
      </c>
      <c r="W35" t="s">
        <v>2831</v>
      </c>
      <c r="X35" t="s">
        <v>2832</v>
      </c>
      <c r="Y35" t="s">
        <v>2833</v>
      </c>
      <c r="Z35" t="s">
        <v>2189</v>
      </c>
      <c r="AA35" t="s">
        <v>2834</v>
      </c>
      <c r="AB35" t="s">
        <v>2189</v>
      </c>
      <c r="AC35" t="s">
        <v>2835</v>
      </c>
      <c r="AD35" t="s">
        <v>2189</v>
      </c>
      <c r="AE35" t="s">
        <v>2819</v>
      </c>
      <c r="AF35" t="s">
        <v>2836</v>
      </c>
      <c r="AG35" t="s">
        <v>2820</v>
      </c>
      <c r="AH35" t="s">
        <v>2827</v>
      </c>
      <c r="AI35" t="s">
        <v>2828</v>
      </c>
      <c r="AJ35" t="s">
        <v>2837</v>
      </c>
      <c r="AK35" t="s">
        <v>2829</v>
      </c>
      <c r="AL35" t="s">
        <v>2800</v>
      </c>
      <c r="AM35" t="s">
        <v>2801</v>
      </c>
      <c r="AN35" t="s">
        <v>2838</v>
      </c>
      <c r="AO35" t="s">
        <v>2803</v>
      </c>
      <c r="AP35" t="s">
        <v>2804</v>
      </c>
      <c r="AQ35" t="s">
        <v>2805</v>
      </c>
      <c r="AR35" t="s">
        <v>2806</v>
      </c>
      <c r="AS35" t="s">
        <v>2807</v>
      </c>
      <c r="AT35" t="s">
        <v>2808</v>
      </c>
      <c r="AU35" t="s">
        <v>2809</v>
      </c>
      <c r="AV35" t="s">
        <v>2810</v>
      </c>
      <c r="AW35" t="s">
        <v>2811</v>
      </c>
    </row>
    <row r="36" spans="1:49">
      <c r="A36" t="s">
        <v>2072</v>
      </c>
      <c r="B36" t="s">
        <v>3978</v>
      </c>
      <c r="C36" t="s">
        <v>3979</v>
      </c>
      <c r="D36" t="s">
        <v>3980</v>
      </c>
      <c r="E36" t="s">
        <v>3981</v>
      </c>
      <c r="F36" t="s">
        <v>3982</v>
      </c>
      <c r="G36" t="s">
        <v>3983</v>
      </c>
      <c r="H36" t="s">
        <v>3984</v>
      </c>
      <c r="I36" t="s">
        <v>3985</v>
      </c>
      <c r="J36" t="s">
        <v>3986</v>
      </c>
      <c r="K36" t="s">
        <v>3987</v>
      </c>
      <c r="L36" t="s">
        <v>3988</v>
      </c>
      <c r="M36" t="s">
        <v>3989</v>
      </c>
      <c r="N36" t="s">
        <v>3990</v>
      </c>
      <c r="O36" t="s">
        <v>3991</v>
      </c>
      <c r="P36" t="s">
        <v>3992</v>
      </c>
      <c r="Q36" t="s">
        <v>3993</v>
      </c>
      <c r="R36" t="s">
        <v>3451</v>
      </c>
      <c r="S36" t="s">
        <v>3452</v>
      </c>
      <c r="T36" t="s">
        <v>3453</v>
      </c>
      <c r="U36" t="s">
        <v>3454</v>
      </c>
      <c r="V36" t="s">
        <v>2851</v>
      </c>
      <c r="W36" t="s">
        <v>2852</v>
      </c>
      <c r="X36" t="s">
        <v>2853</v>
      </c>
      <c r="Y36" t="s">
        <v>2854</v>
      </c>
      <c r="Z36" t="s">
        <v>2189</v>
      </c>
      <c r="AA36" t="s">
        <v>2855</v>
      </c>
      <c r="AB36" t="s">
        <v>2189</v>
      </c>
      <c r="AC36" t="s">
        <v>2856</v>
      </c>
      <c r="AD36" t="s">
        <v>2189</v>
      </c>
      <c r="AE36" t="s">
        <v>2857</v>
      </c>
      <c r="AF36" t="s">
        <v>2858</v>
      </c>
      <c r="AG36" t="s">
        <v>2859</v>
      </c>
      <c r="AH36" t="s">
        <v>2839</v>
      </c>
      <c r="AI36" t="s">
        <v>2840</v>
      </c>
      <c r="AJ36" t="s">
        <v>2860</v>
      </c>
      <c r="AK36" t="s">
        <v>2841</v>
      </c>
      <c r="AL36" t="s">
        <v>2842</v>
      </c>
      <c r="AM36" t="s">
        <v>2843</v>
      </c>
      <c r="AN36" t="s">
        <v>2861</v>
      </c>
      <c r="AO36" t="s">
        <v>2844</v>
      </c>
      <c r="AP36" t="s">
        <v>2845</v>
      </c>
      <c r="AQ36" t="s">
        <v>2846</v>
      </c>
      <c r="AR36" t="s">
        <v>2862</v>
      </c>
      <c r="AS36" t="s">
        <v>2847</v>
      </c>
      <c r="AT36" t="s">
        <v>2848</v>
      </c>
      <c r="AU36" t="s">
        <v>2849</v>
      </c>
      <c r="AV36" t="s">
        <v>2863</v>
      </c>
      <c r="AW36" t="s">
        <v>2850</v>
      </c>
    </row>
    <row r="37" spans="1:49">
      <c r="A37" t="s">
        <v>1811</v>
      </c>
      <c r="B37" t="s">
        <v>3994</v>
      </c>
      <c r="C37" t="s">
        <v>3995</v>
      </c>
      <c r="D37" t="s">
        <v>3996</v>
      </c>
      <c r="E37" t="s">
        <v>3997</v>
      </c>
      <c r="F37" t="s">
        <v>3998</v>
      </c>
      <c r="G37" t="s">
        <v>3999</v>
      </c>
      <c r="H37" t="s">
        <v>4000</v>
      </c>
      <c r="I37" t="s">
        <v>4001</v>
      </c>
      <c r="J37" t="s">
        <v>4002</v>
      </c>
      <c r="K37" t="s">
        <v>4003</v>
      </c>
      <c r="L37" t="s">
        <v>4004</v>
      </c>
      <c r="M37" t="s">
        <v>4005</v>
      </c>
      <c r="N37" t="s">
        <v>4006</v>
      </c>
      <c r="O37" t="s">
        <v>4007</v>
      </c>
      <c r="P37" t="s">
        <v>4008</v>
      </c>
      <c r="Q37" t="s">
        <v>4009</v>
      </c>
      <c r="R37" t="s">
        <v>3459</v>
      </c>
      <c r="S37" t="s">
        <v>3460</v>
      </c>
      <c r="T37" t="s">
        <v>3461</v>
      </c>
      <c r="U37" t="s">
        <v>3462</v>
      </c>
      <c r="V37" t="s">
        <v>2880</v>
      </c>
      <c r="W37" t="s">
        <v>2881</v>
      </c>
      <c r="X37" t="s">
        <v>2882</v>
      </c>
      <c r="Y37" t="s">
        <v>2883</v>
      </c>
      <c r="Z37" t="s">
        <v>2189</v>
      </c>
      <c r="AA37" t="s">
        <v>2884</v>
      </c>
      <c r="AB37" t="s">
        <v>2189</v>
      </c>
      <c r="AC37" t="s">
        <v>2885</v>
      </c>
      <c r="AD37" t="s">
        <v>2189</v>
      </c>
      <c r="AE37" t="s">
        <v>2886</v>
      </c>
      <c r="AF37" t="s">
        <v>2887</v>
      </c>
      <c r="AG37" t="s">
        <v>2888</v>
      </c>
      <c r="AH37" t="s">
        <v>2864</v>
      </c>
      <c r="AI37" t="s">
        <v>2865</v>
      </c>
      <c r="AJ37" t="s">
        <v>2866</v>
      </c>
      <c r="AK37" t="s">
        <v>2867</v>
      </c>
      <c r="AL37" t="s">
        <v>2868</v>
      </c>
      <c r="AM37" t="s">
        <v>2869</v>
      </c>
      <c r="AN37" t="s">
        <v>2870</v>
      </c>
      <c r="AO37" t="s">
        <v>2871</v>
      </c>
      <c r="AP37" t="s">
        <v>2872</v>
      </c>
      <c r="AQ37" t="s">
        <v>2873</v>
      </c>
      <c r="AR37" t="s">
        <v>2874</v>
      </c>
      <c r="AS37" t="s">
        <v>2875</v>
      </c>
      <c r="AT37" t="s">
        <v>2876</v>
      </c>
      <c r="AU37" t="s">
        <v>2877</v>
      </c>
      <c r="AV37" t="s">
        <v>2878</v>
      </c>
      <c r="AW37" t="s">
        <v>2879</v>
      </c>
    </row>
    <row r="38" spans="1:49">
      <c r="A38" t="s">
        <v>2079</v>
      </c>
      <c r="B38" t="s">
        <v>4010</v>
      </c>
      <c r="C38" t="s">
        <v>4011</v>
      </c>
      <c r="D38" t="s">
        <v>4012</v>
      </c>
      <c r="E38" t="s">
        <v>4013</v>
      </c>
      <c r="F38" t="s">
        <v>3994</v>
      </c>
      <c r="G38" t="s">
        <v>3995</v>
      </c>
      <c r="H38" t="s">
        <v>3996</v>
      </c>
      <c r="I38" t="s">
        <v>3997</v>
      </c>
      <c r="J38" t="s">
        <v>3998</v>
      </c>
      <c r="K38" t="s">
        <v>3999</v>
      </c>
      <c r="L38" t="s">
        <v>4000</v>
      </c>
      <c r="M38" t="s">
        <v>4001</v>
      </c>
      <c r="N38" t="s">
        <v>4002</v>
      </c>
      <c r="O38" t="s">
        <v>4003</v>
      </c>
      <c r="P38" t="s">
        <v>4004</v>
      </c>
      <c r="Q38" t="s">
        <v>4005</v>
      </c>
      <c r="R38" t="s">
        <v>3455</v>
      </c>
      <c r="S38" t="s">
        <v>3456</v>
      </c>
      <c r="T38" t="s">
        <v>3457</v>
      </c>
      <c r="U38" t="s">
        <v>3458</v>
      </c>
      <c r="V38" t="s">
        <v>2189</v>
      </c>
      <c r="W38" t="s">
        <v>2893</v>
      </c>
      <c r="X38" t="s">
        <v>2189</v>
      </c>
      <c r="Y38" t="s">
        <v>2894</v>
      </c>
      <c r="Z38" t="s">
        <v>2189</v>
      </c>
      <c r="AA38" t="s">
        <v>2895</v>
      </c>
      <c r="AB38" t="s">
        <v>2189</v>
      </c>
      <c r="AC38" t="s">
        <v>2896</v>
      </c>
      <c r="AD38" t="s">
        <v>2189</v>
      </c>
      <c r="AE38" t="s">
        <v>2884</v>
      </c>
      <c r="AF38" t="s">
        <v>2189</v>
      </c>
      <c r="AG38" t="s">
        <v>2885</v>
      </c>
      <c r="AH38" t="s">
        <v>2889</v>
      </c>
      <c r="AI38" t="s">
        <v>2890</v>
      </c>
      <c r="AJ38" t="s">
        <v>2891</v>
      </c>
      <c r="AK38" t="s">
        <v>2892</v>
      </c>
      <c r="AL38" t="s">
        <v>2864</v>
      </c>
      <c r="AM38" t="s">
        <v>2865</v>
      </c>
      <c r="AN38" t="s">
        <v>2866</v>
      </c>
      <c r="AO38" t="s">
        <v>2867</v>
      </c>
      <c r="AP38" t="s">
        <v>2868</v>
      </c>
      <c r="AQ38" t="s">
        <v>2869</v>
      </c>
      <c r="AR38" t="s">
        <v>2870</v>
      </c>
      <c r="AS38" t="s">
        <v>2871</v>
      </c>
      <c r="AT38" t="s">
        <v>2872</v>
      </c>
      <c r="AU38" t="s">
        <v>2873</v>
      </c>
      <c r="AV38" t="s">
        <v>2874</v>
      </c>
      <c r="AW38" t="s">
        <v>2875</v>
      </c>
    </row>
    <row r="39" spans="1:49">
      <c r="A39" t="s">
        <v>2083</v>
      </c>
      <c r="B39" t="s">
        <v>4014</v>
      </c>
      <c r="C39" t="s">
        <v>4015</v>
      </c>
      <c r="D39" t="s">
        <v>4016</v>
      </c>
      <c r="E39" t="s">
        <v>4017</v>
      </c>
      <c r="F39" t="s">
        <v>4018</v>
      </c>
      <c r="G39" t="s">
        <v>4019</v>
      </c>
      <c r="H39" t="s">
        <v>4020</v>
      </c>
      <c r="I39" t="s">
        <v>4021</v>
      </c>
      <c r="J39" t="s">
        <v>4022</v>
      </c>
      <c r="K39" t="s">
        <v>4023</v>
      </c>
      <c r="L39" t="s">
        <v>4024</v>
      </c>
      <c r="M39" t="s">
        <v>4025</v>
      </c>
      <c r="N39" t="s">
        <v>4026</v>
      </c>
      <c r="O39" t="s">
        <v>4027</v>
      </c>
      <c r="P39" t="s">
        <v>4028</v>
      </c>
      <c r="Q39" t="s">
        <v>4029</v>
      </c>
      <c r="R39" t="s">
        <v>3463</v>
      </c>
      <c r="S39" t="s">
        <v>3464</v>
      </c>
      <c r="T39" t="s">
        <v>3465</v>
      </c>
      <c r="U39" t="s">
        <v>3466</v>
      </c>
      <c r="V39" t="s">
        <v>2189</v>
      </c>
      <c r="W39" t="s">
        <v>2912</v>
      </c>
      <c r="X39" t="s">
        <v>2189</v>
      </c>
      <c r="Y39" t="s">
        <v>2913</v>
      </c>
      <c r="Z39" t="s">
        <v>2189</v>
      </c>
      <c r="AA39" t="s">
        <v>2914</v>
      </c>
      <c r="AB39" t="s">
        <v>2189</v>
      </c>
      <c r="AC39" t="s">
        <v>2915</v>
      </c>
      <c r="AD39" t="s">
        <v>2189</v>
      </c>
      <c r="AE39" t="s">
        <v>2916</v>
      </c>
      <c r="AF39" t="s">
        <v>2189</v>
      </c>
      <c r="AG39" t="s">
        <v>2917</v>
      </c>
      <c r="AH39" t="s">
        <v>2918</v>
      </c>
      <c r="AI39" t="s">
        <v>2897</v>
      </c>
      <c r="AJ39" t="s">
        <v>2898</v>
      </c>
      <c r="AK39" t="s">
        <v>2899</v>
      </c>
      <c r="AL39" t="s">
        <v>2900</v>
      </c>
      <c r="AM39" t="s">
        <v>2901</v>
      </c>
      <c r="AN39" t="s">
        <v>2902</v>
      </c>
      <c r="AO39" t="s">
        <v>2903</v>
      </c>
      <c r="AP39" t="s">
        <v>2904</v>
      </c>
      <c r="AQ39" t="s">
        <v>2905</v>
      </c>
      <c r="AR39" t="s">
        <v>2906</v>
      </c>
      <c r="AS39" t="s">
        <v>2907</v>
      </c>
      <c r="AT39" t="s">
        <v>2908</v>
      </c>
      <c r="AU39" t="s">
        <v>2909</v>
      </c>
      <c r="AV39" t="s">
        <v>2910</v>
      </c>
      <c r="AW39" t="s">
        <v>2911</v>
      </c>
    </row>
    <row r="40" spans="1:49">
      <c r="A40" t="s">
        <v>2087</v>
      </c>
      <c r="B40" s="1" t="s">
        <v>4030</v>
      </c>
      <c r="C40" s="1" t="s">
        <v>4031</v>
      </c>
      <c r="D40" s="1" t="s">
        <v>4032</v>
      </c>
      <c r="E40" s="1" t="s">
        <v>4033</v>
      </c>
      <c r="F40" s="1" t="s">
        <v>4034</v>
      </c>
      <c r="G40" s="1" t="s">
        <v>4035</v>
      </c>
      <c r="H40" s="1" t="s">
        <v>4036</v>
      </c>
      <c r="I40" s="1" t="s">
        <v>4037</v>
      </c>
      <c r="J40" s="1" t="s">
        <v>4038</v>
      </c>
      <c r="K40" s="1" t="s">
        <v>4039</v>
      </c>
      <c r="L40" s="1" t="s">
        <v>4040</v>
      </c>
      <c r="M40" s="1" t="s">
        <v>4041</v>
      </c>
      <c r="N40" s="1" t="s">
        <v>4042</v>
      </c>
      <c r="O40" s="1" t="s">
        <v>4043</v>
      </c>
      <c r="P40" s="1" t="s">
        <v>4044</v>
      </c>
      <c r="Q40" s="1" t="s">
        <v>4045</v>
      </c>
      <c r="R40" t="s">
        <v>3471</v>
      </c>
      <c r="S40" t="s">
        <v>3472</v>
      </c>
      <c r="T40" t="s">
        <v>3473</v>
      </c>
      <c r="U40" t="s">
        <v>3474</v>
      </c>
      <c r="V40" t="s">
        <v>2933</v>
      </c>
      <c r="W40" t="s">
        <v>2934</v>
      </c>
      <c r="X40" t="s">
        <v>2935</v>
      </c>
      <c r="Y40" t="s">
        <v>2936</v>
      </c>
      <c r="Z40" t="s">
        <v>2189</v>
      </c>
      <c r="AA40" t="s">
        <v>2937</v>
      </c>
      <c r="AB40" t="s">
        <v>2189</v>
      </c>
      <c r="AC40" t="s">
        <v>2938</v>
      </c>
      <c r="AD40" t="s">
        <v>2189</v>
      </c>
      <c r="AE40" t="s">
        <v>2939</v>
      </c>
      <c r="AF40" t="s">
        <v>2940</v>
      </c>
      <c r="AG40" t="s">
        <v>2941</v>
      </c>
      <c r="AH40" t="s">
        <v>2919</v>
      </c>
      <c r="AI40" t="s">
        <v>2920</v>
      </c>
      <c r="AJ40" t="s">
        <v>2921</v>
      </c>
      <c r="AK40" t="s">
        <v>2922</v>
      </c>
      <c r="AL40" t="s">
        <v>2923</v>
      </c>
      <c r="AM40" t="s">
        <v>2924</v>
      </c>
      <c r="AN40" t="s">
        <v>2942</v>
      </c>
      <c r="AO40" t="s">
        <v>2926</v>
      </c>
      <c r="AP40" t="s">
        <v>2927</v>
      </c>
      <c r="AQ40" t="s">
        <v>2928</v>
      </c>
      <c r="AR40" t="s">
        <v>2943</v>
      </c>
      <c r="AS40" t="s">
        <v>2930</v>
      </c>
      <c r="AT40" t="s">
        <v>2944</v>
      </c>
      <c r="AU40" t="s">
        <v>2931</v>
      </c>
      <c r="AV40" t="s">
        <v>2945</v>
      </c>
      <c r="AW40" t="s">
        <v>2932</v>
      </c>
    </row>
    <row r="41" spans="1:49">
      <c r="A41" t="s">
        <v>2091</v>
      </c>
      <c r="B41" t="s">
        <v>4046</v>
      </c>
      <c r="C41" t="s">
        <v>4047</v>
      </c>
      <c r="D41" t="s">
        <v>4048</v>
      </c>
      <c r="E41" t="s">
        <v>4049</v>
      </c>
      <c r="F41" t="s">
        <v>4030</v>
      </c>
      <c r="G41" t="s">
        <v>4031</v>
      </c>
      <c r="H41" t="s">
        <v>4032</v>
      </c>
      <c r="I41" t="s">
        <v>4033</v>
      </c>
      <c r="J41" t="s">
        <v>4034</v>
      </c>
      <c r="K41" t="s">
        <v>4035</v>
      </c>
      <c r="L41" t="s">
        <v>4036</v>
      </c>
      <c r="M41" t="s">
        <v>4037</v>
      </c>
      <c r="N41" t="s">
        <v>4038</v>
      </c>
      <c r="O41" t="s">
        <v>4039</v>
      </c>
      <c r="P41" t="s">
        <v>4040</v>
      </c>
      <c r="Q41" t="s">
        <v>4041</v>
      </c>
      <c r="R41" t="s">
        <v>3467</v>
      </c>
      <c r="S41" t="s">
        <v>3468</v>
      </c>
      <c r="T41" t="s">
        <v>3469</v>
      </c>
      <c r="U41" t="s">
        <v>3470</v>
      </c>
      <c r="V41" t="s">
        <v>2189</v>
      </c>
      <c r="W41" t="s">
        <v>2946</v>
      </c>
      <c r="X41" t="s">
        <v>2189</v>
      </c>
      <c r="Y41" t="s">
        <v>2947</v>
      </c>
      <c r="Z41" t="s">
        <v>2189</v>
      </c>
      <c r="AA41" t="s">
        <v>2948</v>
      </c>
      <c r="AB41" t="s">
        <v>2189</v>
      </c>
      <c r="AC41" t="s">
        <v>2949</v>
      </c>
      <c r="AD41" t="s">
        <v>2189</v>
      </c>
      <c r="AE41" t="s">
        <v>2937</v>
      </c>
      <c r="AF41" t="s">
        <v>2189</v>
      </c>
      <c r="AG41" t="s">
        <v>2938</v>
      </c>
      <c r="AH41" t="s">
        <v>2950</v>
      </c>
      <c r="AI41" t="s">
        <v>2951</v>
      </c>
      <c r="AJ41" t="s">
        <v>2952</v>
      </c>
      <c r="AK41" t="s">
        <v>2953</v>
      </c>
      <c r="AL41" t="s">
        <v>2919</v>
      </c>
      <c r="AM41" t="s">
        <v>2920</v>
      </c>
      <c r="AN41" t="s">
        <v>2954</v>
      </c>
      <c r="AO41" t="s">
        <v>2922</v>
      </c>
      <c r="AP41" t="s">
        <v>2923</v>
      </c>
      <c r="AQ41" t="s">
        <v>2924</v>
      </c>
      <c r="AR41" t="s">
        <v>2925</v>
      </c>
      <c r="AS41" t="s">
        <v>2926</v>
      </c>
      <c r="AT41" t="s">
        <v>2927</v>
      </c>
      <c r="AU41" t="s">
        <v>2928</v>
      </c>
      <c r="AV41" t="s">
        <v>2929</v>
      </c>
      <c r="AW41" t="s">
        <v>2930</v>
      </c>
    </row>
    <row r="42" spans="1:49">
      <c r="A42" t="s">
        <v>2095</v>
      </c>
      <c r="B42" t="s">
        <v>4050</v>
      </c>
      <c r="C42" t="s">
        <v>4051</v>
      </c>
      <c r="D42" t="s">
        <v>4052</v>
      </c>
      <c r="E42" t="s">
        <v>4053</v>
      </c>
      <c r="F42" t="s">
        <v>4054</v>
      </c>
      <c r="G42" t="s">
        <v>4055</v>
      </c>
      <c r="H42" t="s">
        <v>4056</v>
      </c>
      <c r="I42" t="s">
        <v>4057</v>
      </c>
      <c r="J42" t="s">
        <v>4058</v>
      </c>
      <c r="K42" t="s">
        <v>4059</v>
      </c>
      <c r="L42" t="s">
        <v>4060</v>
      </c>
      <c r="M42" t="s">
        <v>4061</v>
      </c>
      <c r="N42" t="s">
        <v>4062</v>
      </c>
      <c r="O42" t="s">
        <v>4063</v>
      </c>
      <c r="P42" t="s">
        <v>4064</v>
      </c>
      <c r="Q42" t="s">
        <v>4065</v>
      </c>
      <c r="R42" t="s">
        <v>3475</v>
      </c>
      <c r="S42" t="s">
        <v>3476</v>
      </c>
      <c r="T42" t="s">
        <v>3477</v>
      </c>
      <c r="U42" t="s">
        <v>3478</v>
      </c>
      <c r="V42" t="s">
        <v>2933</v>
      </c>
      <c r="W42" t="s">
        <v>2966</v>
      </c>
      <c r="X42" t="s">
        <v>2935</v>
      </c>
      <c r="Y42" t="s">
        <v>2967</v>
      </c>
      <c r="Z42" t="s">
        <v>2189</v>
      </c>
      <c r="AA42" t="s">
        <v>2968</v>
      </c>
      <c r="AB42" t="s">
        <v>2189</v>
      </c>
      <c r="AC42" t="s">
        <v>2969</v>
      </c>
      <c r="AD42" t="s">
        <v>2189</v>
      </c>
      <c r="AE42" t="s">
        <v>2970</v>
      </c>
      <c r="AF42" t="s">
        <v>2940</v>
      </c>
      <c r="AG42" t="s">
        <v>2971</v>
      </c>
      <c r="AH42" t="s">
        <v>2955</v>
      </c>
      <c r="AI42" t="s">
        <v>2956</v>
      </c>
      <c r="AJ42" t="s">
        <v>2972</v>
      </c>
      <c r="AK42" t="s">
        <v>2957</v>
      </c>
      <c r="AL42" t="s">
        <v>2958</v>
      </c>
      <c r="AM42" t="s">
        <v>2959</v>
      </c>
      <c r="AN42" t="s">
        <v>2973</v>
      </c>
      <c r="AO42" t="s">
        <v>2960</v>
      </c>
      <c r="AP42" t="s">
        <v>2961</v>
      </c>
      <c r="AQ42" t="s">
        <v>2962</v>
      </c>
      <c r="AR42" t="s">
        <v>2974</v>
      </c>
      <c r="AS42" t="s">
        <v>2963</v>
      </c>
      <c r="AT42" t="s">
        <v>2975</v>
      </c>
      <c r="AU42" t="s">
        <v>2964</v>
      </c>
      <c r="AV42" t="s">
        <v>2976</v>
      </c>
      <c r="AW42" t="s">
        <v>2965</v>
      </c>
    </row>
    <row r="43" spans="1:49">
      <c r="A43" t="s">
        <v>1813</v>
      </c>
      <c r="B43" t="s">
        <v>4066</v>
      </c>
      <c r="C43" t="s">
        <v>4067</v>
      </c>
      <c r="D43" t="s">
        <v>4068</v>
      </c>
      <c r="E43" t="s">
        <v>4069</v>
      </c>
      <c r="F43" t="s">
        <v>4070</v>
      </c>
      <c r="G43" t="s">
        <v>4071</v>
      </c>
      <c r="H43" t="s">
        <v>4072</v>
      </c>
      <c r="I43" t="s">
        <v>4073</v>
      </c>
      <c r="J43" t="s">
        <v>4074</v>
      </c>
      <c r="K43" t="s">
        <v>4075</v>
      </c>
      <c r="L43" t="s">
        <v>4076</v>
      </c>
      <c r="M43" t="s">
        <v>4077</v>
      </c>
      <c r="N43" t="s">
        <v>4078</v>
      </c>
      <c r="O43" t="s">
        <v>4079</v>
      </c>
      <c r="P43" t="s">
        <v>4080</v>
      </c>
      <c r="Q43" t="s">
        <v>4081</v>
      </c>
      <c r="R43" t="s">
        <v>3483</v>
      </c>
      <c r="S43" t="s">
        <v>3484</v>
      </c>
      <c r="T43" t="s">
        <v>3485</v>
      </c>
      <c r="U43" t="s">
        <v>3486</v>
      </c>
      <c r="V43" t="s">
        <v>2988</v>
      </c>
      <c r="W43" t="s">
        <v>2989</v>
      </c>
      <c r="X43" t="s">
        <v>2990</v>
      </c>
      <c r="Y43" t="s">
        <v>2991</v>
      </c>
      <c r="Z43" t="s">
        <v>2189</v>
      </c>
      <c r="AA43" t="s">
        <v>2992</v>
      </c>
      <c r="AB43" t="s">
        <v>2189</v>
      </c>
      <c r="AC43" t="s">
        <v>2993</v>
      </c>
      <c r="AD43" t="s">
        <v>2189</v>
      </c>
      <c r="AE43" t="s">
        <v>2994</v>
      </c>
      <c r="AF43" t="s">
        <v>2995</v>
      </c>
      <c r="AG43" t="s">
        <v>2996</v>
      </c>
      <c r="AH43" t="s">
        <v>2997</v>
      </c>
      <c r="AI43" t="s">
        <v>2977</v>
      </c>
      <c r="AJ43" t="s">
        <v>2978</v>
      </c>
      <c r="AK43" t="s">
        <v>2979</v>
      </c>
      <c r="AL43" t="s">
        <v>2980</v>
      </c>
      <c r="AM43" t="s">
        <v>2981</v>
      </c>
      <c r="AN43" t="s">
        <v>2998</v>
      </c>
      <c r="AO43" t="s">
        <v>2983</v>
      </c>
      <c r="AP43" t="s">
        <v>2999</v>
      </c>
      <c r="AQ43" t="s">
        <v>2984</v>
      </c>
      <c r="AR43" t="s">
        <v>3000</v>
      </c>
      <c r="AS43" t="s">
        <v>2986</v>
      </c>
      <c r="AT43" t="s">
        <v>3001</v>
      </c>
      <c r="AU43" t="s">
        <v>3002</v>
      </c>
      <c r="AV43" t="s">
        <v>3003</v>
      </c>
      <c r="AW43" t="s">
        <v>2987</v>
      </c>
    </row>
    <row r="44" spans="1:49">
      <c r="A44" t="s">
        <v>2102</v>
      </c>
      <c r="B44" t="s">
        <v>4082</v>
      </c>
      <c r="C44" t="s">
        <v>4083</v>
      </c>
      <c r="D44" t="s">
        <v>4084</v>
      </c>
      <c r="E44" t="s">
        <v>4085</v>
      </c>
      <c r="F44" t="s">
        <v>4066</v>
      </c>
      <c r="G44" t="s">
        <v>4067</v>
      </c>
      <c r="H44" t="s">
        <v>4068</v>
      </c>
      <c r="I44" t="s">
        <v>4069</v>
      </c>
      <c r="J44" t="s">
        <v>4070</v>
      </c>
      <c r="K44" t="s">
        <v>4071</v>
      </c>
      <c r="L44" t="s">
        <v>4072</v>
      </c>
      <c r="M44" t="s">
        <v>4073</v>
      </c>
      <c r="N44" t="s">
        <v>4074</v>
      </c>
      <c r="O44" t="s">
        <v>4075</v>
      </c>
      <c r="P44" t="s">
        <v>4076</v>
      </c>
      <c r="Q44" t="s">
        <v>4077</v>
      </c>
      <c r="R44" t="s">
        <v>3479</v>
      </c>
      <c r="S44" t="s">
        <v>3480</v>
      </c>
      <c r="T44" t="s">
        <v>3481</v>
      </c>
      <c r="U44" t="s">
        <v>3482</v>
      </c>
      <c r="V44" t="s">
        <v>2189</v>
      </c>
      <c r="W44" t="s">
        <v>3004</v>
      </c>
      <c r="X44" t="s">
        <v>2189</v>
      </c>
      <c r="Y44" t="s">
        <v>3005</v>
      </c>
      <c r="Z44" t="s">
        <v>2189</v>
      </c>
      <c r="AA44" t="s">
        <v>3006</v>
      </c>
      <c r="AB44" t="s">
        <v>2189</v>
      </c>
      <c r="AC44" t="s">
        <v>3007</v>
      </c>
      <c r="AD44" t="s">
        <v>2189</v>
      </c>
      <c r="AE44" t="s">
        <v>2992</v>
      </c>
      <c r="AF44" t="s">
        <v>2189</v>
      </c>
      <c r="AG44" t="s">
        <v>2993</v>
      </c>
      <c r="AH44" t="s">
        <v>3008</v>
      </c>
      <c r="AI44" t="s">
        <v>3009</v>
      </c>
      <c r="AJ44" t="s">
        <v>3010</v>
      </c>
      <c r="AK44" t="s">
        <v>3011</v>
      </c>
      <c r="AL44" t="s">
        <v>2997</v>
      </c>
      <c r="AM44" t="s">
        <v>2977</v>
      </c>
      <c r="AN44" t="s">
        <v>3012</v>
      </c>
      <c r="AO44" t="s">
        <v>2979</v>
      </c>
      <c r="AP44" t="s">
        <v>2980</v>
      </c>
      <c r="AQ44" t="s">
        <v>2981</v>
      </c>
      <c r="AR44" t="s">
        <v>2982</v>
      </c>
      <c r="AS44" t="s">
        <v>2983</v>
      </c>
      <c r="AT44" t="s">
        <v>2999</v>
      </c>
      <c r="AU44" t="s">
        <v>2984</v>
      </c>
      <c r="AV44" t="s">
        <v>2985</v>
      </c>
      <c r="AW44" t="s">
        <v>2986</v>
      </c>
    </row>
    <row r="45" spans="1:49">
      <c r="A45" t="s">
        <v>2106</v>
      </c>
      <c r="B45" t="s">
        <v>4086</v>
      </c>
      <c r="C45" t="s">
        <v>4087</v>
      </c>
      <c r="D45" t="s">
        <v>4088</v>
      </c>
      <c r="E45" t="s">
        <v>4089</v>
      </c>
      <c r="F45" t="s">
        <v>4090</v>
      </c>
      <c r="G45" t="s">
        <v>4091</v>
      </c>
      <c r="H45" t="s">
        <v>4092</v>
      </c>
      <c r="I45" t="s">
        <v>4093</v>
      </c>
      <c r="J45" t="s">
        <v>4094</v>
      </c>
      <c r="K45" t="s">
        <v>4095</v>
      </c>
      <c r="L45" t="s">
        <v>4096</v>
      </c>
      <c r="M45" t="s">
        <v>4097</v>
      </c>
      <c r="N45" t="s">
        <v>4098</v>
      </c>
      <c r="O45" t="s">
        <v>4099</v>
      </c>
      <c r="P45" t="s">
        <v>4100</v>
      </c>
      <c r="Q45" t="s">
        <v>4101</v>
      </c>
      <c r="R45" t="s">
        <v>3487</v>
      </c>
      <c r="S45" t="s">
        <v>3488</v>
      </c>
      <c r="T45" t="s">
        <v>3489</v>
      </c>
      <c r="U45" t="s">
        <v>3490</v>
      </c>
      <c r="V45" t="s">
        <v>2988</v>
      </c>
      <c r="W45" t="s">
        <v>3023</v>
      </c>
      <c r="X45" t="s">
        <v>2990</v>
      </c>
      <c r="Y45" t="s">
        <v>3024</v>
      </c>
      <c r="Z45" t="s">
        <v>2189</v>
      </c>
      <c r="AA45" t="s">
        <v>3025</v>
      </c>
      <c r="AB45" t="s">
        <v>2189</v>
      </c>
      <c r="AC45" t="s">
        <v>3026</v>
      </c>
      <c r="AD45" t="s">
        <v>2189</v>
      </c>
      <c r="AE45" t="s">
        <v>3027</v>
      </c>
      <c r="AF45" t="s">
        <v>2995</v>
      </c>
      <c r="AG45" t="s">
        <v>3028</v>
      </c>
      <c r="AH45" t="s">
        <v>3013</v>
      </c>
      <c r="AI45" t="s">
        <v>3014</v>
      </c>
      <c r="AJ45" t="s">
        <v>3029</v>
      </c>
      <c r="AK45" t="s">
        <v>3015</v>
      </c>
      <c r="AL45" t="s">
        <v>3016</v>
      </c>
      <c r="AM45" t="s">
        <v>3017</v>
      </c>
      <c r="AN45" t="s">
        <v>3030</v>
      </c>
      <c r="AO45" t="s">
        <v>3018</v>
      </c>
      <c r="AP45" t="s">
        <v>3019</v>
      </c>
      <c r="AQ45" t="s">
        <v>3020</v>
      </c>
      <c r="AR45" t="s">
        <v>3031</v>
      </c>
      <c r="AS45" t="s">
        <v>3021</v>
      </c>
      <c r="AT45" t="s">
        <v>3032</v>
      </c>
      <c r="AU45" t="s">
        <v>3033</v>
      </c>
      <c r="AV45" t="s">
        <v>3034</v>
      </c>
      <c r="AW45" t="s">
        <v>3022</v>
      </c>
    </row>
    <row r="46" spans="1:49">
      <c r="A46" t="s">
        <v>1548</v>
      </c>
      <c r="B46" t="s">
        <v>4102</v>
      </c>
      <c r="C46" t="s">
        <v>4103</v>
      </c>
      <c r="D46" t="s">
        <v>4104</v>
      </c>
      <c r="E46" t="s">
        <v>4105</v>
      </c>
      <c r="F46" t="s">
        <v>4106</v>
      </c>
      <c r="G46" t="s">
        <v>4107</v>
      </c>
      <c r="H46" t="s">
        <v>4108</v>
      </c>
      <c r="I46" t="s">
        <v>4109</v>
      </c>
      <c r="J46" t="s">
        <v>4110</v>
      </c>
      <c r="K46" t="s">
        <v>4111</v>
      </c>
      <c r="L46" t="s">
        <v>4112</v>
      </c>
      <c r="M46" t="s">
        <v>4113</v>
      </c>
      <c r="N46" t="s">
        <v>4114</v>
      </c>
      <c r="O46" t="s">
        <v>4115</v>
      </c>
      <c r="P46" t="s">
        <v>4116</v>
      </c>
      <c r="Q46" t="s">
        <v>4117</v>
      </c>
      <c r="R46" t="s">
        <v>3495</v>
      </c>
      <c r="S46" t="s">
        <v>3496</v>
      </c>
      <c r="T46" t="s">
        <v>3497</v>
      </c>
      <c r="U46" t="s">
        <v>3498</v>
      </c>
      <c r="V46" t="s">
        <v>3050</v>
      </c>
      <c r="W46" t="s">
        <v>3051</v>
      </c>
      <c r="X46" t="s">
        <v>3052</v>
      </c>
      <c r="Y46" t="s">
        <v>3053</v>
      </c>
      <c r="Z46" t="s">
        <v>2189</v>
      </c>
      <c r="AA46" t="s">
        <v>3054</v>
      </c>
      <c r="AB46" t="s">
        <v>2189</v>
      </c>
      <c r="AC46" t="s">
        <v>3055</v>
      </c>
      <c r="AD46" t="s">
        <v>2189</v>
      </c>
      <c r="AE46" t="s">
        <v>3056</v>
      </c>
      <c r="AF46" t="s">
        <v>3057</v>
      </c>
      <c r="AG46" t="s">
        <v>3058</v>
      </c>
      <c r="AH46" t="s">
        <v>3035</v>
      </c>
      <c r="AI46" t="s">
        <v>3036</v>
      </c>
      <c r="AJ46" t="s">
        <v>3037</v>
      </c>
      <c r="AK46" t="s">
        <v>3038</v>
      </c>
      <c r="AL46" t="s">
        <v>3039</v>
      </c>
      <c r="AM46" t="s">
        <v>3040</v>
      </c>
      <c r="AN46" t="s">
        <v>3059</v>
      </c>
      <c r="AO46" t="s">
        <v>3042</v>
      </c>
      <c r="AP46" t="s">
        <v>3043</v>
      </c>
      <c r="AQ46" t="s">
        <v>3044</v>
      </c>
      <c r="AR46" t="s">
        <v>3060</v>
      </c>
      <c r="AS46" t="s">
        <v>3046</v>
      </c>
      <c r="AT46" t="s">
        <v>3047</v>
      </c>
      <c r="AU46" t="s">
        <v>3048</v>
      </c>
      <c r="AV46" t="s">
        <v>3061</v>
      </c>
      <c r="AW46" t="s">
        <v>3049</v>
      </c>
    </row>
    <row r="47" spans="1:49">
      <c r="A47" t="s">
        <v>2113</v>
      </c>
      <c r="B47" t="s">
        <v>4118</v>
      </c>
      <c r="C47" t="s">
        <v>4119</v>
      </c>
      <c r="D47" t="s">
        <v>4120</v>
      </c>
      <c r="E47" t="s">
        <v>4121</v>
      </c>
      <c r="F47" t="s">
        <v>4102</v>
      </c>
      <c r="G47" t="s">
        <v>4103</v>
      </c>
      <c r="H47" t="s">
        <v>4104</v>
      </c>
      <c r="I47" t="s">
        <v>4105</v>
      </c>
      <c r="J47" t="s">
        <v>4106</v>
      </c>
      <c r="K47" t="s">
        <v>4107</v>
      </c>
      <c r="L47" t="s">
        <v>4108</v>
      </c>
      <c r="M47" t="s">
        <v>4109</v>
      </c>
      <c r="N47" t="s">
        <v>4110</v>
      </c>
      <c r="O47" t="s">
        <v>4111</v>
      </c>
      <c r="P47" t="s">
        <v>4112</v>
      </c>
      <c r="Q47" t="s">
        <v>4113</v>
      </c>
      <c r="R47" t="s">
        <v>3491</v>
      </c>
      <c r="S47" t="s">
        <v>3492</v>
      </c>
      <c r="T47" t="s">
        <v>3493</v>
      </c>
      <c r="U47" t="s">
        <v>3494</v>
      </c>
      <c r="V47" t="s">
        <v>3065</v>
      </c>
      <c r="W47" t="s">
        <v>3066</v>
      </c>
      <c r="X47" t="s">
        <v>3067</v>
      </c>
      <c r="Y47" t="s">
        <v>3068</v>
      </c>
      <c r="Z47" t="s">
        <v>2189</v>
      </c>
      <c r="AA47" t="s">
        <v>3069</v>
      </c>
      <c r="AB47" t="s">
        <v>2189</v>
      </c>
      <c r="AC47" t="s">
        <v>3070</v>
      </c>
      <c r="AD47" t="s">
        <v>2189</v>
      </c>
      <c r="AE47" t="s">
        <v>3054</v>
      </c>
      <c r="AF47" t="s">
        <v>3071</v>
      </c>
      <c r="AG47" t="s">
        <v>3055</v>
      </c>
      <c r="AH47" t="s">
        <v>3062</v>
      </c>
      <c r="AI47" t="s">
        <v>3063</v>
      </c>
      <c r="AJ47" t="s">
        <v>3072</v>
      </c>
      <c r="AK47" t="s">
        <v>3064</v>
      </c>
      <c r="AL47" t="s">
        <v>3035</v>
      </c>
      <c r="AM47" t="s">
        <v>3036</v>
      </c>
      <c r="AN47" t="s">
        <v>3073</v>
      </c>
      <c r="AO47" t="s">
        <v>3038</v>
      </c>
      <c r="AP47" t="s">
        <v>3039</v>
      </c>
      <c r="AQ47" t="s">
        <v>3040</v>
      </c>
      <c r="AR47" t="s">
        <v>3041</v>
      </c>
      <c r="AS47" t="s">
        <v>3042</v>
      </c>
      <c r="AT47" t="s">
        <v>3043</v>
      </c>
      <c r="AU47" t="s">
        <v>3044</v>
      </c>
      <c r="AV47" t="s">
        <v>3045</v>
      </c>
      <c r="AW47" t="s">
        <v>3046</v>
      </c>
    </row>
    <row r="48" spans="1:49">
      <c r="A48" t="s">
        <v>2117</v>
      </c>
      <c r="B48" t="s">
        <v>4122</v>
      </c>
      <c r="C48" t="s">
        <v>4123</v>
      </c>
      <c r="D48" t="s">
        <v>4124</v>
      </c>
      <c r="E48" t="s">
        <v>4125</v>
      </c>
      <c r="F48" t="s">
        <v>4126</v>
      </c>
      <c r="G48" t="s">
        <v>4127</v>
      </c>
      <c r="H48" t="s">
        <v>4128</v>
      </c>
      <c r="I48" t="s">
        <v>4129</v>
      </c>
      <c r="J48" t="s">
        <v>4130</v>
      </c>
      <c r="K48" t="s">
        <v>4131</v>
      </c>
      <c r="L48" t="s">
        <v>4132</v>
      </c>
      <c r="M48" t="s">
        <v>4133</v>
      </c>
      <c r="N48" t="s">
        <v>4134</v>
      </c>
      <c r="O48" t="s">
        <v>4135</v>
      </c>
      <c r="P48" t="s">
        <v>4136</v>
      </c>
      <c r="Q48" t="s">
        <v>4137</v>
      </c>
      <c r="R48" t="s">
        <v>3499</v>
      </c>
      <c r="S48" t="s">
        <v>3500</v>
      </c>
      <c r="T48" t="s">
        <v>3501</v>
      </c>
      <c r="U48" t="s">
        <v>3502</v>
      </c>
      <c r="V48" t="s">
        <v>3085</v>
      </c>
      <c r="W48" t="s">
        <v>3086</v>
      </c>
      <c r="X48" t="s">
        <v>3087</v>
      </c>
      <c r="Y48" t="s">
        <v>3088</v>
      </c>
      <c r="Z48" t="s">
        <v>2189</v>
      </c>
      <c r="AA48" t="s">
        <v>3089</v>
      </c>
      <c r="AB48" t="s">
        <v>2189</v>
      </c>
      <c r="AC48" t="s">
        <v>3090</v>
      </c>
      <c r="AD48" t="s">
        <v>2189</v>
      </c>
      <c r="AE48" t="s">
        <v>3091</v>
      </c>
      <c r="AF48" t="s">
        <v>3092</v>
      </c>
      <c r="AG48" t="s">
        <v>3093</v>
      </c>
      <c r="AH48" t="s">
        <v>3074</v>
      </c>
      <c r="AI48" t="s">
        <v>3075</v>
      </c>
      <c r="AJ48" t="s">
        <v>3094</v>
      </c>
      <c r="AK48" t="s">
        <v>3076</v>
      </c>
      <c r="AL48" t="s">
        <v>3077</v>
      </c>
      <c r="AM48" t="s">
        <v>3078</v>
      </c>
      <c r="AN48" t="s">
        <v>3095</v>
      </c>
      <c r="AO48" t="s">
        <v>3079</v>
      </c>
      <c r="AP48" t="s">
        <v>3080</v>
      </c>
      <c r="AQ48" t="s">
        <v>3081</v>
      </c>
      <c r="AR48" t="s">
        <v>3096</v>
      </c>
      <c r="AS48" t="s">
        <v>3082</v>
      </c>
      <c r="AT48" t="s">
        <v>3097</v>
      </c>
      <c r="AU48" t="s">
        <v>3083</v>
      </c>
      <c r="AV48" t="s">
        <v>3098</v>
      </c>
      <c r="AW48" t="s">
        <v>3084</v>
      </c>
    </row>
    <row r="49" spans="1:49">
      <c r="A49" t="s">
        <v>1562</v>
      </c>
      <c r="B49" t="s">
        <v>4138</v>
      </c>
      <c r="C49" t="s">
        <v>4139</v>
      </c>
      <c r="D49" t="s">
        <v>4140</v>
      </c>
      <c r="E49" t="s">
        <v>4141</v>
      </c>
      <c r="F49" t="s">
        <v>4142</v>
      </c>
      <c r="G49" t="s">
        <v>4143</v>
      </c>
      <c r="H49" t="s">
        <v>4144</v>
      </c>
      <c r="I49" t="s">
        <v>4145</v>
      </c>
      <c r="J49" t="s">
        <v>4146</v>
      </c>
      <c r="K49" t="s">
        <v>4147</v>
      </c>
      <c r="L49" t="s">
        <v>4148</v>
      </c>
      <c r="M49" t="s">
        <v>4149</v>
      </c>
      <c r="N49" t="s">
        <v>4150</v>
      </c>
      <c r="O49" t="s">
        <v>4151</v>
      </c>
      <c r="P49" t="s">
        <v>4152</v>
      </c>
      <c r="Q49" t="s">
        <v>4153</v>
      </c>
      <c r="R49" t="s">
        <v>3507</v>
      </c>
      <c r="S49" t="s">
        <v>3508</v>
      </c>
      <c r="T49" t="s">
        <v>3509</v>
      </c>
      <c r="U49" t="s">
        <v>3510</v>
      </c>
      <c r="V49" t="s">
        <v>3099</v>
      </c>
      <c r="W49" t="s">
        <v>3100</v>
      </c>
      <c r="X49" t="s">
        <v>3101</v>
      </c>
      <c r="Y49" t="s">
        <v>3102</v>
      </c>
      <c r="Z49" t="s">
        <v>2189</v>
      </c>
      <c r="AA49" t="s">
        <v>3103</v>
      </c>
      <c r="AB49" t="s">
        <v>2189</v>
      </c>
      <c r="AC49" t="s">
        <v>3104</v>
      </c>
      <c r="AD49" t="s">
        <v>2189</v>
      </c>
      <c r="AE49" t="s">
        <v>3105</v>
      </c>
      <c r="AF49" t="s">
        <v>3106</v>
      </c>
      <c r="AG49" t="s">
        <v>3107</v>
      </c>
      <c r="AH49" t="s">
        <v>3108</v>
      </c>
      <c r="AI49" t="s">
        <v>3109</v>
      </c>
      <c r="AJ49" t="s">
        <v>3110</v>
      </c>
      <c r="AK49" t="s">
        <v>3111</v>
      </c>
      <c r="AL49" t="s">
        <v>3112</v>
      </c>
      <c r="AM49" t="s">
        <v>3113</v>
      </c>
      <c r="AN49" t="s">
        <v>3114</v>
      </c>
      <c r="AO49" t="s">
        <v>3115</v>
      </c>
      <c r="AP49" t="s">
        <v>3116</v>
      </c>
      <c r="AQ49" t="s">
        <v>3117</v>
      </c>
      <c r="AR49" t="s">
        <v>3118</v>
      </c>
      <c r="AS49" t="s">
        <v>3119</v>
      </c>
      <c r="AT49" t="s">
        <v>3120</v>
      </c>
      <c r="AU49" t="s">
        <v>3121</v>
      </c>
      <c r="AV49" t="s">
        <v>3122</v>
      </c>
      <c r="AW49" t="s">
        <v>3123</v>
      </c>
    </row>
    <row r="50" spans="1:49">
      <c r="A50" t="s">
        <v>2124</v>
      </c>
      <c r="B50" t="s">
        <v>4154</v>
      </c>
      <c r="C50" t="s">
        <v>4155</v>
      </c>
      <c r="D50" t="s">
        <v>4156</v>
      </c>
      <c r="E50" t="s">
        <v>4157</v>
      </c>
      <c r="F50" t="s">
        <v>4138</v>
      </c>
      <c r="G50" t="s">
        <v>4139</v>
      </c>
      <c r="H50" t="s">
        <v>4140</v>
      </c>
      <c r="I50" t="s">
        <v>4141</v>
      </c>
      <c r="J50" t="s">
        <v>4142</v>
      </c>
      <c r="K50" t="s">
        <v>4143</v>
      </c>
      <c r="L50" t="s">
        <v>4144</v>
      </c>
      <c r="M50" t="s">
        <v>4145</v>
      </c>
      <c r="N50" t="s">
        <v>4146</v>
      </c>
      <c r="O50" t="s">
        <v>4147</v>
      </c>
      <c r="P50" t="s">
        <v>4148</v>
      </c>
      <c r="Q50" t="s">
        <v>4149</v>
      </c>
      <c r="R50" t="s">
        <v>3503</v>
      </c>
      <c r="S50" t="s">
        <v>3504</v>
      </c>
      <c r="T50" t="s">
        <v>3505</v>
      </c>
      <c r="U50" t="s">
        <v>3506</v>
      </c>
      <c r="V50" t="s">
        <v>2189</v>
      </c>
      <c r="W50" t="s">
        <v>3124</v>
      </c>
      <c r="X50" t="s">
        <v>2189</v>
      </c>
      <c r="Y50" t="s">
        <v>3125</v>
      </c>
      <c r="Z50" t="s">
        <v>2189</v>
      </c>
      <c r="AA50" t="s">
        <v>3126</v>
      </c>
      <c r="AB50" t="s">
        <v>2189</v>
      </c>
      <c r="AC50" t="s">
        <v>3127</v>
      </c>
      <c r="AD50" t="s">
        <v>2189</v>
      </c>
      <c r="AE50" t="s">
        <v>3103</v>
      </c>
      <c r="AF50" t="s">
        <v>2189</v>
      </c>
      <c r="AG50" t="s">
        <v>3104</v>
      </c>
      <c r="AH50" t="s">
        <v>3128</v>
      </c>
      <c r="AI50" t="s">
        <v>3129</v>
      </c>
      <c r="AJ50" t="s">
        <v>3130</v>
      </c>
      <c r="AK50" t="s">
        <v>3131</v>
      </c>
      <c r="AL50" t="s">
        <v>3108</v>
      </c>
      <c r="AM50" t="s">
        <v>3109</v>
      </c>
      <c r="AN50" t="s">
        <v>3132</v>
      </c>
      <c r="AO50" t="s">
        <v>3111</v>
      </c>
      <c r="AP50" t="s">
        <v>3112</v>
      </c>
      <c r="AQ50" t="s">
        <v>3113</v>
      </c>
      <c r="AR50" t="s">
        <v>3133</v>
      </c>
      <c r="AS50" t="s">
        <v>3115</v>
      </c>
      <c r="AT50" t="s">
        <v>3116</v>
      </c>
      <c r="AU50" t="s">
        <v>3117</v>
      </c>
      <c r="AV50" t="s">
        <v>3134</v>
      </c>
      <c r="AW50" t="s">
        <v>3119</v>
      </c>
    </row>
    <row r="51" spans="1:49">
      <c r="A51" t="s">
        <v>2128</v>
      </c>
      <c r="B51" t="s">
        <v>4158</v>
      </c>
      <c r="C51" t="s">
        <v>4159</v>
      </c>
      <c r="D51" t="s">
        <v>4160</v>
      </c>
      <c r="E51" t="s">
        <v>4161</v>
      </c>
      <c r="F51" t="s">
        <v>4162</v>
      </c>
      <c r="G51" t="s">
        <v>4163</v>
      </c>
      <c r="H51" t="s">
        <v>4164</v>
      </c>
      <c r="I51" t="s">
        <v>4165</v>
      </c>
      <c r="J51" t="s">
        <v>4166</v>
      </c>
      <c r="K51" t="s">
        <v>4167</v>
      </c>
      <c r="L51" t="s">
        <v>4168</v>
      </c>
      <c r="M51" t="s">
        <v>4169</v>
      </c>
      <c r="N51" t="s">
        <v>4170</v>
      </c>
      <c r="O51" t="s">
        <v>4171</v>
      </c>
      <c r="P51" t="s">
        <v>4172</v>
      </c>
      <c r="Q51" t="s">
        <v>4173</v>
      </c>
      <c r="R51" t="s">
        <v>3511</v>
      </c>
      <c r="S51" t="s">
        <v>3512</v>
      </c>
      <c r="T51" t="s">
        <v>3513</v>
      </c>
      <c r="U51" t="s">
        <v>3514</v>
      </c>
      <c r="V51" t="s">
        <v>3099</v>
      </c>
      <c r="W51" t="s">
        <v>3135</v>
      </c>
      <c r="X51" t="s">
        <v>3101</v>
      </c>
      <c r="Y51" t="s">
        <v>3136</v>
      </c>
      <c r="Z51" t="s">
        <v>2189</v>
      </c>
      <c r="AA51" t="s">
        <v>3137</v>
      </c>
      <c r="AB51" t="s">
        <v>2189</v>
      </c>
      <c r="AC51" t="s">
        <v>3138</v>
      </c>
      <c r="AD51" t="s">
        <v>2189</v>
      </c>
      <c r="AE51" t="s">
        <v>3139</v>
      </c>
      <c r="AF51" t="s">
        <v>3106</v>
      </c>
      <c r="AG51" t="s">
        <v>3140</v>
      </c>
      <c r="AH51" t="s">
        <v>3141</v>
      </c>
      <c r="AI51" t="s">
        <v>3142</v>
      </c>
      <c r="AJ51" t="s">
        <v>3143</v>
      </c>
      <c r="AK51" t="s">
        <v>3144</v>
      </c>
      <c r="AL51" t="s">
        <v>3145</v>
      </c>
      <c r="AM51" t="s">
        <v>3146</v>
      </c>
      <c r="AN51" t="s">
        <v>3147</v>
      </c>
      <c r="AO51" t="s">
        <v>3148</v>
      </c>
      <c r="AP51" t="s">
        <v>3149</v>
      </c>
      <c r="AQ51" t="s">
        <v>3150</v>
      </c>
      <c r="AR51" t="s">
        <v>3151</v>
      </c>
      <c r="AS51" t="s">
        <v>3152</v>
      </c>
      <c r="AT51" t="s">
        <v>3153</v>
      </c>
      <c r="AU51" t="s">
        <v>3154</v>
      </c>
      <c r="AV51" t="s">
        <v>3155</v>
      </c>
      <c r="AW51" t="s">
        <v>3156</v>
      </c>
    </row>
    <row r="52" spans="1:49">
      <c r="A52" t="s">
        <v>1572</v>
      </c>
      <c r="B52" t="s">
        <v>4174</v>
      </c>
      <c r="C52" t="s">
        <v>4175</v>
      </c>
      <c r="D52" t="s">
        <v>4176</v>
      </c>
      <c r="E52" t="s">
        <v>4177</v>
      </c>
      <c r="F52" t="s">
        <v>4178</v>
      </c>
      <c r="G52" t="s">
        <v>4179</v>
      </c>
      <c r="H52" t="s">
        <v>4180</v>
      </c>
      <c r="I52" t="s">
        <v>4181</v>
      </c>
      <c r="J52" t="s">
        <v>4182</v>
      </c>
      <c r="K52" t="s">
        <v>4183</v>
      </c>
      <c r="L52" t="s">
        <v>4184</v>
      </c>
      <c r="M52" t="s">
        <v>4185</v>
      </c>
      <c r="N52" t="s">
        <v>4186</v>
      </c>
      <c r="O52" t="s">
        <v>4187</v>
      </c>
      <c r="P52" t="s">
        <v>4188</v>
      </c>
      <c r="Q52" t="s">
        <v>4189</v>
      </c>
      <c r="R52" t="s">
        <v>3519</v>
      </c>
      <c r="S52" t="s">
        <v>3520</v>
      </c>
      <c r="T52" t="s">
        <v>3521</v>
      </c>
      <c r="U52" t="s">
        <v>3522</v>
      </c>
      <c r="V52" t="s">
        <v>3173</v>
      </c>
      <c r="W52" t="s">
        <v>3174</v>
      </c>
      <c r="X52" t="s">
        <v>3175</v>
      </c>
      <c r="Y52" t="s">
        <v>3176</v>
      </c>
      <c r="Z52" t="s">
        <v>2189</v>
      </c>
      <c r="AA52" t="s">
        <v>3177</v>
      </c>
      <c r="AB52" t="s">
        <v>2189</v>
      </c>
      <c r="AC52" t="s">
        <v>3178</v>
      </c>
      <c r="AD52" t="s">
        <v>2189</v>
      </c>
      <c r="AE52" t="s">
        <v>3179</v>
      </c>
      <c r="AF52" t="s">
        <v>3180</v>
      </c>
      <c r="AG52" t="s">
        <v>3181</v>
      </c>
      <c r="AH52" t="s">
        <v>3157</v>
      </c>
      <c r="AI52" t="s">
        <v>3158</v>
      </c>
      <c r="AJ52" t="s">
        <v>3159</v>
      </c>
      <c r="AK52" t="s">
        <v>3160</v>
      </c>
      <c r="AL52" t="s">
        <v>3161</v>
      </c>
      <c r="AM52" t="s">
        <v>3162</v>
      </c>
      <c r="AN52" t="s">
        <v>3163</v>
      </c>
      <c r="AO52" t="s">
        <v>3164</v>
      </c>
      <c r="AP52" t="s">
        <v>3165</v>
      </c>
      <c r="AQ52" t="s">
        <v>3166</v>
      </c>
      <c r="AR52" t="s">
        <v>3167</v>
      </c>
      <c r="AS52" t="s">
        <v>3168</v>
      </c>
      <c r="AT52" t="s">
        <v>3169</v>
      </c>
      <c r="AU52" t="s">
        <v>3170</v>
      </c>
      <c r="AV52" t="s">
        <v>3171</v>
      </c>
      <c r="AW52" t="s">
        <v>3172</v>
      </c>
    </row>
    <row r="53" spans="1:49">
      <c r="A53" t="s">
        <v>2135</v>
      </c>
      <c r="B53" t="s">
        <v>4190</v>
      </c>
      <c r="C53" t="s">
        <v>4191</v>
      </c>
      <c r="D53" t="s">
        <v>4192</v>
      </c>
      <c r="E53" t="s">
        <v>4193</v>
      </c>
      <c r="F53" t="s">
        <v>4174</v>
      </c>
      <c r="G53" t="s">
        <v>4175</v>
      </c>
      <c r="H53" t="s">
        <v>4176</v>
      </c>
      <c r="I53" t="s">
        <v>4177</v>
      </c>
      <c r="J53" t="s">
        <v>4178</v>
      </c>
      <c r="K53" t="s">
        <v>4179</v>
      </c>
      <c r="L53" t="s">
        <v>4180</v>
      </c>
      <c r="M53" t="s">
        <v>4181</v>
      </c>
      <c r="N53" t="s">
        <v>4182</v>
      </c>
      <c r="O53" t="s">
        <v>4183</v>
      </c>
      <c r="P53" t="s">
        <v>4184</v>
      </c>
      <c r="Q53" t="s">
        <v>4185</v>
      </c>
      <c r="R53" t="s">
        <v>3515</v>
      </c>
      <c r="S53" t="s">
        <v>3516</v>
      </c>
      <c r="T53" t="s">
        <v>3517</v>
      </c>
      <c r="U53" t="s">
        <v>3518</v>
      </c>
      <c r="V53" t="s">
        <v>2189</v>
      </c>
      <c r="W53" t="s">
        <v>3186</v>
      </c>
      <c r="X53" t="s">
        <v>2189</v>
      </c>
      <c r="Y53" t="s">
        <v>3187</v>
      </c>
      <c r="Z53" t="s">
        <v>2189</v>
      </c>
      <c r="AA53" t="s">
        <v>3188</v>
      </c>
      <c r="AB53" t="s">
        <v>2189</v>
      </c>
      <c r="AC53" t="s">
        <v>3189</v>
      </c>
      <c r="AD53" t="s">
        <v>2189</v>
      </c>
      <c r="AE53" t="s">
        <v>3177</v>
      </c>
      <c r="AF53" t="s">
        <v>2189</v>
      </c>
      <c r="AG53" t="s">
        <v>3178</v>
      </c>
      <c r="AH53" t="s">
        <v>3182</v>
      </c>
      <c r="AI53" t="s">
        <v>3183</v>
      </c>
      <c r="AJ53" t="s">
        <v>3184</v>
      </c>
      <c r="AK53" t="s">
        <v>3185</v>
      </c>
      <c r="AL53" t="s">
        <v>3157</v>
      </c>
      <c r="AM53" t="s">
        <v>3158</v>
      </c>
      <c r="AN53" t="s">
        <v>3159</v>
      </c>
      <c r="AO53" t="s">
        <v>3160</v>
      </c>
      <c r="AP53" t="s">
        <v>3161</v>
      </c>
      <c r="AQ53" t="s">
        <v>3162</v>
      </c>
      <c r="AR53" t="s">
        <v>3163</v>
      </c>
      <c r="AS53" t="s">
        <v>3164</v>
      </c>
      <c r="AT53" t="s">
        <v>3165</v>
      </c>
      <c r="AU53" t="s">
        <v>3166</v>
      </c>
      <c r="AV53" t="s">
        <v>3167</v>
      </c>
      <c r="AW53" t="s">
        <v>3168</v>
      </c>
    </row>
    <row r="54" spans="1:49">
      <c r="A54" t="s">
        <v>2139</v>
      </c>
      <c r="B54" t="s">
        <v>4194</v>
      </c>
      <c r="C54" t="s">
        <v>4195</v>
      </c>
      <c r="D54" t="s">
        <v>4196</v>
      </c>
      <c r="E54" t="s">
        <v>4197</v>
      </c>
      <c r="F54" t="s">
        <v>4198</v>
      </c>
      <c r="G54" t="s">
        <v>4199</v>
      </c>
      <c r="H54" t="s">
        <v>4200</v>
      </c>
      <c r="I54" t="s">
        <v>4201</v>
      </c>
      <c r="J54" t="s">
        <v>4202</v>
      </c>
      <c r="K54" t="s">
        <v>4203</v>
      </c>
      <c r="L54" t="s">
        <v>4204</v>
      </c>
      <c r="M54" t="s">
        <v>4205</v>
      </c>
      <c r="N54" t="s">
        <v>4206</v>
      </c>
      <c r="O54" t="s">
        <v>4207</v>
      </c>
      <c r="P54" t="s">
        <v>4208</v>
      </c>
      <c r="Q54" t="s">
        <v>4209</v>
      </c>
      <c r="R54" t="s">
        <v>3523</v>
      </c>
      <c r="S54" t="s">
        <v>3524</v>
      </c>
      <c r="T54" t="s">
        <v>3525</v>
      </c>
      <c r="U54" t="s">
        <v>3526</v>
      </c>
      <c r="V54" t="s">
        <v>3173</v>
      </c>
      <c r="W54" t="s">
        <v>3196</v>
      </c>
      <c r="X54" t="s">
        <v>3175</v>
      </c>
      <c r="Y54" t="s">
        <v>3197</v>
      </c>
      <c r="Z54" t="s">
        <v>2189</v>
      </c>
      <c r="AA54" t="s">
        <v>3198</v>
      </c>
      <c r="AB54" t="s">
        <v>2189</v>
      </c>
      <c r="AC54" t="s">
        <v>3199</v>
      </c>
      <c r="AD54" t="s">
        <v>2189</v>
      </c>
      <c r="AE54" t="s">
        <v>3200</v>
      </c>
      <c r="AF54" t="s">
        <v>3180</v>
      </c>
      <c r="AG54" t="s">
        <v>3201</v>
      </c>
      <c r="AH54" t="s">
        <v>3202</v>
      </c>
      <c r="AI54" t="s">
        <v>3203</v>
      </c>
      <c r="AJ54" t="s">
        <v>3190</v>
      </c>
      <c r="AK54" t="s">
        <v>3191</v>
      </c>
      <c r="AL54" t="s">
        <v>3192</v>
      </c>
      <c r="AM54" t="s">
        <v>3193</v>
      </c>
      <c r="AN54" t="s">
        <v>3204</v>
      </c>
      <c r="AO54" t="s">
        <v>3205</v>
      </c>
      <c r="AP54" t="s">
        <v>3194</v>
      </c>
      <c r="AQ54" t="s">
        <v>3195</v>
      </c>
      <c r="AR54" t="s">
        <v>3206</v>
      </c>
      <c r="AS54" t="s">
        <v>3207</v>
      </c>
      <c r="AT54" t="s">
        <v>3208</v>
      </c>
      <c r="AU54" t="s">
        <v>3209</v>
      </c>
      <c r="AV54" t="s">
        <v>3210</v>
      </c>
      <c r="AW54" t="s">
        <v>3211</v>
      </c>
    </row>
    <row r="55" spans="1:49">
      <c r="A55" t="s">
        <v>1565</v>
      </c>
      <c r="B55" t="s">
        <v>4210</v>
      </c>
      <c r="C55" t="s">
        <v>4211</v>
      </c>
      <c r="D55" t="s">
        <v>4212</v>
      </c>
      <c r="E55" t="s">
        <v>4213</v>
      </c>
      <c r="F55" t="s">
        <v>4214</v>
      </c>
      <c r="G55" t="s">
        <v>4215</v>
      </c>
      <c r="H55" t="s">
        <v>4216</v>
      </c>
      <c r="I55" t="s">
        <v>4217</v>
      </c>
      <c r="J55" t="s">
        <v>4218</v>
      </c>
      <c r="K55" t="s">
        <v>4219</v>
      </c>
      <c r="L55" t="s">
        <v>4220</v>
      </c>
      <c r="M55" t="s">
        <v>4221</v>
      </c>
      <c r="N55" t="s">
        <v>4222</v>
      </c>
      <c r="O55" t="s">
        <v>4223</v>
      </c>
      <c r="P55" t="s">
        <v>4224</v>
      </c>
      <c r="Q55" t="s">
        <v>4225</v>
      </c>
      <c r="R55" t="s">
        <v>3531</v>
      </c>
      <c r="S55" t="s">
        <v>3532</v>
      </c>
      <c r="T55" t="s">
        <v>3533</v>
      </c>
      <c r="U55" t="s">
        <v>3534</v>
      </c>
      <c r="V55" t="s">
        <v>3228</v>
      </c>
      <c r="W55" t="s">
        <v>3229</v>
      </c>
      <c r="X55" t="s">
        <v>3230</v>
      </c>
      <c r="Y55" t="s">
        <v>3231</v>
      </c>
      <c r="Z55" t="s">
        <v>2189</v>
      </c>
      <c r="AA55" t="s">
        <v>3232</v>
      </c>
      <c r="AB55" t="s">
        <v>2189</v>
      </c>
      <c r="AC55" t="s">
        <v>3233</v>
      </c>
      <c r="AD55" t="s">
        <v>2189</v>
      </c>
      <c r="AE55" t="s">
        <v>3234</v>
      </c>
      <c r="AF55" t="s">
        <v>3235</v>
      </c>
      <c r="AG55" t="s">
        <v>3236</v>
      </c>
      <c r="AH55" t="s">
        <v>3212</v>
      </c>
      <c r="AI55" t="s">
        <v>3213</v>
      </c>
      <c r="AJ55" t="s">
        <v>3214</v>
      </c>
      <c r="AK55" t="s">
        <v>3215</v>
      </c>
      <c r="AL55" t="s">
        <v>3216</v>
      </c>
      <c r="AM55" t="s">
        <v>3217</v>
      </c>
      <c r="AN55" t="s">
        <v>3218</v>
      </c>
      <c r="AO55" t="s">
        <v>3219</v>
      </c>
      <c r="AP55" t="s">
        <v>3220</v>
      </c>
      <c r="AQ55" t="s">
        <v>3221</v>
      </c>
      <c r="AR55" t="s">
        <v>3222</v>
      </c>
      <c r="AS55" t="s">
        <v>3223</v>
      </c>
      <c r="AT55" t="s">
        <v>3224</v>
      </c>
      <c r="AU55" t="s">
        <v>3225</v>
      </c>
      <c r="AV55" t="s">
        <v>3226</v>
      </c>
      <c r="AW55" t="s">
        <v>3227</v>
      </c>
    </row>
    <row r="56" spans="1:49">
      <c r="A56" t="s">
        <v>2147</v>
      </c>
      <c r="B56" t="s">
        <v>4226</v>
      </c>
      <c r="C56" t="s">
        <v>4227</v>
      </c>
      <c r="D56" t="s">
        <v>4228</v>
      </c>
      <c r="E56" t="s">
        <v>4229</v>
      </c>
      <c r="F56" t="s">
        <v>4210</v>
      </c>
      <c r="G56" t="s">
        <v>4211</v>
      </c>
      <c r="H56" t="s">
        <v>4212</v>
      </c>
      <c r="I56" t="s">
        <v>4213</v>
      </c>
      <c r="J56" t="s">
        <v>4214</v>
      </c>
      <c r="K56" t="s">
        <v>4215</v>
      </c>
      <c r="L56" t="s">
        <v>4216</v>
      </c>
      <c r="M56" t="s">
        <v>4217</v>
      </c>
      <c r="N56" t="s">
        <v>4218</v>
      </c>
      <c r="O56" t="s">
        <v>4219</v>
      </c>
      <c r="P56" t="s">
        <v>4220</v>
      </c>
      <c r="Q56" t="s">
        <v>4221</v>
      </c>
      <c r="R56" t="s">
        <v>3527</v>
      </c>
      <c r="S56" t="s">
        <v>3528</v>
      </c>
      <c r="T56" t="s">
        <v>3529</v>
      </c>
      <c r="U56" t="s">
        <v>3530</v>
      </c>
      <c r="V56" t="s">
        <v>2189</v>
      </c>
      <c r="W56" t="s">
        <v>3241</v>
      </c>
      <c r="X56" t="s">
        <v>2189</v>
      </c>
      <c r="Y56" t="s">
        <v>3242</v>
      </c>
      <c r="Z56" t="s">
        <v>2189</v>
      </c>
      <c r="AA56" t="s">
        <v>3243</v>
      </c>
      <c r="AB56" t="s">
        <v>2189</v>
      </c>
      <c r="AC56" t="s">
        <v>3244</v>
      </c>
      <c r="AD56" t="s">
        <v>2189</v>
      </c>
      <c r="AE56" t="s">
        <v>3232</v>
      </c>
      <c r="AF56" t="s">
        <v>2189</v>
      </c>
      <c r="AG56" t="s">
        <v>3233</v>
      </c>
      <c r="AH56" t="s">
        <v>3237</v>
      </c>
      <c r="AI56" t="s">
        <v>3238</v>
      </c>
      <c r="AJ56" t="s">
        <v>3239</v>
      </c>
      <c r="AK56" t="s">
        <v>3240</v>
      </c>
      <c r="AL56" t="s">
        <v>3212</v>
      </c>
      <c r="AM56" t="s">
        <v>3213</v>
      </c>
      <c r="AN56" t="s">
        <v>3214</v>
      </c>
      <c r="AO56" t="s">
        <v>3215</v>
      </c>
      <c r="AP56" t="s">
        <v>3216</v>
      </c>
      <c r="AQ56" t="s">
        <v>3217</v>
      </c>
      <c r="AR56" t="s">
        <v>3218</v>
      </c>
      <c r="AS56" t="s">
        <v>3219</v>
      </c>
      <c r="AT56" t="s">
        <v>3220</v>
      </c>
      <c r="AU56" t="s">
        <v>3221</v>
      </c>
      <c r="AV56" t="s">
        <v>3222</v>
      </c>
      <c r="AW56" t="s">
        <v>3223</v>
      </c>
    </row>
    <row r="57" spans="1:49">
      <c r="A57" t="s">
        <v>2152</v>
      </c>
      <c r="B57" s="3" t="s">
        <v>4230</v>
      </c>
      <c r="C57" t="s">
        <v>4231</v>
      </c>
      <c r="D57" t="s">
        <v>4232</v>
      </c>
      <c r="E57" t="s">
        <v>4233</v>
      </c>
      <c r="F57" t="s">
        <v>4234</v>
      </c>
      <c r="G57" t="s">
        <v>4235</v>
      </c>
      <c r="H57" t="s">
        <v>4236</v>
      </c>
      <c r="I57" t="s">
        <v>4237</v>
      </c>
      <c r="J57" t="s">
        <v>4238</v>
      </c>
      <c r="K57" t="s">
        <v>4239</v>
      </c>
      <c r="L57" t="s">
        <v>4240</v>
      </c>
      <c r="M57" t="s">
        <v>4241</v>
      </c>
      <c r="N57" t="s">
        <v>4242</v>
      </c>
      <c r="O57" t="s">
        <v>4243</v>
      </c>
      <c r="P57" t="s">
        <v>4244</v>
      </c>
      <c r="Q57" t="s">
        <v>4245</v>
      </c>
      <c r="R57" t="s">
        <v>3535</v>
      </c>
      <c r="S57" t="s">
        <v>3536</v>
      </c>
      <c r="T57" t="s">
        <v>3537</v>
      </c>
      <c r="U57" t="s">
        <v>3538</v>
      </c>
      <c r="V57" t="s">
        <v>2189</v>
      </c>
      <c r="W57" t="s">
        <v>3261</v>
      </c>
      <c r="X57" t="s">
        <v>2189</v>
      </c>
      <c r="Y57" t="s">
        <v>3262</v>
      </c>
      <c r="Z57" t="s">
        <v>2189</v>
      </c>
      <c r="AA57" t="s">
        <v>3263</v>
      </c>
      <c r="AB57" t="s">
        <v>2189</v>
      </c>
      <c r="AC57" t="s">
        <v>3264</v>
      </c>
      <c r="AD57" t="s">
        <v>2189</v>
      </c>
      <c r="AE57" t="s">
        <v>3265</v>
      </c>
      <c r="AF57" t="s">
        <v>2189</v>
      </c>
      <c r="AG57" t="s">
        <v>3266</v>
      </c>
      <c r="AH57" t="s">
        <v>3245</v>
      </c>
      <c r="AI57" t="s">
        <v>3246</v>
      </c>
      <c r="AJ57" t="s">
        <v>3247</v>
      </c>
      <c r="AK57" t="s">
        <v>3248</v>
      </c>
      <c r="AL57" t="s">
        <v>3249</v>
      </c>
      <c r="AM57" t="s">
        <v>3250</v>
      </c>
      <c r="AN57" t="s">
        <v>3251</v>
      </c>
      <c r="AO57" t="s">
        <v>3252</v>
      </c>
      <c r="AP57" t="s">
        <v>3253</v>
      </c>
      <c r="AQ57" t="s">
        <v>3254</v>
      </c>
      <c r="AR57" t="s">
        <v>3255</v>
      </c>
      <c r="AS57" t="s">
        <v>3256</v>
      </c>
      <c r="AT57" t="s">
        <v>3257</v>
      </c>
      <c r="AU57" t="s">
        <v>3258</v>
      </c>
      <c r="AV57" t="s">
        <v>3259</v>
      </c>
      <c r="AW57" t="s">
        <v>3260</v>
      </c>
    </row>
    <row r="95" spans="1:5">
      <c r="A95" s="4"/>
      <c r="B95" s="4" t="s">
        <v>3267</v>
      </c>
      <c r="C95" s="4" t="s">
        <v>3268</v>
      </c>
      <c r="D95" s="4" t="s">
        <v>3269</v>
      </c>
      <c r="E95" s="5"/>
    </row>
    <row r="96" spans="1:5">
      <c r="A96" s="5" t="s">
        <v>1682</v>
      </c>
      <c r="B96" s="5" t="s">
        <v>3270</v>
      </c>
      <c r="C96" s="5" t="s">
        <v>3271</v>
      </c>
      <c r="D96" s="5"/>
      <c r="E96" s="5"/>
    </row>
    <row r="97" spans="1:5">
      <c r="A97" s="5" t="s">
        <v>3272</v>
      </c>
      <c r="B97" s="5" t="s">
        <v>3270</v>
      </c>
      <c r="C97" s="5" t="s">
        <v>3273</v>
      </c>
      <c r="D97" s="5"/>
      <c r="E97" s="5"/>
    </row>
    <row r="98" spans="1:5">
      <c r="A98" s="5" t="s">
        <v>3274</v>
      </c>
      <c r="B98" s="5" t="s">
        <v>3270</v>
      </c>
      <c r="C98" s="5" t="s">
        <v>3275</v>
      </c>
      <c r="D98" s="5"/>
      <c r="E98" s="5"/>
    </row>
    <row r="99" spans="1:5">
      <c r="A99" s="5" t="s">
        <v>3276</v>
      </c>
      <c r="B99" s="5" t="s">
        <v>3270</v>
      </c>
      <c r="C99" s="5" t="s">
        <v>3277</v>
      </c>
      <c r="D99" s="5"/>
      <c r="E99" s="5"/>
    </row>
    <row r="100" spans="1:5">
      <c r="A100" s="5" t="s">
        <v>3278</v>
      </c>
      <c r="B100" s="6" t="s">
        <v>3279</v>
      </c>
      <c r="C100" s="6" t="s">
        <v>3280</v>
      </c>
      <c r="D100" s="5"/>
      <c r="E100" s="5"/>
    </row>
    <row r="101" spans="1:5">
      <c r="A101" s="5" t="s">
        <v>3281</v>
      </c>
      <c r="B101" s="5" t="s">
        <v>3282</v>
      </c>
      <c r="C101" s="5" t="s">
        <v>3283</v>
      </c>
      <c r="D101" s="5"/>
      <c r="E101" s="5"/>
    </row>
    <row r="102" spans="1:5">
      <c r="A102" s="5" t="s">
        <v>3284</v>
      </c>
      <c r="B102" s="6" t="s">
        <v>3279</v>
      </c>
      <c r="C102" s="6" t="s">
        <v>3285</v>
      </c>
      <c r="D102" s="5"/>
      <c r="E102" s="5"/>
    </row>
    <row r="103" spans="1:5">
      <c r="A103" s="5" t="s">
        <v>3286</v>
      </c>
      <c r="B103" s="5" t="s">
        <v>3282</v>
      </c>
      <c r="C103" s="5" t="s">
        <v>3287</v>
      </c>
      <c r="D103" s="5"/>
      <c r="E103" s="2"/>
    </row>
    <row r="104" spans="1:5">
      <c r="A104" s="5" t="s">
        <v>3288</v>
      </c>
      <c r="B104" s="6" t="s">
        <v>3279</v>
      </c>
      <c r="C104" s="6" t="s">
        <v>3289</v>
      </c>
      <c r="D104" s="5"/>
      <c r="E104" s="5"/>
    </row>
    <row r="105" spans="1:5">
      <c r="A105" s="5" t="s">
        <v>3290</v>
      </c>
      <c r="B105" s="5" t="s">
        <v>3282</v>
      </c>
      <c r="C105" s="5" t="s">
        <v>1688</v>
      </c>
      <c r="D105" s="5"/>
      <c r="E105" s="5"/>
    </row>
    <row r="106" spans="1:5">
      <c r="A106" s="5" t="s">
        <v>3291</v>
      </c>
      <c r="B106" s="7" t="s">
        <v>3292</v>
      </c>
      <c r="C106" s="7" t="s">
        <v>1696</v>
      </c>
      <c r="D106" s="5"/>
      <c r="E106" s="5"/>
    </row>
    <row r="107" spans="1:5">
      <c r="A107" s="5" t="s">
        <v>3293</v>
      </c>
      <c r="B107" s="5" t="s">
        <v>3282</v>
      </c>
      <c r="C107" s="5" t="s">
        <v>1696</v>
      </c>
      <c r="D107" s="5"/>
      <c r="E107" s="5"/>
    </row>
    <row r="108" spans="1:5">
      <c r="A108" s="5" t="s">
        <v>3294</v>
      </c>
      <c r="B108" s="7" t="s">
        <v>3292</v>
      </c>
      <c r="C108" s="7" t="s">
        <v>1702</v>
      </c>
      <c r="D108" s="5"/>
      <c r="E108" s="5"/>
    </row>
    <row r="109" spans="1:5">
      <c r="A109" s="5" t="s">
        <v>3295</v>
      </c>
      <c r="B109" s="5" t="s">
        <v>3282</v>
      </c>
      <c r="C109" s="5" t="s">
        <v>1702</v>
      </c>
      <c r="D109" s="5"/>
      <c r="E109" s="5"/>
    </row>
    <row r="110" spans="1:5">
      <c r="A110" s="5" t="s">
        <v>3296</v>
      </c>
      <c r="B110" s="7" t="s">
        <v>3292</v>
      </c>
      <c r="C110" s="7" t="s">
        <v>1706</v>
      </c>
      <c r="D110" s="5"/>
      <c r="E110" s="5"/>
    </row>
    <row r="111" spans="1:5">
      <c r="A111" s="5" t="s">
        <v>3297</v>
      </c>
      <c r="B111" s="5" t="s">
        <v>3282</v>
      </c>
      <c r="C111" s="5" t="s">
        <v>1706</v>
      </c>
      <c r="D111" s="5"/>
      <c r="E111" s="5"/>
    </row>
    <row r="112" spans="1:5">
      <c r="A112" s="5" t="s">
        <v>3298</v>
      </c>
      <c r="B112" s="7" t="s">
        <v>3292</v>
      </c>
      <c r="C112" s="7" t="s">
        <v>3299</v>
      </c>
      <c r="D112" s="5"/>
      <c r="E112" s="5"/>
    </row>
    <row r="113" spans="1:5">
      <c r="A113" s="5" t="s">
        <v>3300</v>
      </c>
      <c r="B113" s="5" t="s">
        <v>3282</v>
      </c>
      <c r="C113" s="5" t="s">
        <v>3301</v>
      </c>
      <c r="D113" s="5"/>
      <c r="E113" s="5"/>
    </row>
    <row r="114" spans="1:5">
      <c r="A114" s="5" t="s">
        <v>3302</v>
      </c>
      <c r="B114" s="6" t="s">
        <v>3279</v>
      </c>
      <c r="C114" s="6" t="s">
        <v>1692</v>
      </c>
      <c r="D114" s="5"/>
      <c r="E114" s="5"/>
    </row>
    <row r="115" spans="1:5">
      <c r="A115" s="5" t="s">
        <v>3303</v>
      </c>
      <c r="B115" s="5" t="s">
        <v>3282</v>
      </c>
      <c r="C115" s="8" t="s">
        <v>1692</v>
      </c>
      <c r="D115" s="5"/>
      <c r="E115" s="5"/>
    </row>
    <row r="150" spans="1:1" ht="15.05">
      <c r="A150" t="s">
        <v>3304</v>
      </c>
    </row>
    <row r="151" spans="1:1" ht="15.05">
      <c r="A151" t="s">
        <v>3305</v>
      </c>
    </row>
    <row r="152" spans="1:1" ht="15.05">
      <c r="A152" t="s">
        <v>3306</v>
      </c>
    </row>
    <row r="153" spans="1:1" ht="15.05">
      <c r="A153" s="9" t="s">
        <v>3307</v>
      </c>
    </row>
    <row r="154" spans="1:1" ht="15.05">
      <c r="A154" s="9" t="s">
        <v>3308</v>
      </c>
    </row>
    <row r="155" spans="1:1" ht="15.05">
      <c r="A155" s="9" t="s">
        <v>3309</v>
      </c>
    </row>
    <row r="156" spans="1:1" ht="15.05">
      <c r="A156" s="9" t="s">
        <v>3310</v>
      </c>
    </row>
  </sheetData>
  <phoneticPr fontId="9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目录</vt:lpstr>
      <vt:lpstr>说明</vt:lpstr>
      <vt:lpstr>历史年度（原始）</vt:lpstr>
      <vt:lpstr>历史年度（简化）</vt:lpstr>
      <vt:lpstr>假设</vt:lpstr>
      <vt:lpstr>投资</vt:lpstr>
      <vt:lpstr>筹资</vt:lpstr>
      <vt:lpstr>预测利润表</vt:lpstr>
      <vt:lpstr>预测资产负债表</vt:lpstr>
      <vt:lpstr>预测现金流量表</vt:lpstr>
      <vt:lpstr>财务分析</vt:lpstr>
      <vt:lpstr>图形分析</vt:lpstr>
      <vt:lpstr>情景分析</vt:lpstr>
      <vt:lpstr>绝对估值</vt:lpstr>
      <vt:lpstr>绝对估值敏感性分析</vt:lpstr>
      <vt:lpstr>可比公司估值</vt:lpstr>
      <vt:lpstr>相对估值</vt:lpstr>
      <vt:lpstr>历史数据（单季）</vt:lpstr>
      <vt:lpstr>杜邦分析</vt:lpstr>
      <vt:lpstr>输出报告</vt:lpstr>
      <vt:lpstr>EndYear</vt:lpstr>
      <vt:lpstr>EstiDate</vt:lpstr>
      <vt:lpstr>Estiyears</vt:lpstr>
      <vt:lpstr>Estyears</vt:lpstr>
      <vt:lpstr>iRepType</vt:lpstr>
      <vt:lpstr>Transeyear</vt:lpstr>
      <vt:lpstr>单位</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aaron</cp:lastModifiedBy>
  <dcterms:created xsi:type="dcterms:W3CDTF">2006-09-16T00:00:00Z</dcterms:created>
  <dcterms:modified xsi:type="dcterms:W3CDTF">2019-12-30T14:15:01Z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2052-10.8.2.6837</vt:lpwstr>
  </property>
  <property fmtid="{D5CDD505-2E9C-101B-9397-08002B2CF9AE}" pid="3" name="EM_Doc_Temp_ID">
    <vt:lpwstr>49c9b29a</vt:lpwstr>
  </property>
</Properties>
</file>